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https://kuntaliittofi-my.sharepoint.com/personal/olli_riikonen_kuntaliitto_fi/Documents/VOS-laskelmat 2024/"/>
    </mc:Choice>
  </mc:AlternateContent>
  <xr:revisionPtr revIDLastSave="9" documentId="8_{F31B108C-B72C-48D1-9D02-1AF4F74D6C41}" xr6:coauthVersionLast="47" xr6:coauthVersionMax="47" xr10:uidLastSave="{E0AB505A-A83E-4762-91B0-32EBF5ECDEC1}"/>
  <bookViews>
    <workbookView xWindow="-120" yWindow="-120" windowWidth="29040" windowHeight="15720" tabRatio="879" activeTab="2" xr2:uid="{00000000-000D-0000-FFFF-FFFF00000000}"/>
  </bookViews>
  <sheets>
    <sheet name="Tietoa aineistosta" sheetId="21" r:id="rId1"/>
    <sheet name="1.Käyttöohjeet" sheetId="10" r:id="rId2"/>
    <sheet name="2.Yhteenveto" sheetId="1" r:id="rId3"/>
    <sheet name="3.Ikärakenne" sheetId="4" r:id="rId4"/>
    <sheet name="4.Muut lask. kustannukset" sheetId="2" r:id="rId5"/>
    <sheet name="5.Lisäosat" sheetId="12" r:id="rId6"/>
    <sheet name="6.Vähennykset ja lisäykset" sheetId="13" r:id="rId7"/>
    <sheet name="7.Tulopohjan tasaus" sheetId="18" state="hidden" r:id="rId8"/>
    <sheet name="7.Kotikuntakorvaukset" sheetId="9" state="hidden" r:id="rId9"/>
    <sheet name="tiedot" sheetId="15" state="hidden" r:id="rId10"/>
    <sheet name="8.Opetus ja kulttuuri, muu vos" sheetId="5" r:id="rId11"/>
    <sheet name="9.Lukio" sheetId="6" r:id="rId12"/>
  </sheets>
  <externalReferences>
    <externalReference r:id="rId13"/>
  </externalReferences>
  <definedNames>
    <definedName name="_xlnm._FilterDatabase" localSheetId="9" hidden="1">tiedot!$A$1:$CS$1</definedName>
    <definedName name="hyte_1">tiedot!$AE$2:$AE$294</definedName>
    <definedName name="ikar_1">tiedot!$Q$2:$Q$294</definedName>
    <definedName name="ikar_11">tiedot!$Z$2:$Z$294</definedName>
    <definedName name="ikar_12">tiedot!$AA$2:$AA$294</definedName>
    <definedName name="ikar_13">tiedot!$AB$2:$AB$294</definedName>
    <definedName name="ikar_14">tiedot!$AC$2:$AC$294</definedName>
    <definedName name="ikar_16">tiedot!$AD$2:$AD$294</definedName>
    <definedName name="ikar_2">tiedot!$R$2:$R$294</definedName>
    <definedName name="ikar_3">tiedot!$S$2:$S$294</definedName>
    <definedName name="ikar_4">tiedot!$T$2:$T$294</definedName>
    <definedName name="ikar_5">tiedot!$U$2:$U$294</definedName>
    <definedName name="ikar_6">tiedot!$V$2:$V$294</definedName>
    <definedName name="ikar_7">tiedot!$W$2:$W$294</definedName>
    <definedName name="ikar_8">tiedot!$X$2:$X$294</definedName>
    <definedName name="ikar_9">tiedot!$Y$2:$Y$294</definedName>
    <definedName name="jm_1">tiedot!$CI$2:$CI$294</definedName>
    <definedName name="kkk_1">tiedot!$CN$2:$CN$294</definedName>
    <definedName name="kkk_2">tiedot!$CL$2:$CL$294</definedName>
    <definedName name="kkk_3">tiedot!$CM$2:$CM$294</definedName>
    <definedName name="kunta">tiedot!$B$2:$B$294</definedName>
    <definedName name="lo_1">tiedot!$AY$2:$AY$294</definedName>
    <definedName name="lo_2">tiedot!$AZ$2:$AZ$294</definedName>
    <definedName name="lo_3">tiedot!$BA$2:$BA$294</definedName>
    <definedName name="lo_4">tiedot!$BB$2:$BB$294</definedName>
    <definedName name="lo_5">tiedot!$BC$2:$BC$294</definedName>
    <definedName name="lo_6">tiedot!$BD$2:$BD$294</definedName>
    <definedName name="lo_7">tiedot!$BE$2:$BE$294</definedName>
    <definedName name="muutla_1">tiedot!$AG$2:$AG$294</definedName>
    <definedName name="muutla_10">tiedot!$AP$2:$AP$294</definedName>
    <definedName name="muutla_11">tiedot!$AR$2:$AR$294</definedName>
    <definedName name="muutla_12">tiedot!$AS$2:$AS$294</definedName>
    <definedName name="muutla_13">tiedot!$AT$2:$AT$294</definedName>
    <definedName name="muutla_14">tiedot!$AU$2:$AU$294</definedName>
    <definedName name="muutla_15">tiedot!$AV$2:$AV$294</definedName>
    <definedName name="muutla_16">tiedot!$AW$2:$AW$294</definedName>
    <definedName name="muutla_17">tiedot!$AX$2:$AX$294</definedName>
    <definedName name="muutla_18">tiedot!$AQ$2:$AQ$294</definedName>
    <definedName name="muutla_2">tiedot!$AH$2:$AH$294</definedName>
    <definedName name="muutla_3">tiedot!$AI$2:$AI$294</definedName>
    <definedName name="muutla_4">tiedot!$AJ$2:$AJ$294</definedName>
    <definedName name="muutla_5">tiedot!$AK$2:$AK$294</definedName>
    <definedName name="muutla_6">tiedot!$AL$2:$AL$294</definedName>
    <definedName name="muutla_7">tiedot!$AM$2:$AM$294</definedName>
    <definedName name="muutla_8">tiedot!$AN$2:$AN$294</definedName>
    <definedName name="muutla_9">tiedot!$AO$2:$AO$294</definedName>
    <definedName name="numero">tiedot!$A$2:$A$294</definedName>
    <definedName name="okm">tiedot!$CK$2:$CK$294</definedName>
    <definedName name="sote_1">tiedot!$CO$2:$CO$294</definedName>
    <definedName name="sote_2">tiedot!$CP$2:$CP$294</definedName>
    <definedName name="sote_3">tiedot!$CQ$2:$CQ$293</definedName>
    <definedName name="sote_4">tiedot!$CR$2:$CR$293</definedName>
    <definedName name="tasa_1">tiedot!$CJ$2:$CJ$294</definedName>
    <definedName name="_xlnm.Print_Area" localSheetId="1">'1.Käyttöohjeet'!$A$1:$M$105</definedName>
    <definedName name="_xlnm.Print_Area" localSheetId="2">'2.Yhteenveto'!$A$11:$M$68</definedName>
    <definedName name="_xlnm.Print_Area" localSheetId="8">'7.Kotikuntakorvaukset'!$E$10:$K$51</definedName>
    <definedName name="_xlnm.Print_Area" localSheetId="10">'8.Opetus ja kulttuuri, muu vos'!$A$1:$K$99</definedName>
    <definedName name="vl_1">tiedot!$BF$2:$BF$294</definedName>
    <definedName name="vl_10">tiedot!$BQ$2:$BQ$294</definedName>
    <definedName name="vl_11">tiedot!$BR$2:$BR$294</definedName>
    <definedName name="vl_12">tiedot!$BS$2:$BS$294</definedName>
    <definedName name="vl_13">tiedot!$BT$2:$BT$294</definedName>
    <definedName name="vl_14">tiedot!$BU$2:$BU$294</definedName>
    <definedName name="vl_15">tiedot!$BZ$2:$BZ$294</definedName>
    <definedName name="vl_16">tiedot!$CA$2:$CA$294</definedName>
    <definedName name="vl_17">tiedot!$CB$2:$CB$294</definedName>
    <definedName name="vl_18">tiedot!$CC$2:$CC$294</definedName>
    <definedName name="vl_19">tiedot!$BV$2:$BV$294</definedName>
    <definedName name="vl_2">tiedot!$BG$2:$BG$294</definedName>
    <definedName name="vl_20">tiedot!$BM$2:$BM$294</definedName>
    <definedName name="vl_21">tiedot!$BN$2:$BN$294</definedName>
    <definedName name="vl_22">tiedot!$BW$2:$BW$294</definedName>
    <definedName name="vl_23">tiedot!$BX$2:$BX$294</definedName>
    <definedName name="vl_24">tiedot!$BY$2:$BY$294</definedName>
    <definedName name="vl_25">tiedot!$CD$2:$CD$294</definedName>
    <definedName name="vl_26">tiedot!$CE$2:$CE$294</definedName>
    <definedName name="vl_27">tiedot!$CF$2:$CF$294</definedName>
    <definedName name="vl_28">tiedot!$CG$2:$CG$294</definedName>
    <definedName name="vl_29">tiedot!$CH$2:$CH$294</definedName>
    <definedName name="vl_3">tiedot!$BH$2:$BH$294</definedName>
    <definedName name="vl_4">tiedot!$BI$2:$BI$294</definedName>
    <definedName name="vl_5">tiedot!$BJ$2:$BJ$294</definedName>
    <definedName name="vl_6">tiedot!$BK$2:$BK$294</definedName>
    <definedName name="vl_7">tiedot!$BL$2:$BL$294</definedName>
    <definedName name="vl_8">tiedot!$BO$2:$BO$294</definedName>
    <definedName name="vl_9">tiedot!$BP$2:$BP$294</definedName>
    <definedName name="voihancee">[1]tiedot!$C$2:$C$2</definedName>
    <definedName name="vos_maks">tiedot!$CO$2:$CO$294</definedName>
    <definedName name="vos_maksatus">tiedot!$CP$2:$CP$294</definedName>
    <definedName name="vosC">tiedot!$C$2:$C$294</definedName>
    <definedName name="vosD">tiedot!$D$2:$D$294</definedName>
    <definedName name="vosE">tiedot!$E$2:$E$294</definedName>
    <definedName name="vosF">tiedot!$F$2:$F$294</definedName>
    <definedName name="vosG">tiedot!$G$2:$G$294</definedName>
    <definedName name="vosH">tiedot!$H$2:$H$294</definedName>
    <definedName name="vosI">tiedot!$I$2:$I$294</definedName>
    <definedName name="vosJ">tiedot!$J$2:$J$294</definedName>
    <definedName name="vosK">tiedot!$K$2:$K$294</definedName>
    <definedName name="vosL">tiedot!$L$2:$L$294</definedName>
    <definedName name="vosM">tiedot!$M$2:$M$294</definedName>
    <definedName name="vosN">tiedot!$N$2:$N$294</definedName>
    <definedName name="vosO">tiedot!$O$2:$O$294</definedName>
    <definedName name="vosP">tiedot!$P$2:$P$294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5" l="1"/>
  <c r="F51" i="5"/>
  <c r="F49" i="5"/>
  <c r="F46" i="5"/>
  <c r="F45" i="5"/>
  <c r="F43" i="5"/>
  <c r="F42" i="5"/>
  <c r="L34" i="1" l="1"/>
  <c r="L33" i="1"/>
  <c r="H25" i="13"/>
  <c r="I20" i="6" l="1"/>
  <c r="J22" i="6" s="1"/>
  <c r="J19" i="6"/>
  <c r="J18" i="6"/>
  <c r="L61" i="1"/>
  <c r="L32" i="1"/>
  <c r="L31" i="1"/>
  <c r="K98" i="5"/>
  <c r="AJ43" i="1" s="1"/>
  <c r="K96" i="5"/>
  <c r="K94" i="5"/>
  <c r="H92" i="5"/>
  <c r="K92" i="5" s="1"/>
  <c r="K88" i="5"/>
  <c r="K86" i="5"/>
  <c r="K85" i="5"/>
  <c r="K81" i="5"/>
  <c r="K80" i="5"/>
  <c r="K77" i="5"/>
  <c r="K76" i="5"/>
  <c r="K74" i="5"/>
  <c r="K71" i="5"/>
  <c r="K56" i="5"/>
  <c r="K52" i="5"/>
  <c r="F34" i="5"/>
  <c r="K49" i="5" s="1"/>
  <c r="H28" i="5"/>
  <c r="F9" i="5"/>
  <c r="B10" i="5"/>
  <c r="K51" i="5"/>
  <c r="G42" i="12"/>
  <c r="G62" i="2"/>
  <c r="G53" i="2"/>
  <c r="G54" i="2" s="1"/>
  <c r="G14" i="2"/>
  <c r="G61" i="2"/>
  <c r="Z11" i="1"/>
  <c r="AE61" i="1"/>
  <c r="AE60" i="1"/>
  <c r="AE59" i="1"/>
  <c r="AE29" i="1"/>
  <c r="AE27" i="1"/>
  <c r="AC24" i="1"/>
  <c r="AE21" i="1"/>
  <c r="AE18" i="1"/>
  <c r="G35" i="9"/>
  <c r="H35" i="9" s="1"/>
  <c r="H38" i="9" s="1"/>
  <c r="B9" i="6"/>
  <c r="A9" i="9"/>
  <c r="B9" i="13"/>
  <c r="B9" i="12"/>
  <c r="B9" i="2"/>
  <c r="B9" i="4"/>
  <c r="A1" i="9"/>
  <c r="G8" i="9"/>
  <c r="I47" i="9" s="1"/>
  <c r="F8" i="6"/>
  <c r="F8" i="4"/>
  <c r="F15" i="4" s="1"/>
  <c r="H15" i="4" s="1"/>
  <c r="G37" i="9"/>
  <c r="H37" i="9"/>
  <c r="G36" i="9"/>
  <c r="H36" i="9"/>
  <c r="G46" i="9"/>
  <c r="H46" i="9"/>
  <c r="G45" i="9"/>
  <c r="H45" i="9" s="1"/>
  <c r="H47" i="9" s="1"/>
  <c r="AJ60" i="1" s="1"/>
  <c r="G44" i="9"/>
  <c r="H44" i="9"/>
  <c r="G29" i="9"/>
  <c r="H29" i="9" s="1"/>
  <c r="G28" i="9"/>
  <c r="H28" i="9"/>
  <c r="G27" i="9"/>
  <c r="H27" i="9" s="1"/>
  <c r="H30" i="9" s="1"/>
  <c r="G32" i="2"/>
  <c r="A1" i="13"/>
  <c r="F8" i="13"/>
  <c r="A1" i="2"/>
  <c r="A1" i="12"/>
  <c r="A1" i="4"/>
  <c r="F8" i="2"/>
  <c r="F8" i="12"/>
  <c r="H12" i="1"/>
  <c r="G34" i="12"/>
  <c r="G33" i="12"/>
  <c r="AE42" i="1"/>
  <c r="L43" i="1"/>
  <c r="AO8" i="1" s="1"/>
  <c r="G15" i="2"/>
  <c r="AE67" i="1"/>
  <c r="AE38" i="1"/>
  <c r="L38" i="1"/>
  <c r="AP3" i="1" s="1"/>
  <c r="AA12" i="1"/>
  <c r="AE46" i="1" s="1"/>
  <c r="L67" i="1"/>
  <c r="L68" i="1" s="1"/>
  <c r="AO7" i="1" l="1"/>
  <c r="G48" i="2"/>
  <c r="G39" i="2"/>
  <c r="G26" i="2"/>
  <c r="F21" i="2"/>
  <c r="J23" i="2" s="1"/>
  <c r="F35" i="5"/>
  <c r="K42" i="5" s="1"/>
  <c r="K45" i="5"/>
  <c r="K43" i="5"/>
  <c r="K46" i="5"/>
  <c r="F16" i="4"/>
  <c r="H16" i="4" s="1"/>
  <c r="F13" i="4"/>
  <c r="H13" i="4" s="1"/>
  <c r="F14" i="4"/>
  <c r="H14" i="4" s="1"/>
  <c r="AP7" i="1"/>
  <c r="H40" i="9"/>
  <c r="AJ59" i="1" s="1"/>
  <c r="AJ61" i="1" s="1"/>
  <c r="H48" i="13"/>
  <c r="I33" i="13"/>
  <c r="I32" i="13"/>
  <c r="M33" i="1"/>
  <c r="M34" i="1"/>
  <c r="F12" i="9"/>
  <c r="G26" i="12"/>
  <c r="F42" i="12"/>
  <c r="G35" i="12"/>
  <c r="F34" i="12"/>
  <c r="H19" i="12"/>
  <c r="AE22" i="1"/>
  <c r="AF22" i="1" s="1"/>
  <c r="F33" i="12"/>
  <c r="H42" i="13"/>
  <c r="H52" i="13"/>
  <c r="G63" i="2"/>
  <c r="G41" i="12"/>
  <c r="H13" i="12"/>
  <c r="F32" i="12"/>
  <c r="F17" i="4"/>
  <c r="H17" i="4" s="1"/>
  <c r="F32" i="2"/>
  <c r="F53" i="2"/>
  <c r="I40" i="9"/>
  <c r="L59" i="1" s="1"/>
  <c r="F13" i="2"/>
  <c r="AP8" i="1"/>
  <c r="AE48" i="1"/>
  <c r="G16" i="2"/>
  <c r="AF38" i="1"/>
  <c r="AE24" i="1"/>
  <c r="AF67" i="1"/>
  <c r="L47" i="1"/>
  <c r="L46" i="1"/>
  <c r="AJ55" i="1" s="1"/>
  <c r="AK55" i="1" s="1"/>
  <c r="M43" i="1"/>
  <c r="AP18" i="1" s="1"/>
  <c r="M38" i="1"/>
  <c r="F9" i="12"/>
  <c r="F9" i="4"/>
  <c r="G9" i="9"/>
  <c r="F9" i="6"/>
  <c r="AO3" i="1"/>
  <c r="AF42" i="1"/>
  <c r="M32" i="1"/>
  <c r="F9" i="13"/>
  <c r="AF21" i="1"/>
  <c r="AF29" i="1"/>
  <c r="AF18" i="1"/>
  <c r="F9" i="2"/>
  <c r="L24" i="1"/>
  <c r="M24" i="1" s="1"/>
  <c r="M68" i="1"/>
  <c r="J24" i="6"/>
  <c r="I28" i="6" s="1"/>
  <c r="K59" i="5"/>
  <c r="M67" i="1"/>
  <c r="AE68" i="1"/>
  <c r="AF68" i="1" s="1"/>
  <c r="M31" i="1"/>
  <c r="I31" i="13"/>
  <c r="I23" i="13"/>
  <c r="H44" i="13"/>
  <c r="H58" i="13"/>
  <c r="H62" i="13"/>
  <c r="H54" i="13"/>
  <c r="H60" i="13"/>
  <c r="H64" i="13"/>
  <c r="I30" i="13"/>
  <c r="H56" i="13"/>
  <c r="I68" i="13"/>
  <c r="I70" i="13" s="1"/>
  <c r="L53" i="1" s="1"/>
  <c r="AP4" i="1" s="1"/>
  <c r="L60" i="1"/>
  <c r="F62" i="2"/>
  <c r="F14" i="2"/>
  <c r="F15" i="2"/>
  <c r="F20" i="2"/>
  <c r="F61" i="2"/>
  <c r="F59" i="2"/>
  <c r="H50" i="13"/>
  <c r="H46" i="13"/>
  <c r="H66" i="13"/>
  <c r="AF27" i="1"/>
  <c r="F52" i="2"/>
  <c r="F31" i="2"/>
  <c r="F10" i="5"/>
  <c r="AO17" i="1" l="1"/>
  <c r="K62" i="5"/>
  <c r="K105" i="5" s="1"/>
  <c r="H18" i="4"/>
  <c r="H20" i="4" s="1"/>
  <c r="L18" i="1" s="1"/>
  <c r="H50" i="9"/>
  <c r="J42" i="6"/>
  <c r="J44" i="12"/>
  <c r="AP17" i="1"/>
  <c r="AE25" i="1"/>
  <c r="AF25" i="1" s="1"/>
  <c r="J21" i="12"/>
  <c r="F35" i="12"/>
  <c r="H36" i="12" s="1"/>
  <c r="J38" i="12" s="1"/>
  <c r="I13" i="13"/>
  <c r="I34" i="13"/>
  <c r="F63" i="2"/>
  <c r="H64" i="2" s="1"/>
  <c r="J66" i="2" s="1"/>
  <c r="F18" i="4"/>
  <c r="I50" i="9"/>
  <c r="J15" i="12"/>
  <c r="F54" i="2"/>
  <c r="H55" i="2" s="1"/>
  <c r="J57" i="2" s="1"/>
  <c r="AO18" i="1"/>
  <c r="AF24" i="1"/>
  <c r="I21" i="13"/>
  <c r="F16" i="2"/>
  <c r="H16" i="2" s="1"/>
  <c r="J18" i="2" s="1"/>
  <c r="AP13" i="1"/>
  <c r="AO13" i="1"/>
  <c r="J30" i="12"/>
  <c r="I15" i="13"/>
  <c r="I17" i="13"/>
  <c r="I19" i="13"/>
  <c r="I29" i="6"/>
  <c r="J43" i="6" s="1"/>
  <c r="J44" i="6"/>
  <c r="M53" i="1"/>
  <c r="AO14" i="1" s="1"/>
  <c r="AO4" i="1"/>
  <c r="AJ63" i="1"/>
  <c r="AK63" i="1" s="1"/>
  <c r="J45" i="2"/>
  <c r="G47" i="2"/>
  <c r="J50" i="2"/>
  <c r="J35" i="2"/>
  <c r="J34" i="2"/>
  <c r="K26" i="5"/>
  <c r="K25" i="5"/>
  <c r="H90" i="5"/>
  <c r="K90" i="5" s="1"/>
  <c r="K100" i="5" s="1"/>
  <c r="K106" i="5" s="1"/>
  <c r="J50" i="6" l="1"/>
  <c r="K17" i="5" s="1"/>
  <c r="K20" i="5" s="1"/>
  <c r="K104" i="5" s="1"/>
  <c r="K107" i="5" s="1"/>
  <c r="G18" i="4"/>
  <c r="AE36" i="1"/>
  <c r="AE40" i="1" s="1"/>
  <c r="AF40" i="1" s="1"/>
  <c r="AP14" i="1"/>
  <c r="J47" i="12"/>
  <c r="L27" i="1" s="1"/>
  <c r="M27" i="1" s="1"/>
  <c r="I25" i="13"/>
  <c r="I36" i="13" s="1"/>
  <c r="L29" i="1" s="1"/>
  <c r="AO6" i="1" s="1"/>
  <c r="AJ46" i="1"/>
  <c r="K28" i="5"/>
  <c r="K108" i="5"/>
  <c r="K109" i="5"/>
  <c r="AJ47" i="1"/>
  <c r="J36" i="2"/>
  <c r="J69" i="2" s="1"/>
  <c r="L21" i="1" s="1"/>
  <c r="M21" i="1" s="1"/>
  <c r="M18" i="1"/>
  <c r="K103" i="5" l="1"/>
  <c r="L44" i="1" s="1"/>
  <c r="L48" i="1" s="1"/>
  <c r="AF36" i="1"/>
  <c r="M29" i="1"/>
  <c r="AP6" i="1"/>
  <c r="AO5" i="1"/>
  <c r="AO15" i="1"/>
  <c r="AP15" i="1"/>
  <c r="AP5" i="1"/>
  <c r="L22" i="1"/>
  <c r="AJ48" i="1"/>
  <c r="M44" i="1" l="1"/>
  <c r="AP16" i="1"/>
  <c r="AO16" i="1"/>
  <c r="M22" i="1"/>
  <c r="L25" i="1"/>
  <c r="L36" i="1" s="1"/>
  <c r="AP2" i="1" l="1"/>
  <c r="AO2" i="1"/>
  <c r="M25" i="1"/>
  <c r="Q25" i="1"/>
  <c r="AQ9" i="1" l="1"/>
  <c r="M36" i="1"/>
  <c r="L40" i="1"/>
  <c r="AP12" i="1"/>
  <c r="AO12" i="1"/>
  <c r="AQ19" i="1" l="1"/>
  <c r="L51" i="1"/>
  <c r="L56" i="1" s="1"/>
  <c r="AJ50" i="1"/>
  <c r="M40" i="1"/>
  <c r="L50" i="1"/>
  <c r="M56" i="1" l="1"/>
  <c r="L72" i="1"/>
  <c r="M51" i="1"/>
  <c r="M50" i="1"/>
  <c r="L55" i="1"/>
  <c r="AK50" i="1"/>
  <c r="AJ67" i="1"/>
  <c r="AK67" i="1" s="1"/>
  <c r="L73" i="1" l="1"/>
  <c r="M72" i="1"/>
  <c r="M55" i="1"/>
  <c r="L63" i="1"/>
  <c r="AJ72" i="1" s="1"/>
  <c r="AK72" i="1" s="1"/>
  <c r="M63" i="1" l="1"/>
  <c r="L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tc={634E958E-9C9E-4BD5-9441-BCE2D9C45837}</author>
    <author>tc={BC7F5ED7-9B21-4EAC-B4EE-EC9D99F25C7D}</author>
    <author>tc={B82792A9-CC22-43C4-8017-1BD583FCCC58}</author>
  </authors>
  <commentList>
    <comment ref="L44" authorId="0" shapeId="0" xr:uid="{634E958E-9C9E-4BD5-9441-BCE2D9C45837}">
      <text>
        <t>[Kommenttiketju]
Excel-versiosi avulla voit lukea tämän kommenttiketjun, mutta siihen tehdyt muutokset poistetaan, jos tiedosto avataan uudemmassa Excel-versiossa. Lisätietoja: https://go.microsoft.com/fwlink/?linkid=870924
Kommentti:
    Jos et täytä tietoja välilehdille 8 ja 9, laskuri näyttää vain kunnan omarahoitusosuuden ammatilliseen ja lukiokoulutukseen (miinusta) ja suoraan asukaslukuun perustuvan liikuntatoimen rahoituksen (plussaa).</t>
      </text>
    </comment>
    <comment ref="L50" authorId="1" shapeId="0" xr:uid="{BC7F5ED7-9B21-4EAC-B4EE-EC9D99F25C7D}">
      <text>
        <t>[Kommenttiketju]
Excel-versiosi avulla voit lukea tämän kommenttiketjun, mutta siihen tehdyt muutokset poistetaan, jos tiedosto avataan uudemmassa Excel-versiossa. Lisätietoja: https://go.microsoft.com/fwlink/?linkid=870924
Kommentti:
    VM:n kunnan peruspalvelujen valtionosuus 2024 + OKM:n opetus- ja kulttuuritoimen valtionosuus 2024</t>
      </text>
    </comment>
    <comment ref="L51" authorId="2" shapeId="0" xr:uid="{B82792A9-CC22-43C4-8017-1BD583FCCC58}">
      <text>
        <t>[Kommenttiketju]
Excel-versiosi avulla voit lukea tämän kommenttiketjun, mutta siihen tehdyt muutokset poistetaan, jos tiedosto avataan uudemmassa Excel-versiossa. Lisätietoja: https://go.microsoft.com/fwlink/?linkid=870924
Kommentti:
    Kunnan peruspalvelujen valtionosuus 2024 + opetus- ja kulttuuritoimen valtionosuus 2024 laskurilla lasketun kunnan oman arvion mukaan.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tc={6C62A457-A048-406C-85B2-247B3836C0F3}</author>
    <author>tc={E66EA1A3-73C0-4C40-A09C-391D74965D13}</author>
    <author>tc={F407CC6C-019C-4F68-B785-7D8B6E4B526B}</author>
    <author>tc={F45F152C-6F24-4658-8880-379A2F74AF13}</author>
    <author>tc={A5C05178-D7A5-4221-AE59-C5064ECFAE70}</author>
    <author>tc={3E4305A0-6529-4CC0-BCA3-A2C84F851FF6}</author>
    <author>tc={87BD8024-6CD3-4D62-BD7F-D538274A99E9}</author>
    <author>tc={2F579C02-07ED-4B9B-803A-CE3C1C26ADE9}</author>
    <author>tc={B621CC9B-A3F0-4BF1-9C8F-797545BCC877}</author>
    <author>tc={2E416031-FD43-4B9F-B1C7-82AE6C7A366E}</author>
    <author>tc={D7E0439B-EC31-477F-8070-55D740680FDE}</author>
    <author>tc={D6B9A141-B885-45E9-BE2E-92A20BEB06A6}</author>
    <author>tc={23A14694-6394-4584-881D-950EA4795EA0}</author>
    <author>tc={3654172A-A3C8-45D8-9612-CF09A5239F02}</author>
    <author>tc={30859F37-4E52-4090-A7B9-F9455B6971D6}</author>
    <author>tc={90898923-5FC4-494C-B610-7165B32003F1}</author>
    <author>tc={906D6F86-9519-41E4-B7B7-1B95FDEF7F94}</author>
    <author>tc={E59E5334-F82F-4D25-8DAC-F90FC4728571}</author>
    <author>tc={2166ED3B-5EC7-454E-B3FD-174CB0517582}</author>
    <author>tc={C3D1696C-F941-4AFC-B203-B3F191388207}</author>
    <author>tc={1AA21601-6CE0-4E80-858D-1E613A023510}</author>
    <author>tc={FB346A8B-71C4-4027-91F5-5BF75B00ED1A}</author>
    <author>tc={7675B1FD-A00A-4215-AB90-A3A96559185C}</author>
  </authors>
  <commentList>
    <comment ref="AG1" authorId="0" shapeId="0" xr:uid="{6C62A457-A048-406C-85B2-247B3836C0F3}">
      <text>
        <t>[Kommenttiketju]
Excel-versiosi avulla voit lukea tämän kommenttiketjun, mutta siihen tehdyt muutokset poistetaan, jos tiedosto avataan uudemmassa Excel-versiossa. Lisätietoja: https://go.microsoft.com/fwlink/?linkid=870924
Kommentti:
    Työttömät</t>
      </text>
    </comment>
    <comment ref="AH1" authorId="1" shapeId="0" xr:uid="{E66EA1A3-73C0-4C40-A09C-391D74965D13}">
      <text>
        <t xml:space="preserve">[Kommenttiketju]
Excel-versiosi avulla voit lukea tämän kommenttiketjun, mutta siihen tehdyt muutokset poistetaan, jos tiedosto avataan uudemmassa Excel-versiossa. Lisätietoja: https://go.microsoft.com/fwlink/?linkid=870924
Kommentti:
    Työvoima
</t>
      </text>
    </comment>
    <comment ref="AJ1" authorId="2" shapeId="0" xr:uid="{F407CC6C-019C-4F68-B785-7D8B6E4B526B}">
      <text>
        <t>[Kommenttiketju]
Excel-versiosi avulla voit lukea tämän kommenttiketjun, mutta siihen tehdyt muutokset poistetaan, jos tiedosto avataan uudemmassa Excel-versiossa. Lisätietoja: https://go.microsoft.com/fwlink/?linkid=870924
Kommentti:
    Vieraskieliset</t>
      </text>
    </comment>
    <comment ref="AM1" authorId="3" shapeId="0" xr:uid="{F45F152C-6F24-4658-8880-379A2F74AF13}">
      <text>
        <t>[Kommenttiketju]
Excel-versiosi avulla voit lukea tämän kommenttiketjun, mutta siihen tehdyt muutokset poistetaan, jos tiedosto avataan uudemmassa Excel-versiossa. Lisätietoja: https://go.microsoft.com/fwlink/?linkid=870924
Kommentti:
    Onko kunta kaksikielinen? (0, 1, 2, 3)</t>
      </text>
    </comment>
    <comment ref="AN1" authorId="4" shapeId="0" xr:uid="{A5C05178-D7A5-4221-AE59-C5064ECFAE70}">
      <text>
        <t>[Kommenttiketju]
Excel-versiosi avulla voit lukea tämän kommenttiketjun, mutta siihen tehdyt muutokset poistetaan, jos tiedosto avataan uudemmassa Excel-versiossa. Lisätietoja: https://go.microsoft.com/fwlink/?linkid=870924
Kommentti:
    Ruotsinkielisten määrä</t>
      </text>
    </comment>
    <comment ref="AP1" authorId="5" shapeId="0" xr:uid="{3E4305A0-6529-4CC0-BCA3-A2C84F851FF6}">
      <text>
        <t>[Kommenttiketju]
Excel-versiosi avulla voit lukea tämän kommenttiketjun, mutta siihen tehdyt muutokset poistetaan, jos tiedosto avataan uudemmassa Excel-versiossa. Lisätietoja: https://go.microsoft.com/fwlink/?linkid=870924
Kommentti:
    Onko kunta saaristokunta? (0, 1, 2, 3)</t>
      </text>
    </comment>
    <comment ref="AQ1" authorId="6" shapeId="0" xr:uid="{87BD8024-6CD3-4D62-BD7F-D538274A99E9}">
      <text>
        <t>[Kommenttiketju]
Excel-versiosi avulla voit lukea tämän kommenttiketjun, mutta siihen tehdyt muutokset poistetaan, jos tiedosto avataan uudemmassa Excel-versiossa. Lisätietoja: https://go.microsoft.com/fwlink/?linkid=870924
Kommentti:
    Väestö kunnan saaristo-osissa</t>
      </text>
    </comment>
    <comment ref="AR1" authorId="7" shapeId="0" xr:uid="{2F579C02-07ED-4B9B-803A-CE3C1C26ADE9}">
      <text>
        <t>[Kommenttiketju]
Excel-versiosi avulla voit lukea tämän kommenttiketjun, mutta siihen tehdyt muutokset poistetaan, jos tiedosto avataan uudemmassa Excel-versiossa. Lisätietoja: https://go.microsoft.com/fwlink/?linkid=870924
Kommentti:
    Maapinta-ala</t>
      </text>
    </comment>
    <comment ref="AU1" authorId="8" shapeId="0" xr:uid="{B621CC9B-A3F0-4BF1-9C8F-797545BCC877}">
      <text>
        <t>[Kommenttiketju]
Excel-versiosi avulla voit lukea tämän kommenttiketjun, mutta siihen tehdyt muutokset poistetaan, jos tiedosto avataan uudemmassa Excel-versiossa. Lisätietoja: https://go.microsoft.com/fwlink/?linkid=870924
Kommentti:
    Ilman perusasteen jälkeistä tutkintoa olevat 30–54-vuotiaat</t>
      </text>
    </comment>
    <comment ref="AV1" authorId="9" shapeId="0" xr:uid="{2E416031-FD43-4B9F-B1C7-82AE6C7A366E}">
      <text>
        <t>[Kommenttiketju]
Excel-versiosi avulla voit lukea tämän kommenttiketjun, mutta siihen tehdyt muutokset poistetaan, jos tiedosto avataan uudemmassa Excel-versiossa. Lisätietoja: https://go.microsoft.com/fwlink/?linkid=870924
Kommentti:
    30-54-vuotiaat</t>
      </text>
    </comment>
    <comment ref="AY1" authorId="10" shapeId="0" xr:uid="{D7E0439B-EC31-477F-8070-55D740680FDE}">
      <text>
        <t xml:space="preserve">[Kommenttiketju]
Excel-versiosi avulla voit lukea tämän kommenttiketjun, mutta siihen tehdyt muutokset poistetaan, jos tiedosto avataan uudemmassa Excel-versiossa. Lisätietoja: https://go.microsoft.com/fwlink/?linkid=870924
Kommentti:
    Syrjäisyysluku
</t>
      </text>
    </comment>
    <comment ref="AZ1" authorId="11" shapeId="0" xr:uid="{D6B9A141-B885-45E9-BE2E-92A20BEB06A6}">
      <text>
        <t>[Kommenttiketju]
Excel-versiosi avulla voit lukea tämän kommenttiketjun, mutta siihen tehdyt muutokset poistetaan, jos tiedosto avataan uudemmassa Excel-versiossa. Lisätietoja: https://go.microsoft.com/fwlink/?linkid=870924
Kommentti:
    Alueella työssäkäyvät (työpaikat)</t>
      </text>
    </comment>
    <comment ref="BA1" authorId="12" shapeId="0" xr:uid="{23A14694-6394-4584-881D-950EA4795EA0}">
      <text>
        <t>[Kommenttiketju]
Excel-versiosi avulla voit lukea tämän kommenttiketjun, mutta siihen tehdyt muutokset poistetaan, jos tiedosto avataan uudemmassa Excel-versiossa. Lisätietoja: https://go.microsoft.com/fwlink/?linkid=870924
Kommentti:
    Työlliset</t>
      </text>
    </comment>
    <comment ref="BC1" authorId="13" shapeId="0" xr:uid="{3654172A-A3C8-45D8-9612-CF09A5239F02}">
      <text>
        <t>[Kommenttiketju]
Excel-versiosi avulla voit lukea tämän kommenttiketjun, mutta siihen tehdyt muutokset poistetaan, jos tiedosto avataan uudemmassa Excel-versiossa. Lisätietoja: https://go.microsoft.com/fwlink/?linkid=870924
Kommentti:
    Asukasmäärän kasvu, kerroin</t>
      </text>
    </comment>
    <comment ref="BD1" authorId="14" shapeId="0" xr:uid="{30859F37-4E52-4090-A7B9-F9455B6971D6}">
      <text>
        <t>[Kommenttiketju]
Excel-versiosi avulla voit lukea tämän kommenttiketjun, mutta siihen tehdyt muutokset poistetaan, jos tiedosto avataan uudemmassa Excel-versiossa. Lisätietoja: https://go.microsoft.com/fwlink/?linkid=870924
Kommentti:
    Onko kunta saamelaisten kotiseutualueen kunta?</t>
      </text>
    </comment>
    <comment ref="BE1" authorId="15" shapeId="0" xr:uid="{90898923-5FC4-494C-B610-7165B32003F1}">
      <text>
        <t>[Kommenttiketju]
Excel-versiosi avulla voit lukea tämän kommenttiketjun, mutta siihen tehdyt muutokset poistetaan, jos tiedosto avataan uudemmassa Excel-versiossa. Lisätietoja: https://go.microsoft.com/fwlink/?linkid=870924
Kommentti:
    Saamenkieliset</t>
      </text>
    </comment>
    <comment ref="BF1" authorId="16" shapeId="0" xr:uid="{906D6F86-9519-41E4-B7B7-1B95FDEF7F94}">
      <text>
        <t>[Kommenttiketju]
Excel-versiosi avulla voit lukea tämän kommenttiketjun, mutta siihen tehdyt muutokset poistetaan, jos tiedosto avataan uudemmassa Excel-versiossa. Lisätietoja: https://go.microsoft.com/fwlink/?linkid=870924
Kommentti:
    Perustoimeentulotuen vähennys</t>
      </text>
    </comment>
    <comment ref="CH1" authorId="17" shapeId="0" xr:uid="{E59E5334-F82F-4D25-8DAC-F90FC4728571}">
      <text>
        <t>[Kommenttiketju]
Excel-versiosi avulla voit lukea tämän kommenttiketjun, mutta siihen tehdyt muutokset poistetaan, jos tiedosto avataan uudemmassa Excel-versiossa. Lisätietoja: https://go.microsoft.com/fwlink/?linkid=870924
Kommentti:
    Veroperustemuutoksista johtuvien veromenetysten korvaus</t>
      </text>
    </comment>
    <comment ref="CJ1" authorId="18" shapeId="0" xr:uid="{2166ED3B-5EC7-454E-B3FD-174CB0517582}">
      <text>
        <t>[Kommenttiketju]
Excel-versiosi avulla voit lukea tämän kommenttiketjun, mutta siihen tehdyt muutokset poistetaan, jos tiedosto avataan uudemmassa Excel-versiossa. Lisätietoja: https://go.microsoft.com/fwlink/?linkid=870924
Kommentti:
    Verotuloihin perustuva valtionosuuden tasaus</t>
      </text>
    </comment>
    <comment ref="CO1" authorId="19" shapeId="0" xr:uid="{C3D1696C-F941-4AFC-B203-B3F191388207}">
      <text>
        <t>[Kommenttiketju]
Excel-versiosi avulla voit lukea tämän kommenttiketjun, mutta siihen tehdyt muutokset poistetaan, jos tiedosto avataan uudemmassa Excel-versiossa. Lisätietoja: https://go.microsoft.com/fwlink/?linkid=870924
Kommentti:
    Muutosrajoitin</t>
      </text>
    </comment>
    <comment ref="CP1" authorId="20" shapeId="0" xr:uid="{1AA21601-6CE0-4E80-858D-1E613A023510}">
      <text>
        <t xml:space="preserve">[Kommenttiketju]
Excel-versiosi avulla voit lukea tämän kommenttiketjun, mutta siihen tehdyt muutokset poistetaan, jos tiedosto avataan uudemmassa Excel-versiossa. Lisätietoja: https://go.microsoft.com/fwlink/?linkid=870924
Kommentti:
    Järjestelmämuutoksen tasaus
</t>
      </text>
    </comment>
    <comment ref="CQ1" authorId="21" shapeId="0" xr:uid="{FB346A8B-71C4-4027-91F5-5BF75B00ED1A}">
      <text>
        <t>[Kommenttiketju]
Excel-versiosi avulla voit lukea tämän kommenttiketjun, mutta siihen tehdyt muutokset poistetaan, jos tiedosto avataan uudemmassa Excel-versiossa. Lisätietoja: https://go.microsoft.com/fwlink/?linkid=870924
Kommentti:
    Jälkikäteistarkistuksesta johtuva valtionosuuden lisäsiirtotarve</t>
      </text>
    </comment>
    <comment ref="CR1" authorId="22" shapeId="0" xr:uid="{7675B1FD-A00A-4215-AB90-A3A96559185C}">
      <text>
        <t>[Kommenttiketju]
Excel-versiosi avulla voit lukea tämän kommenttiketjun, mutta siihen tehdyt muutokset poistetaan, jos tiedosto avataan uudemmassa Excel-versiossa. Lisätietoja: https://go.microsoft.com/fwlink/?linkid=870924
Kommentti:
    Määräaikainen 192 miljoonan euron lisäys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tc={F4C4686C-54C9-4C7B-B894-F5CD0B695150}</author>
    <author>Lehtonen Sanna</author>
  </authors>
  <commentList>
    <comment ref="I49" authorId="0" shapeId="0" xr:uid="{F4C4686C-54C9-4C7B-B894-F5CD0B695150}">
      <text>
        <t>[Kommenttiketju]
Excel-versiosi avulla voit lukea tämän kommenttiketjun, mutta siihen tehdyt muutokset poistetaan, jos tiedosto avataan uudemmassa Excel-versiossa. Lisätietoja: https://go.microsoft.com/fwlink/?linkid=870924
Kommentti:
    Tässä tarkoitetaan pidennetyn oppivelvollisuuden piirissä olevien esiopetuksen oppilaita, jotka täyttävät viisi vuotta esiopetuksen alkamisvuonna.</t>
      </text>
    </comment>
    <comment ref="C71" authorId="1" shapeId="0" xr:uid="{00000000-0006-0000-0900-000001000000}">
      <text>
        <r>
          <rPr>
            <b/>
            <sz val="9"/>
            <color indexed="81"/>
            <rFont val="Tahoma"/>
            <family val="2"/>
          </rPr>
          <t>Lehtonen Sanna:</t>
        </r>
        <r>
          <rPr>
            <sz val="9"/>
            <color indexed="81"/>
            <rFont val="Tahoma"/>
            <family val="2"/>
          </rPr>
          <t xml:space="preserve">
Perusopetuslaissa tarkoitettua aamu- ja iltapäivätoimintaa järjestävälle kunnalle myönnetään valtionosuutta toiminnasta aiheutuviin käyttökustannuksiin 57 prosenttia euromäärästä, joka saadaan, kun kunnalle valtionosuuden laskemisen perusteeksi mainittua toimintaa varten vahvistettu tuntimäärä kerrotaan tuntia kohden määrätyllä yksikköhinnalla.</t>
        </r>
      </text>
    </comment>
    <comment ref="C73" authorId="1" shapeId="0" xr:uid="{00000000-0006-0000-0900-000002000000}">
      <text>
        <r>
          <rPr>
            <b/>
            <sz val="9"/>
            <color indexed="81"/>
            <rFont val="Tahoma"/>
            <family val="2"/>
          </rPr>
          <t>Lehtonen Sanna:</t>
        </r>
        <r>
          <rPr>
            <sz val="9"/>
            <color indexed="81"/>
            <rFont val="Tahoma"/>
            <family val="2"/>
          </rPr>
          <t xml:space="preserve">
Valtionosuus opetustuntikohtaiseen taiteen perusopetukseen on 57 prosenttia euromäärästä, joka saadaan, kun koulutuksen järjestäjälle valtionosuuden laskemisen perusteeksi mainittua opetusta varten vahvistettu opetustuntimäärä kerrotaan opetustuntia kohden määrätyllä yksikköhinnalla.</t>
        </r>
      </text>
    </comment>
    <comment ref="C80" authorId="1" shapeId="0" xr:uid="{00000000-0006-0000-0900-000003000000}">
      <text>
        <r>
          <rPr>
            <b/>
            <sz val="9"/>
            <color indexed="81"/>
            <rFont val="Tahoma"/>
            <family val="2"/>
          </rPr>
          <t>Lehtonen Sanna:</t>
        </r>
        <r>
          <rPr>
            <sz val="9"/>
            <color indexed="81"/>
            <rFont val="Tahoma"/>
            <family val="2"/>
          </rPr>
          <t xml:space="preserve">
Yksikköhintaa korotetaan seuraavien tekijöiden perusteella (A 805/1998, 3§):
- opistossa majoitettujen opiskelijoiden opiskelijaviikkojen osalta 30%
- vaikeasti vammaisten opiskelijaviikkojen osalta 97% kansanopistoille, joiden pääasiallisen koulutustehtävän muodostaa vaikeasti vammaisille järjestettävä koulutus (ns. erityiskansanopistot), ja 32% kansanopistoille, joiden koulutustehtävään kuuluu osana vaikeasti vammaisille järjestettävä koulutus 
- niistä opiskelijaviikoista, jotka osana kansanopiston ylläpitämisluvan mukaista koulutustehtävää ovat työelämän aktiiviseen kansalaisuuteen ja työolojen kehittämiseen tarkoitettua koulutusta tai erityisestä syystä määrättävää muuta erityistä koulutustehtävää, yksikköhintaa korotetaan 26%
(pohja-arvo x opiskelijaviikot + korotus% x pohja-arvo x korotettavat opiskelijaviikot) / opiskelijaviikot</t>
        </r>
      </text>
    </comment>
    <comment ref="C90" authorId="1" shapeId="0" xr:uid="{00000000-0006-0000-0900-000004000000}">
      <text>
        <r>
          <rPr>
            <b/>
            <sz val="9"/>
            <color indexed="81"/>
            <rFont val="Tahoma"/>
            <family val="2"/>
          </rPr>
          <t>Lehtonen Sanna:</t>
        </r>
        <r>
          <rPr>
            <sz val="9"/>
            <color indexed="81"/>
            <rFont val="Tahoma"/>
            <family val="2"/>
          </rPr>
          <t xml:space="preserve">
Kunnalle myönnetään valtionosuutta liikuntatoiminnan käyttökustannuksiin 29,70 prosenttia euromäärästä, joka saadaan, kun kunnan asukasmäärä kerrotaan liikuntatoimintaa varten asukasta kohden määrätyllä yksikköhinnalla.
</t>
        </r>
      </text>
    </comment>
    <comment ref="C92" authorId="1" shapeId="0" xr:uid="{00000000-0006-0000-0900-000005000000}">
      <text>
        <r>
          <rPr>
            <b/>
            <sz val="9"/>
            <color indexed="81"/>
            <rFont val="Tahoma"/>
            <family val="2"/>
          </rPr>
          <t>Lehtonen Sanna:</t>
        </r>
        <r>
          <rPr>
            <sz val="9"/>
            <color indexed="81"/>
            <rFont val="Tahoma"/>
            <family val="2"/>
          </rPr>
          <t xml:space="preserve">
Kunnalle myönnetään valtionosuutta nuorisotyön käyttökustannuksiin 29,70 prosenttia euromäärästä, joka saadaan, kun kunnan alle 29-vuotiaiden asukkaiden määrä kerrotaan nuorisotyötä varten asukasta kohden määrätyllä yksikköhinnalla.</t>
        </r>
      </text>
    </comment>
    <comment ref="C94" authorId="1" shapeId="0" xr:uid="{00000000-0006-0000-0900-000006000000}">
      <text>
        <r>
          <rPr>
            <b/>
            <sz val="9"/>
            <color indexed="81"/>
            <rFont val="Tahoma"/>
            <family val="2"/>
          </rPr>
          <t>Lehtonen Sanna:</t>
        </r>
        <r>
          <rPr>
            <sz val="9"/>
            <color indexed="81"/>
            <rFont val="Tahoma"/>
            <family val="2"/>
          </rPr>
          <t xml:space="preserve">
Museon, teatterin ja orkesterin ylläpitäjälle myönnetään valtionosuutta mainituista toiminnoista aiheutuviin käyttökustannuksiin 37 prosenttia euromäärästä, joka saadaan, kun ylläpitäjälle museota, teatteria ja orkesteria varten vahvistettu laskennallinen henkilötyövuosien määrä kerrotaan henkilötyövuotta kohden asianomaista toimintaa varten määrätyllä yksikköhinnalla.</t>
        </r>
      </text>
    </comment>
  </commentList>
</comments>
</file>

<file path=xl/sharedStrings.xml><?xml version="1.0" encoding="utf-8"?>
<sst xmlns="http://schemas.openxmlformats.org/spreadsheetml/2006/main" count="888" uniqueCount="741">
  <si>
    <t>Lyhyt kuvaus (valinnainen): Esitäytetty laskuri, joka näyttää kunnan valtionosuuden muodostumisen ja mahdollistaa kunnan oman laskennan</t>
  </si>
  <si>
    <t>Yhteyshenkilö: Olli Riikonen, puh. 050 477 5619</t>
  </si>
  <si>
    <t xml:space="preserve">Käyttöehdot: </t>
  </si>
  <si>
    <t>Voit</t>
  </si>
  <si>
    <t>Jakaa </t>
  </si>
  <si>
    <t>kopioida aineistoa ja levittää sitä edelleen missä tahansa välineessä ja muodossa</t>
  </si>
  <si>
    <t>Et voi</t>
  </si>
  <si>
    <t>Muunnella</t>
  </si>
  <si>
    <t>remiksata etkä muokata aineistoa (ilman tekijän lupaa)</t>
  </si>
  <si>
    <t>18.6.2018, Kuntaliitto / SL</t>
  </si>
  <si>
    <t>Erä</t>
  </si>
  <si>
    <t>Lisää valtionosuutta</t>
  </si>
  <si>
    <t>Vähentää valtionosuutta</t>
  </si>
  <si>
    <t>Valtionosuudet yhteensä</t>
  </si>
  <si>
    <t>Valtionosuus laskennallisista kustannuksista</t>
  </si>
  <si>
    <t>KUNNAN VALTIONOSUUSRAHOITUS 2024</t>
  </si>
  <si>
    <t>KUNNAN VALTIONOSUUSRAHOITUS 2018</t>
  </si>
  <si>
    <t>Verotuloihin perustuva tasaus</t>
  </si>
  <si>
    <t>Verokompensaatiot</t>
  </si>
  <si>
    <t>Taulukon täyttöohje:</t>
  </si>
  <si>
    <t>Lisäosat</t>
  </si>
  <si>
    <t xml:space="preserve">  Valitse, syötä tai tarkista sinisten kenttien tiedot</t>
  </si>
  <si>
    <t>Lisäykset ja vähennykset (PL. sote-tasaus)</t>
  </si>
  <si>
    <t xml:space="preserve">  Tiedot siirtyvät automaattisesti työkirjan muista taulukoista näihin turkoosin värisiin kenttiin. Tarkista tiedot.</t>
  </si>
  <si>
    <t xml:space="preserve">  Tiedot siirtyvät automaattisesti työkirjan muista taulukoista keltaisiin kenttiin. Tarkista tiedot.</t>
  </si>
  <si>
    <t>Sote-uudistuksen tasauserät</t>
  </si>
  <si>
    <t>OKM valtionosuus</t>
  </si>
  <si>
    <r>
      <rPr>
        <b/>
        <i/>
        <sz val="10"/>
        <rFont val="Arial"/>
        <family val="2"/>
      </rPr>
      <t>Lisätiedot</t>
    </r>
    <r>
      <rPr>
        <i/>
        <sz val="10"/>
        <rFont val="Arial"/>
        <family val="2"/>
      </rPr>
      <t>: Suomen Kuntaliitto / Olli Riikonen, puh. 050 477 5619 ja Mikko Mehtonen, puh. 050 592 8986</t>
    </r>
  </si>
  <si>
    <t>Yhteensä (netto)</t>
  </si>
  <si>
    <t>Kunta:</t>
  </si>
  <si>
    <t>Akaa</t>
  </si>
  <si>
    <t xml:space="preserve">    Klikkaa solu aktiiviseksi ja valitse kunta alasvetovalikosta</t>
  </si>
  <si>
    <t>Klikkaa solu aktiiviseksi ja valitse kunta alasvetovalikosta</t>
  </si>
  <si>
    <t>Asukasluku 31.12.2022:</t>
  </si>
  <si>
    <t>Asukasluku 31.12.2016:</t>
  </si>
  <si>
    <t>Tarkista asukasluku</t>
  </si>
  <si>
    <t>YHTEENVETO</t>
  </si>
  <si>
    <t>Kunnan peruspalvelujen valtionosuus (VM)</t>
  </si>
  <si>
    <t>euroa</t>
  </si>
  <si>
    <t>euroa/asukas</t>
  </si>
  <si>
    <t>Kunnan peruspalvelujen valtionosuus:</t>
  </si>
  <si>
    <t>Ikärakenne</t>
  </si>
  <si>
    <t>Kunnan peruspalvelujen</t>
  </si>
  <si>
    <t>Muut laskennalliset kustannukset</t>
  </si>
  <si>
    <t>valtionosuusprosentti</t>
  </si>
  <si>
    <t>Kunnan laskennalliset kustannukset yhteensä</t>
  </si>
  <si>
    <t>Laskennalliset kustannukset yhteensä</t>
  </si>
  <si>
    <t>Kunnan oma</t>
  </si>
  <si>
    <t>Kunnan omarahoitusosuus laskennallisesta kustannuksesta</t>
  </si>
  <si>
    <t>€/asukas</t>
  </si>
  <si>
    <t>Kunnan peruspalvelujen valtionosuuden rahoitusosuus</t>
  </si>
  <si>
    <t xml:space="preserve">Valtion osuus laskennallisesta kustannuksesta </t>
  </si>
  <si>
    <t>Valtionosuuteen tehtävät vähennykset ja lisäykset yhteensä</t>
  </si>
  <si>
    <t>Muutosrajoitin</t>
  </si>
  <si>
    <t>Siirtymätasaus (vuonna 2024)</t>
  </si>
  <si>
    <t>Jälkikäteistarkistuksesta johtuva valtionosuuden lisäsiirtotarve</t>
  </si>
  <si>
    <t>Kunnan peruspalvelujen valtionosuus ennen tulopohjan tasausta</t>
  </si>
  <si>
    <t>Kunnan peruspalvelujen valtionosuus ennen tasausta</t>
  </si>
  <si>
    <t>Verotuloihin perustuva valtionosuuden tasaus (+tasauslisä/-tasausvähennys)</t>
  </si>
  <si>
    <t>Verotuloihin perustuva valtionosuuden tasaus (+/-)</t>
  </si>
  <si>
    <t>1. Kunnan peruspalvelujen valtionosuus (VM)</t>
  </si>
  <si>
    <t>1. Kunnan peruspalvelujen valtionosuus</t>
  </si>
  <si>
    <t>OKM:n rahoitus 2019 itse</t>
  </si>
  <si>
    <t xml:space="preserve">2. Opetus- ja kulttuuritoimen valtionosuudet </t>
  </si>
  <si>
    <t>2. Opetus- ja kulttuuritoimen valtionosuudet 2018</t>
  </si>
  <si>
    <t>laskettuna taul. 9-10 avulla:</t>
  </si>
  <si>
    <r>
      <t xml:space="preserve">Laskurilla laskettu rahoitus vuodelle 2024 </t>
    </r>
    <r>
      <rPr>
        <sz val="8"/>
        <color indexed="23"/>
        <rFont val="Arial"/>
        <family val="2"/>
      </rPr>
      <t>(täytä arviotiedot välilehdille 8 ja 9)</t>
    </r>
  </si>
  <si>
    <t>Mistä</t>
  </si>
  <si>
    <t>Sisältää</t>
  </si>
  <si>
    <t>- kunnan omarahoitusosuuden</t>
  </si>
  <si>
    <t>- positiiviset erät (esim. lukiorahoitus, vammaiskorotukset, opistot, taidelaitokset, apip)</t>
  </si>
  <si>
    <t>- positiiviset erät (esim. vammaiskorotukset, lukio, opistot, taidelaitokset, apip jne.)</t>
  </si>
  <si>
    <t>Kunnan valtionosuusrahoitus 2019</t>
  </si>
  <si>
    <t>Kunnan valtionosuusrahoitus 2024</t>
  </si>
  <si>
    <t>Kunnan valtionosuusrahoitus 2024 itse syötetyillä opetus- ja kulttuuritoimen tiedoilla</t>
  </si>
  <si>
    <t>Esi- ja perusopetuksen kotikuntakorvaukset</t>
  </si>
  <si>
    <t>Kotikuntakorvaukset esi- ja perusopetuksessa</t>
  </si>
  <si>
    <t>Kotikuntakorvaukset itse laskettuna taulukosta 8</t>
  </si>
  <si>
    <t>Kotikuntakorvausmenot (-)</t>
  </si>
  <si>
    <t>Kotikuntakorvaustulot (+)</t>
  </si>
  <si>
    <t>Kotikuntakorvaukset, netto</t>
  </si>
  <si>
    <t>Kotikuntakorvaukset, yhteensä</t>
  </si>
  <si>
    <t>maksatus</t>
  </si>
  <si>
    <t>€/kuukausi</t>
  </si>
  <si>
    <t xml:space="preserve">Valtionosuusmaksatus </t>
  </si>
  <si>
    <r>
      <t xml:space="preserve">Valtionosuusmaksatus </t>
    </r>
    <r>
      <rPr>
        <sz val="8"/>
        <color indexed="23"/>
        <rFont val="Arial"/>
        <family val="2"/>
      </rPr>
      <t>(kunnan peruspalvelujen valtionosuus +/- OKM:n valtionosuus</t>
    </r>
  </si>
  <si>
    <t>Valtionosuusmaksatus 2018</t>
  </si>
  <si>
    <t>kunnan peruspalvelujen valtionosuus +/- OKM:n valtionosuus +/- kotikuntakorvaukset</t>
  </si>
  <si>
    <t xml:space="preserve">  +/- kotikuntakorvaukset; pl. harkinnanvarainen valtionosuuden korotus)</t>
  </si>
  <si>
    <t>kuukausierä, maksetaan jokaisen kuukauden 11. päivään mennessä</t>
  </si>
  <si>
    <t xml:space="preserve"> - kuukausierä, maksetaan jokaisen kuukauden 11. päivään mennessä</t>
  </si>
  <si>
    <t>Ohjeet:</t>
  </si>
  <si>
    <t>Syötä kuntakohtaiset tiedot soluihin.</t>
  </si>
  <si>
    <t>Tarkista solujen valtakunnalliset tiedot.</t>
  </si>
  <si>
    <t>Laskennalliset</t>
  </si>
  <si>
    <t>kustannukset, euroa</t>
  </si>
  <si>
    <t>määrä</t>
  </si>
  <si>
    <t>perushinta</t>
  </si>
  <si>
    <t>0-5-vuotiaat</t>
  </si>
  <si>
    <t>6-vuotiaat</t>
  </si>
  <si>
    <t>7-12-vuotiaat</t>
  </si>
  <si>
    <t>13-15-vuotiaat</t>
  </si>
  <si>
    <t>Yli 16-vuotiaat</t>
  </si>
  <si>
    <t>Ikärakenne yhteensä:</t>
  </si>
  <si>
    <t>Ikärakenteen perusteella määr. laskennalliset kustannukset yhteensä</t>
  </si>
  <si>
    <t>(Tieto siirtyy automaattisesti taulukkoon "2. Yhteenveto".)</t>
  </si>
  <si>
    <t>MUUT LASKENNALLISET KUSTANNUKSET</t>
  </si>
  <si>
    <t>Työttömyys</t>
  </si>
  <si>
    <t>Koko maa</t>
  </si>
  <si>
    <t>Työttömien määrä</t>
  </si>
  <si>
    <t>Työvoima</t>
  </si>
  <si>
    <t>Työttömyyskerroin</t>
  </si>
  <si>
    <t>Perushinta</t>
  </si>
  <si>
    <t>Työttömyyden perusteella yhteensä</t>
  </si>
  <si>
    <t>Vieraskielisyys</t>
  </si>
  <si>
    <t>Vieraskielisten määrä</t>
  </si>
  <si>
    <t>Vieraskielisyyden perusteella yhteensä</t>
  </si>
  <si>
    <t>Kaksikielisyys</t>
  </si>
  <si>
    <t>Onko kunta kaksikielinen? (0, 1, 2, 3)</t>
  </si>
  <si>
    <t>0 = yksikielinen suomenkielinen</t>
  </si>
  <si>
    <t>1 = kaksikielinen, suomi pääkieli</t>
  </si>
  <si>
    <t>2 = yksikielinen ruotsinkielinen</t>
  </si>
  <si>
    <t>3 = kaksikielinen, ruotsi pääkieli</t>
  </si>
  <si>
    <t>Ruotsinkielisten määrä</t>
  </si>
  <si>
    <t>A) 7 % kokonaisuudesta asukasmäärään perustuen</t>
  </si>
  <si>
    <t>B) 93 % kokonaisuudesta ruotsinkielisten määrään perustuen</t>
  </si>
  <si>
    <t>Kaksikielisyyden perusteella yhteensä</t>
  </si>
  <si>
    <t>Saaristoisuus</t>
  </si>
  <si>
    <t>Onko kunta saaristokunta? (0, 1, 2, 3)</t>
  </si>
  <si>
    <t>0 = ei saaristo- eikä saaristo-osakunta</t>
  </si>
  <si>
    <t>1 = saaristokunta</t>
  </si>
  <si>
    <t>2 = saaristokunta ilman kiinteää tieyhteyttä mantereeseen (Hailuoto)</t>
  </si>
  <si>
    <t>3 = saaristo-osakunta</t>
  </si>
  <si>
    <t>Saaristoisuuden perusteella yhteensä</t>
  </si>
  <si>
    <t>Saaristo-osakunnat</t>
  </si>
  <si>
    <t>Väestö kunnan saaristo-osissa</t>
  </si>
  <si>
    <t>Saaristo-osakuntakorotus yhteensä</t>
  </si>
  <si>
    <t>Asukastiheys</t>
  </si>
  <si>
    <t>Maapinta-ala</t>
  </si>
  <si>
    <t>Asukastiheyskerroin</t>
  </si>
  <si>
    <t>Asukastiheyden perusteella yhteensä</t>
  </si>
  <si>
    <t>Koulutustausta</t>
  </si>
  <si>
    <t>Ilman perusasteen jälkeistä tutkintoa olevat 30–54-vuotiaat</t>
  </si>
  <si>
    <t>30-54-vuotiaat</t>
  </si>
  <si>
    <t>&lt;- 2021</t>
  </si>
  <si>
    <t>Osuus</t>
  </si>
  <si>
    <t>Koulutustaustakerroin</t>
  </si>
  <si>
    <t>Koulutustaustan perusteella yhteensä</t>
  </si>
  <si>
    <t>Muut laskennalliset kustannukset yhteensä</t>
  </si>
  <si>
    <t>Tarkista solujen tiedot.</t>
  </si>
  <si>
    <t>Hyvinvoinnin ja terveyden edistäminen</t>
  </si>
  <si>
    <t>Hyvinvoinnin ja terveyden edistämisen kerroin</t>
  </si>
  <si>
    <t>Hyvinvoinnin ja terveyden edistämiseen yhteensä</t>
  </si>
  <si>
    <t>Asukasmäärän kasvu</t>
  </si>
  <si>
    <t>Kerroin</t>
  </si>
  <si>
    <t>Asukasmäärän kasvu yhteensä</t>
  </si>
  <si>
    <t>Syrjäisyys</t>
  </si>
  <si>
    <t>Syrjäisyysluku (jos kunnalle on määrätty)</t>
  </si>
  <si>
    <t xml:space="preserve"> - syrjäisyysluku alle 1</t>
  </si>
  <si>
    <t>(0 tai 1)</t>
  </si>
  <si>
    <t xml:space="preserve"> - syrjäisyysluku 1 - 1,5</t>
  </si>
  <si>
    <t>- syrjäisyysluku 1,5 tai enemmän</t>
  </si>
  <si>
    <t>Syrjäisyyden perusteella yhteensä</t>
  </si>
  <si>
    <t>Työpaikkaomavaraisuus</t>
  </si>
  <si>
    <t>Alueella työssäkäyvät (työpaikat)</t>
  </si>
  <si>
    <t>Työlliset</t>
  </si>
  <si>
    <t>osuus</t>
  </si>
  <si>
    <t>Työpaikkaomavaraisuuskerroin</t>
  </si>
  <si>
    <t>Työpaikaomavaraisuuden perusteella yhteensä</t>
  </si>
  <si>
    <t>Saamelaisten kotiseutualueen kunta</t>
  </si>
  <si>
    <t>Onko kunta saamelaisten kotiseutualueen kunta?</t>
  </si>
  <si>
    <t>Lisäosat yhteensä</t>
  </si>
  <si>
    <t>VÄHENNYKSET</t>
  </si>
  <si>
    <t>Kuntien yhdistymisavustus</t>
  </si>
  <si>
    <t>Harkinnanvaraisten avustusten vähennys</t>
  </si>
  <si>
    <t>Kriisikuntien harkinnanvarainen yhdistymisavustus</t>
  </si>
  <si>
    <t>Aloittavien koulujen rahoitukseen liittyvä vähennys</t>
  </si>
  <si>
    <t>Kumulatiivinen verotuloihin perustuvan tasauksen muutoksen neutralisointi (vuodesta 2023 alkaen)</t>
  </si>
  <si>
    <t>Perustoimeentulotuen vähennys</t>
  </si>
  <si>
    <t>Vähennykset yhteensä</t>
  </si>
  <si>
    <t>SOTE-ERÄT</t>
  </si>
  <si>
    <t>Siirtymätasaus</t>
  </si>
  <si>
    <t>Sote-erät yhteensä</t>
  </si>
  <si>
    <t>VÄHENNYKSET JA LISÄYKSET YHTEENSÄ</t>
  </si>
  <si>
    <t>MOMENTTI: Valtion korvaus veromenetyksistä</t>
  </si>
  <si>
    <t>Veromenetyksen kompensaatio vuodelta 2010</t>
  </si>
  <si>
    <t>Veromenetyksen kompensaatio vuodelta 2011</t>
  </si>
  <si>
    <t>Veromenetyksen kompensaatio vuodelta 2012</t>
  </si>
  <si>
    <t>Veromenetyksen kompensaatio vuodelta 2013</t>
  </si>
  <si>
    <t>Veromenetyksen kompensaatio vuodelta 2014</t>
  </si>
  <si>
    <t>Veroperustemuutosten vaikutus vuodelta 2015</t>
  </si>
  <si>
    <t>Veroperustemuutosten vaikutus vuodelta 2016</t>
  </si>
  <si>
    <t xml:space="preserve">Veroperustemuutosten vaikutus vuodelta 2017 </t>
  </si>
  <si>
    <t>Veroperustemuutosten vaikutus vuodelta 2018</t>
  </si>
  <si>
    <t>Veroperustemuutosten vaikutus vuodelta 2019</t>
  </si>
  <si>
    <t>Veroperustemuutosten vaikutus vuodelta 2020</t>
  </si>
  <si>
    <t>Veroperustemuutosten vaikutus vuodelta 2021</t>
  </si>
  <si>
    <t>Veroperustemuutosten vaikutus vuodelta 2022</t>
  </si>
  <si>
    <t>Veroperustemuutoksista johtuvien veromenetysten korvaus</t>
  </si>
  <si>
    <t>VEROMENETYSTEN KOMPENSAATIOT YHTEENSÄ</t>
  </si>
  <si>
    <t>Syötä kuntakohtaiset tiedot keltaisiin soluihin.</t>
  </si>
  <si>
    <t>Tarkista vihreiden solujen valtakunnalliset tiedot.</t>
  </si>
  <si>
    <t>Esi- ja perusopetuksen kotikuntakorvauksen</t>
  </si>
  <si>
    <t>Kotikunta-</t>
  </si>
  <si>
    <t>korvauksen</t>
  </si>
  <si>
    <t>perusosa</t>
  </si>
  <si>
    <t>KOTIKUNTAKORVAUSMENOT</t>
  </si>
  <si>
    <r>
      <t xml:space="preserve">Oppilaat </t>
    </r>
    <r>
      <rPr>
        <b/>
        <u/>
        <sz val="10"/>
        <rFont val="Arial"/>
        <family val="2"/>
      </rPr>
      <t>toisen kunnan</t>
    </r>
    <r>
      <rPr>
        <u/>
        <sz val="10"/>
        <rFont val="Arial"/>
        <family val="2"/>
      </rPr>
      <t xml:space="preserve"> järjestämässä perusopetuksessa (rahoitus 100 %)</t>
    </r>
  </si>
  <si>
    <t>Määrä</t>
  </si>
  <si>
    <t>Peruste</t>
  </si>
  <si>
    <t>Summa</t>
  </si>
  <si>
    <t>13-16-vuotiaat</t>
  </si>
  <si>
    <t>Kotikuntakorvausmenot yhteensä</t>
  </si>
  <si>
    <r>
      <t xml:space="preserve">Oppilaat </t>
    </r>
    <r>
      <rPr>
        <b/>
        <u/>
        <sz val="10"/>
        <rFont val="Arial"/>
        <family val="2"/>
      </rPr>
      <t>muiden järjestäjien</t>
    </r>
    <r>
      <rPr>
        <u/>
        <sz val="10"/>
        <rFont val="Arial"/>
        <family val="2"/>
      </rPr>
      <t xml:space="preserve"> perusopetuksessa (rahoitus 94 %)</t>
    </r>
  </si>
  <si>
    <t>KOTIKUNTAKORVAUSTULOT</t>
  </si>
  <si>
    <t>Kotikuntakorvaustulot yhteensä</t>
  </si>
  <si>
    <t>Kotikuntakorvaukset yhteensä</t>
  </si>
  <si>
    <t>kuntanro</t>
  </si>
  <si>
    <t>kuntanimi</t>
  </si>
  <si>
    <t>vosC</t>
  </si>
  <si>
    <t>vosD</t>
  </si>
  <si>
    <t>vosE</t>
  </si>
  <si>
    <t>vosF</t>
  </si>
  <si>
    <t>vosG</t>
  </si>
  <si>
    <t>vosH</t>
  </si>
  <si>
    <t>vosI</t>
  </si>
  <si>
    <t>vosJ</t>
  </si>
  <si>
    <t>vosK</t>
  </si>
  <si>
    <t>vosL</t>
  </si>
  <si>
    <t>vosM</t>
  </si>
  <si>
    <t>vosN</t>
  </si>
  <si>
    <t>vosO</t>
  </si>
  <si>
    <t>vosP</t>
  </si>
  <si>
    <t>ikar_1</t>
  </si>
  <si>
    <t>ikar_2</t>
  </si>
  <si>
    <t>ikar_3</t>
  </si>
  <si>
    <t>ikar_4</t>
  </si>
  <si>
    <t>ikar_5</t>
  </si>
  <si>
    <t>ikar_6</t>
  </si>
  <si>
    <t>ikar_7</t>
  </si>
  <si>
    <t>ikar_8</t>
  </si>
  <si>
    <t>ikar_9</t>
  </si>
  <si>
    <t>ikar_11</t>
  </si>
  <si>
    <t>ikar_12</t>
  </si>
  <si>
    <t>ikar_13</t>
  </si>
  <si>
    <t>ikar_14</t>
  </si>
  <si>
    <t>ikar_16</t>
  </si>
  <si>
    <t>hyte_1</t>
  </si>
  <si>
    <t>muutla_1</t>
  </si>
  <si>
    <t>muutla_2</t>
  </si>
  <si>
    <t>muutla_3</t>
  </si>
  <si>
    <t>muutla_4</t>
  </si>
  <si>
    <t>muutla_5</t>
  </si>
  <si>
    <t>muutla_6</t>
  </si>
  <si>
    <t>muutla_7</t>
  </si>
  <si>
    <t>muutla_8</t>
  </si>
  <si>
    <t>muutla_9</t>
  </si>
  <si>
    <t>muutla_10</t>
  </si>
  <si>
    <t>muutla_18</t>
  </si>
  <si>
    <t>muutla_11</t>
  </si>
  <si>
    <t>muutla_12</t>
  </si>
  <si>
    <t>muutla_13</t>
  </si>
  <si>
    <t>muutla_14</t>
  </si>
  <si>
    <t>muutla_15</t>
  </si>
  <si>
    <t>muutla_16</t>
  </si>
  <si>
    <t>muutla_17</t>
  </si>
  <si>
    <t>lo_1</t>
  </si>
  <si>
    <t>lo_2</t>
  </si>
  <si>
    <t>lo_3</t>
  </si>
  <si>
    <t>lo_4</t>
  </si>
  <si>
    <t>lo_5</t>
  </si>
  <si>
    <t>lo_6</t>
  </si>
  <si>
    <t>lo_7</t>
  </si>
  <si>
    <t>vl_1</t>
  </si>
  <si>
    <t>vl_2</t>
  </si>
  <si>
    <t>vl_3</t>
  </si>
  <si>
    <t>vl_4</t>
  </si>
  <si>
    <t>vl_5</t>
  </si>
  <si>
    <t>vl_6</t>
  </si>
  <si>
    <t>vl_7</t>
  </si>
  <si>
    <t>vl_20</t>
  </si>
  <si>
    <t>vl_21</t>
  </si>
  <si>
    <t>vl_8</t>
  </si>
  <si>
    <t>vl_9</t>
  </si>
  <si>
    <t>vl_10</t>
  </si>
  <si>
    <t>vl_11</t>
  </si>
  <si>
    <t>vl_12</t>
  </si>
  <si>
    <t>vl_13</t>
  </si>
  <si>
    <t>vl_14</t>
  </si>
  <si>
    <t>vl_19</t>
  </si>
  <si>
    <t>vl_22</t>
  </si>
  <si>
    <t>vl_23</t>
  </si>
  <si>
    <t>vl_24</t>
  </si>
  <si>
    <t>vl_15</t>
  </si>
  <si>
    <t>vl_16</t>
  </si>
  <si>
    <t>vl_17</t>
  </si>
  <si>
    <t>vl_18</t>
  </si>
  <si>
    <t>vl_25</t>
  </si>
  <si>
    <t>vl_26</t>
  </si>
  <si>
    <t>vl_27</t>
  </si>
  <si>
    <t>vl_28</t>
  </si>
  <si>
    <t>vl_29</t>
  </si>
  <si>
    <t>jm_1</t>
  </si>
  <si>
    <t>tasa_1</t>
  </si>
  <si>
    <t>okm</t>
  </si>
  <si>
    <t>kkk_2</t>
  </si>
  <si>
    <t>kkk_3</t>
  </si>
  <si>
    <t>kkk_1</t>
  </si>
  <si>
    <t>sote_1</t>
  </si>
  <si>
    <t>sote_2</t>
  </si>
  <si>
    <t>sote_3</t>
  </si>
  <si>
    <t>sote_4</t>
  </si>
  <si>
    <t>asm_311213</t>
  </si>
  <si>
    <t>Alajärvi</t>
  </si>
  <si>
    <t>Alavieska</t>
  </si>
  <si>
    <t>Alavus</t>
  </si>
  <si>
    <t>Asikkala</t>
  </si>
  <si>
    <t>Askola</t>
  </si>
  <si>
    <t>Aura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</si>
  <si>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</si>
  <si>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</si>
  <si>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</si>
  <si>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</si>
  <si>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</si>
  <si>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</si>
  <si>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</si>
  <si>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</si>
  <si>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</si>
  <si>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</si>
  <si>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</si>
  <si>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</si>
  <si>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</si>
  <si>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</si>
  <si>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</si>
  <si>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</si>
  <si>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</si>
  <si>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</si>
  <si>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</si>
  <si>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</si>
  <si>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</si>
  <si>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</si>
  <si>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</si>
  <si>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</si>
  <si>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</si>
  <si>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</si>
  <si>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</si>
  <si>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</si>
  <si>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</si>
  <si>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</si>
  <si>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</si>
  <si>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</si>
  <si>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</si>
  <si>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</si>
  <si>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</si>
  <si>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</si>
  <si>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</si>
  <si>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</si>
  <si>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</si>
  <si>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</si>
  <si>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</si>
  <si>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</si>
  <si>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</si>
  <si>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</si>
  <si>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</si>
  <si>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</si>
  <si>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</si>
  <si>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</si>
  <si>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</si>
  <si>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</si>
  <si>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</si>
  <si>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</si>
  <si>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</si>
  <si>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</si>
  <si>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</si>
  <si>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</si>
  <si>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</si>
  <si>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</si>
  <si>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</si>
  <si>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</si>
  <si>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</si>
  <si>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</si>
  <si>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</si>
  <si>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</si>
  <si>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</si>
  <si>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</si>
  <si>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</si>
  <si>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</si>
  <si>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</si>
  <si>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</si>
  <si>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</si>
  <si>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</si>
  <si>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</si>
  <si>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</si>
  <si>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</si>
  <si>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</si>
  <si>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</si>
  <si>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</si>
  <si>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</si>
  <si>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</si>
  <si>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</si>
  <si>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</si>
  <si>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</si>
  <si>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</si>
  <si>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</si>
  <si>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</si>
  <si>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</si>
  <si>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</si>
  <si>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</si>
  <si>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</si>
  <si>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</si>
  <si>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</si>
  <si>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</si>
  <si>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</si>
  <si>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</si>
  <si>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</si>
  <si>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</si>
  <si>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</si>
  <si>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</si>
  <si>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</si>
  <si>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</si>
  <si>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</si>
  <si>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</si>
  <si>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</si>
  <si>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</si>
  <si>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</si>
  <si>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</si>
  <si>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</si>
  <si>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</si>
  <si>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</si>
  <si>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</si>
  <si>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</si>
  <si>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</si>
  <si>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</si>
  <si>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</si>
  <si>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</si>
  <si>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</si>
  <si>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</si>
  <si>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</si>
  <si>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</si>
  <si>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</si>
  <si>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</si>
  <si>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</si>
  <si>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</si>
  <si>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</si>
  <si>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</si>
  <si>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</si>
  <si>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</si>
  <si>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</si>
  <si>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</si>
  <si>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</si>
  <si>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</si>
  <si>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</si>
  <si>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</si>
  <si>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</si>
  <si>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</si>
  <si>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</si>
  <si>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</si>
  <si>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</si>
  <si>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</si>
  <si>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</si>
  <si>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</si>
  <si>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</si>
  <si>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</si>
  <si>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</si>
  <si>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</si>
  <si>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</si>
  <si>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</si>
  <si>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</si>
  <si>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</si>
  <si>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</si>
  <si>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</si>
  <si>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</si>
  <si>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</si>
  <si>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</si>
  <si>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</si>
  <si>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</si>
  <si>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</si>
  <si>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</si>
  <si>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</si>
  <si>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</si>
  <si>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</si>
  <si>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</si>
  <si>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</si>
  <si>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</si>
  <si>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</si>
  <si>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</si>
  <si>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</si>
  <si>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</si>
  <si>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</si>
  <si>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</si>
  <si>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</si>
  <si>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</si>
  <si>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</si>
  <si>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</si>
  <si>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</si>
  <si>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</si>
  <si>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</si>
  <si>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</si>
  <si>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</si>
  <si>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</si>
  <si>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</si>
  <si>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</si>
  <si>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</si>
  <si>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</si>
  <si>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</si>
  <si>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</si>
  <si>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</si>
  <si>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</si>
  <si>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</si>
  <si>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</si>
  <si>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</si>
  <si>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</si>
  <si>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</si>
  <si>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</si>
  <si>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</si>
  <si>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</si>
  <si>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</si>
  <si>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</si>
  <si>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</si>
  <si>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</si>
  <si>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</si>
  <si>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</si>
  <si>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</si>
  <si>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</si>
  <si>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</si>
  <si>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</si>
  <si>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</si>
  <si>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</si>
  <si>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</si>
  <si>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</si>
  <si>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</si>
  <si>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</si>
  <si>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</si>
  <si>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</si>
  <si>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</si>
  <si>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</si>
  <si>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</si>
  <si>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</si>
  <si>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</si>
  <si>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</si>
  <si>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</si>
  <si>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</si>
  <si>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</si>
  <si>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</si>
  <si>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</si>
  <si>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</si>
  <si>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</si>
  <si>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</si>
  <si>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</si>
  <si>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</si>
  <si>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</si>
  <si>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</si>
  <si>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</si>
  <si>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</si>
  <si>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</si>
  <si>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</si>
  <si>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</si>
  <si>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</si>
  <si>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</si>
  <si>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</si>
  <si>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</si>
  <si>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</si>
  <si>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</si>
  <si>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</si>
  <si>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</si>
  <si>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</si>
  <si>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</si>
  <si>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</si>
  <si>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</si>
  <si>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</si>
  <si>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</si>
  <si>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</si>
  <si>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</si>
  <si>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</si>
  <si>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</si>
  <si>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</si>
  <si>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</si>
  <si>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</si>
  <si>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</si>
  <si>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</si>
  <si>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</si>
  <si>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</si>
  <si>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</si>
  <si>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</si>
  <si>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</si>
  <si>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</si>
  <si>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</si>
  <si>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</si>
  <si>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</si>
  <si>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</si>
  <si>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</si>
  <si>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</si>
  <si>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</si>
  <si>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</si>
  <si>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</si>
  <si>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</si>
  <si>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</si>
  <si>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</si>
  <si>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</si>
  <si>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</si>
  <si>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</si>
  <si>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</si>
  <si>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</si>
  <si>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</si>
  <si>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</si>
  <si>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Sivu 1/2</t>
  </si>
  <si>
    <t>= syötä kuntakohtaiset tiedot soluihin</t>
  </si>
  <si>
    <t>= tarkista solujen valtakunnalliset tiedot</t>
  </si>
  <si>
    <t>- mistä alle 29-vuotiaita</t>
  </si>
  <si>
    <t>Lukio</t>
  </si>
  <si>
    <t>Siirtyy välilehdestä "Lukio"</t>
  </si>
  <si>
    <t>Ammatillinen koulutus</t>
  </si>
  <si>
    <t>Oman erillisen laskelman mukaan</t>
  </si>
  <si>
    <t>Ylläpitäjien yksikköhintarahoitus</t>
  </si>
  <si>
    <t>OPETUS- JA KULTTUURITOIMEN KUNNAN OMARAHOITUSOSUUS</t>
  </si>
  <si>
    <t>Lukiokoulutukseen</t>
  </si>
  <si>
    <t>Toisen asteen ammatilliseen koulutukseen</t>
  </si>
  <si>
    <t>Kunnan omarahoitusosuus toisen asteen koulutukseen</t>
  </si>
  <si>
    <t>ESI- JA PERUSOPETUKSEN OPPILASKOHTAISET LISÄT</t>
  </si>
  <si>
    <t>Kotikuntakorvauksen perusosa</t>
  </si>
  <si>
    <t>Perusosaan tehtävä vähennys</t>
  </si>
  <si>
    <t>Rahoituksen myöntökerroin</t>
  </si>
  <si>
    <t>yksikkö-</t>
  </si>
  <si>
    <t>oppilas-</t>
  </si>
  <si>
    <t>hinta</t>
  </si>
  <si>
    <t>yksikkö</t>
  </si>
  <si>
    <t>kerroin</t>
  </si>
  <si>
    <t>Pidennetty oppivelvollisuus</t>
  </si>
  <si>
    <t xml:space="preserve">  Vaikeimmin vammaiset</t>
  </si>
  <si>
    <t>Kotikuntakorv. perusosa</t>
  </si>
  <si>
    <t xml:space="preserve">  Muut vammaiset</t>
  </si>
  <si>
    <t>Sisäoppilaitoslisä</t>
  </si>
  <si>
    <t>Koulukotikorotus</t>
  </si>
  <si>
    <t>Muut kuin oppivelvolliset</t>
  </si>
  <si>
    <t xml:space="preserve">  5-vuotiaiden esiopetus</t>
  </si>
  <si>
    <t xml:space="preserve">  Oppivelvollisuusiän ylittäneet</t>
  </si>
  <si>
    <t xml:space="preserve">  Aineopetus</t>
  </si>
  <si>
    <t>Yksikköhinta (€/kurssi)</t>
  </si>
  <si>
    <t>Joustavan perus-</t>
  </si>
  <si>
    <t>opetuksen lisä</t>
  </si>
  <si>
    <t>Yksikköhinta</t>
  </si>
  <si>
    <t>Perusopetukseen</t>
  </si>
  <si>
    <t>läsnäolokuukausia</t>
  </si>
  <si>
    <t>valmistava opetus</t>
  </si>
  <si>
    <t>Esi- ja perusopetuksen oppilaskohtaiset lisät yhteensä</t>
  </si>
  <si>
    <t>Sivu 2</t>
  </si>
  <si>
    <t>MUU OPETUS- JA KULTTUURITOIMEN VALTIONOSUUSRAHOITUS</t>
  </si>
  <si>
    <t>suorite-</t>
  </si>
  <si>
    <t>vos-</t>
  </si>
  <si>
    <t>prosentti</t>
  </si>
  <si>
    <t>Aamu- ja iltapäivätoiminta</t>
  </si>
  <si>
    <t>€/ohjaustunti</t>
  </si>
  <si>
    <t>Taiteen perusopetus</t>
  </si>
  <si>
    <t>(Musiikkioppilaitos)</t>
  </si>
  <si>
    <t>€/opetustunti</t>
  </si>
  <si>
    <t>Kansalaisopisto</t>
  </si>
  <si>
    <t>kotoutumissuunnitelmaan hyväksyttävä koulutus: vos-prosentti 100 %</t>
  </si>
  <si>
    <t>Kansanopistot</t>
  </si>
  <si>
    <t>€/opiskelijaviikko</t>
  </si>
  <si>
    <t>oppivelvollisille suunnattu koulutus: vos-prosentti 100 %</t>
  </si>
  <si>
    <t>Kesäyliopisto</t>
  </si>
  <si>
    <t>Liikunnan koulutuskeskukset</t>
  </si>
  <si>
    <t>Liikunta</t>
  </si>
  <si>
    <t>Nuorisotyö</t>
  </si>
  <si>
    <t>€/alle 29-v.</t>
  </si>
  <si>
    <t>Museo</t>
  </si>
  <si>
    <t>€/henkilötyöv.</t>
  </si>
  <si>
    <t>Teatteri</t>
  </si>
  <si>
    <t>Orkesteri</t>
  </si>
  <si>
    <t>Muu opetus- ja kulttuuritoimen valtionosuusrahoitus yhteensä</t>
  </si>
  <si>
    <t>Opetus- ja kulttuuritoimen valtionosuus yhteensä:</t>
  </si>
  <si>
    <t>- mistä toisen asteen koulutuksen rahoitus</t>
  </si>
  <si>
    <t>- mistä esi- ja perusopetuksen lisärahoitus</t>
  </si>
  <si>
    <t>- mistä muu opetus- ja kulttuuritoimen rahoitus</t>
  </si>
  <si>
    <t>- OKM:n positiivisten rahoituserien summa yhteensä</t>
  </si>
  <si>
    <t>- mistä kunnan omarahoitusosuus lukiokoulutukseen</t>
  </si>
  <si>
    <t>- mistä kunnan omarahoitusosuus ammatilliseen koulutukseen</t>
  </si>
  <si>
    <t>= syötä kuntakohtaiset tiedot keltaisiin soluihin</t>
  </si>
  <si>
    <t>= tarkista vihreiden solujen valtakunnalliset tiedot</t>
  </si>
  <si>
    <t>Keskimääräinen yksikköhinta</t>
  </si>
  <si>
    <t>Tasauskerroin</t>
  </si>
  <si>
    <t xml:space="preserve">  Toistaiseksi vuoden 2022 tasauskerroin.</t>
  </si>
  <si>
    <t>Opiskelija-</t>
  </si>
  <si>
    <t>määrä 1)</t>
  </si>
  <si>
    <t>Pisteitä</t>
  </si>
  <si>
    <t>Yhteensä</t>
  </si>
  <si>
    <t>Painotettu pistearvo</t>
  </si>
  <si>
    <t>Tunnusluvun mukainen yksikköhinta</t>
  </si>
  <si>
    <t>Lukiokoulutuksen erityis- ja kehittämistehtävät</t>
  </si>
  <si>
    <t>Laskuri sisältää vain lukiokoulutuksen yksikköhintarahoituksen. Voit arvioida lisärahoitusta esimerkiksi edellisvuoden summilla.</t>
  </si>
  <si>
    <t>Ylläpitäjän lukion yksikköhinta</t>
  </si>
  <si>
    <t>€/opiskelija</t>
  </si>
  <si>
    <t>Ylläpitäjän aikuisopiskelijan yksikköhinta</t>
  </si>
  <si>
    <t>1) Mikäli toisessa tai molemmissa kieliryhmissä on alle 200 opiskelijaa</t>
  </si>
  <si>
    <t>LUKION YKSIKKÖHINTARAHOITUKSEN LASKENNALLINEN PERUSTE</t>
  </si>
  <si>
    <t>Aikuis-</t>
  </si>
  <si>
    <t>opiskelijoita 2)</t>
  </si>
  <si>
    <t>Aineopiskelun laskennalliset opiskelijat yhteensä 3)</t>
  </si>
  <si>
    <t>Lukion valtionosuuden laskennallinen peruste:</t>
  </si>
  <si>
    <t>Aikuisopiskeilijoiden valtionosuuden laskennallinen peruste:</t>
  </si>
  <si>
    <t>Aineopiskelun laskennallinen peruste:</t>
  </si>
  <si>
    <t>2) Pois lukien aineopiskelun laskennalliset opiskelijat</t>
  </si>
  <si>
    <t>3) Lukuvuoden kurssit jaettuna 15:llä. Muussa oppilaitoksessa suoritettavia aineopiskelun kursseja</t>
  </si>
  <si>
    <t xml:space="preserve">   ei oteta huomioon.</t>
  </si>
  <si>
    <t>Lukion yksikköhintarahoituksen laskennallinen peruste yhteensä</t>
  </si>
  <si>
    <t>Aineiston nimi: Valtionosuuslaskuri 2024</t>
  </si>
  <si>
    <t>Suomenkielinen lukiokoulutus 20.9.2023: 1)</t>
  </si>
  <si>
    <t>Ruotsinkielinen lukiokoulutus 20.9.2023: 1)</t>
  </si>
  <si>
    <t>Arvioitu opiskelijamäärä 20.9.2023</t>
  </si>
  <si>
    <t>Lukioiden yksikköhintarahoitus 2024</t>
  </si>
  <si>
    <t>LUKION YKSIKKÖHINTA (taulukon yksikköhintatiedot v. 2023)</t>
  </si>
  <si>
    <t xml:space="preserve">  Valtionosuusrahoitus tarkistetaan 20.1. ja 20.9. opiskelijamäärän mukaiseksi vuoden lopussa.</t>
  </si>
  <si>
    <t>Valtionosuuteen tehtävät vähennykset ja lisäykset 2024</t>
  </si>
  <si>
    <t>Lisäosat 2024</t>
  </si>
  <si>
    <t>Muut laskennalliset kustannukset 2024</t>
  </si>
  <si>
    <t>Ikärakenteen laskennalliset kustannukset 2024</t>
  </si>
  <si>
    <t>Opetus ja kulttuuritoimen valtionosuus 2024</t>
  </si>
  <si>
    <t>Vuosi 2024</t>
  </si>
  <si>
    <t>peruste vuonna 2024</t>
  </si>
  <si>
    <t>Kotikuntakorvausnetto 2024</t>
  </si>
  <si>
    <t>Kotikuntakorvaukset vuonna 2024</t>
  </si>
  <si>
    <t>Yksikköhinta 2024</t>
  </si>
  <si>
    <t>yksikköhinnan pohja-arvo (308,04), opistokohtaiseen yksikköhintaan voi tulla muutoksia</t>
  </si>
  <si>
    <t>€/opiskelijapäivä</t>
  </si>
  <si>
    <t>Valtion talousarvioesitykset (vm.fi)</t>
  </si>
  <si>
    <t>- kunnan omarahoitusosuus lukiokoulutukseen (2024 taso)</t>
  </si>
  <si>
    <t>- kunnan omarahoitusosuus ammatilliseen koulutukseen (2024 taso)</t>
  </si>
  <si>
    <r>
      <t xml:space="preserve">JOSTA: </t>
    </r>
    <r>
      <rPr>
        <sz val="10"/>
        <rFont val="Arial"/>
        <family val="2"/>
      </rPr>
      <t>sote-uudistuksen tasauserät:</t>
    </r>
  </si>
  <si>
    <t>Kunnan valtionosuus ja veromen. korvaus 2024 itse syötetyillä opetus- ja kulttuuritoimen tiedoilla</t>
  </si>
  <si>
    <t>Kunnan valtionosuus, veromen. korvaus ja kotikuntakorvaukset 2024 (itse syötetyillä opetus- ja kulttuuritoimen tiedoilla)</t>
  </si>
  <si>
    <t>4.12.2023 / Kuntaliitto, Olli Riikonen</t>
  </si>
  <si>
    <t>YLLÄPITÄJÄN YKSIKKÖHINTARAHOITUS</t>
  </si>
  <si>
    <t>OKM:n yksikköhintatiedot vuodelle 2024 tilanteen 4.12.2023 mukaan</t>
  </si>
  <si>
    <t>Määräaikainen lisäys kompensoimaan lisäsiirtotarpeen muutosta</t>
  </si>
  <si>
    <t>Päivämäärä (milloin aineisto on tuotettu tai tarkistettu): 5.1.2024</t>
  </si>
  <si>
    <t>Aineiston alkuperäinen lähde: Valtionosuuslaskelmat VM 8.12.2023, OKM:n vos-päätökset 29.12.2023 vuodelle 2024</t>
  </si>
  <si>
    <t>5.1.2024, Kuntaliitto / Olli Riikonen. Lähde: VM:n valtionosuuslaskelmat 8.12.2023 ja OKM:n vos-päätös 29.12.2023</t>
  </si>
  <si>
    <t>Kotikuntakorv. yksikköhinta 2024</t>
  </si>
  <si>
    <t>Vuoden 2024 rahoitus</t>
  </si>
  <si>
    <t>Kunnan valtionosuus ja veromenetysten korvaukset yhteensä 2024</t>
  </si>
  <si>
    <t>Kunnan valtionosuus, veromenetysten korvaus ja kotikuntakorvaukset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</si>
</sst>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00"/>
    <numFmt numFmtId="165" formatCode="#,##0.000000"/>
    <numFmt numFmtId="166" formatCode="#,##0.0000"/>
    <numFmt numFmtId="167" formatCode="#,##0.0"/>
    <numFmt numFmtId="168" formatCode="0.0000000"/>
    <numFmt numFmtId="169" formatCode="0.000"/>
    <numFmt numFmtId="170" formatCode="0.0"/>
    <numFmt numFmtId="171" formatCode="0.0000"/>
    <numFmt numFmtId="172" formatCode="#,##0.00_ ;[Red]\-#,##0.00\ "/>
    <numFmt numFmtId="173" formatCode="#,##0_ ;[Red]\-#,##0\ "/>
    <numFmt numFmtId="174" formatCode="0;0;"/>
    <numFmt numFmtId="175" formatCode="0.00_ ;[Red]\-0.00\ "/>
    <numFmt numFmtId="176" formatCode="###\ ###\ ###\ ##0"/>
    <numFmt numFmtId="177" formatCode="_-* #,##0.00\ _€_-;\-* #,##0.00\ _€_-;_-* &quot;-&quot;??\ _€_-;_-@_-"/>
    <numFmt numFmtId="178" formatCode="#,##0.00\ &quot;€&quot;"/>
    <numFmt numFmtId="179" formatCode="#,##0.000_ ;[Red]\-#,##0.000\ "/>
  </numFmts>
  <fonts count="117" x14ac:knownFonts="1">
    <font>
      <sz val="10"/>
      <name val="Arial"/>
    </font>
    <font>
      <sz val="10"/>
      <name val="Arial"/>
      <family val="2"/>
    </font>
    <font>
      <b/>
      <sz val="10"/>
      <name val="Arial"/>
      <family val="2"/>
    </font>
    <font>
      <sz val="8"/>
      <name val="Arial"/>
      <family val="2"/>
    </font>
    <font>
      <b/>
      <sz val="12"/>
      <name val="Arial"/>
      <family val="2"/>
    </font>
    <font>
      <sz val="10"/>
      <name val="Arial"/>
      <family val="2"/>
    </font>
    <font>
      <b/>
      <sz val="14"/>
      <name val="Arial"/>
      <family val="2"/>
    </font>
    <font>
      <i/>
      <sz val="10"/>
      <name val="Arial"/>
      <family val="2"/>
    </font>
    <font>
      <sz val="10"/>
      <color indexed="9"/>
      <name val="Arial"/>
      <family val="2"/>
    </font>
    <font>
      <sz val="9"/>
      <name val="Arial"/>
      <family val="2"/>
    </font>
    <font>
      <vertAlign val="superscript"/>
      <sz val="10"/>
      <name val="Arial"/>
      <family val="2"/>
    </font>
    <font>
      <u/>
      <sz val="10"/>
      <color indexed="12"/>
      <name val="Arial"/>
      <family val="2"/>
    </font>
    <font>
      <i/>
      <sz val="8"/>
      <name val="Arial"/>
      <family val="2"/>
    </font>
    <font>
      <b/>
      <sz val="10"/>
      <color indexed="62"/>
      <name val="Arial"/>
      <family val="2"/>
    </font>
    <font>
      <b/>
      <sz val="10"/>
      <color indexed="12"/>
      <name val="Arial"/>
      <family val="2"/>
    </font>
    <font>
      <sz val="14"/>
      <color indexed="62"/>
      <name val="Arial"/>
      <family val="2"/>
    </font>
    <font>
      <sz val="11"/>
      <name val="Arial"/>
      <family val="2"/>
    </font>
    <font>
      <sz val="9"/>
      <color indexed="8"/>
      <name val="Arial"/>
      <family val="2"/>
    </font>
    <font>
      <i/>
      <vertAlign val="superscript"/>
      <sz val="10"/>
      <name val="Arial"/>
      <family val="2"/>
    </font>
    <font>
      <b/>
      <i/>
      <sz val="10"/>
      <name val="Arial"/>
      <family val="2"/>
    </font>
    <font>
      <sz val="10"/>
      <color indexed="24"/>
      <name val="Arial"/>
      <family val="2"/>
    </font>
    <font>
      <sz val="9"/>
      <color indexed="81"/>
      <name val="Tahoma"/>
      <family val="2"/>
    </font>
    <font>
      <b/>
      <sz val="9"/>
      <color indexed="81"/>
      <name val="Tahoma"/>
      <family val="2"/>
    </font>
    <font>
      <b/>
      <sz val="9"/>
      <name val="Arial"/>
      <family val="2"/>
    </font>
    <font>
      <b/>
      <u/>
      <sz val="10"/>
      <name val="Arial"/>
      <family val="2"/>
    </font>
    <font>
      <u/>
      <sz val="10"/>
      <name val="Arial"/>
      <family val="2"/>
    </font>
    <font>
      <i/>
      <sz val="9"/>
      <name val="Arial"/>
      <family val="2"/>
    </font>
    <font>
      <sz val="8"/>
      <color indexed="23"/>
      <name val="Arial"/>
      <family val="2"/>
    </font>
    <font>
      <sz val="10"/>
      <name val="Times New Roman"/>
      <family val="1"/>
    </font>
    <font>
      <sz val="9"/>
      <name val="Arial Narrow"/>
      <family val="2"/>
    </font>
    <font>
      <b/>
      <sz val="9"/>
      <color indexed="8"/>
      <name val="Arial"/>
      <family val="2"/>
    </font>
    <font>
      <sz val="9"/>
      <color indexed="8"/>
      <name val="Arial Narrow"/>
      <family val="2"/>
    </font>
    <font>
      <sz val="8"/>
      <color indexed="8"/>
      <name val="Arial"/>
      <family val="2"/>
    </font>
    <font>
      <sz val="10"/>
      <name val="Helv"/>
    </font>
    <font>
      <b/>
      <sz val="10"/>
      <name val="Arial Narrow"/>
      <family val="2"/>
    </font>
    <font>
      <b/>
      <sz val="8"/>
      <color indexed="8"/>
      <name val="Arial"/>
      <family val="2"/>
    </font>
    <font>
      <b/>
      <sz val="10"/>
      <color indexed="8"/>
      <name val="Arial"/>
      <family val="2"/>
    </font>
    <font>
      <sz val="9"/>
      <color indexed="39"/>
      <name val="Arial Narrow"/>
      <family val="2"/>
    </font>
    <font>
      <i/>
      <u/>
      <sz val="10"/>
      <name val="Arial"/>
      <family val="2"/>
    </font>
    <font>
      <b/>
      <i/>
      <sz val="10"/>
      <color rgb="FF0070C0"/>
      <name val="Arial"/>
      <family val="2"/>
    </font>
    <font>
      <sz val="10"/>
      <color theme="0"/>
      <name val="Arial"/>
      <family val="2"/>
    </font>
    <font>
      <sz val="10"/>
      <color theme="0" tint="-0.249977111117893"/>
      <name val="Arial"/>
      <family val="2"/>
    </font>
    <font>
      <sz val="10"/>
      <color theme="0" tint="-0.34998626667073579"/>
      <name val="Arial"/>
      <family val="2"/>
    </font>
    <font>
      <i/>
      <sz val="10"/>
      <color theme="0" tint="-0.249977111117893"/>
      <name val="Arial"/>
      <family val="2"/>
    </font>
    <font>
      <i/>
      <sz val="8"/>
      <color theme="1" tint="0.499984740745262"/>
      <name val="Arial"/>
      <family val="2"/>
    </font>
    <font>
      <sz val="10"/>
      <color theme="1" tint="0.499984740745262"/>
      <name val="Arial"/>
      <family val="2"/>
    </font>
    <font>
      <b/>
      <i/>
      <sz val="10"/>
      <color theme="1" tint="0.499984740745262"/>
      <name val="Arial"/>
      <family val="2"/>
    </font>
    <font>
      <i/>
      <sz val="10"/>
      <color theme="1" tint="0.499984740745262"/>
      <name val="Arial"/>
      <family val="2"/>
    </font>
    <font>
      <b/>
      <sz val="10"/>
      <color theme="1" tint="0.499984740745262"/>
      <name val="Arial"/>
      <family val="2"/>
    </font>
    <font>
      <b/>
      <sz val="12"/>
      <color theme="1" tint="0.499984740745262"/>
      <name val="Arial"/>
      <family val="2"/>
    </font>
    <font>
      <vertAlign val="superscript"/>
      <sz val="10"/>
      <color theme="1" tint="0.499984740745262"/>
      <name val="Arial"/>
      <family val="2"/>
    </font>
    <font>
      <i/>
      <sz val="9"/>
      <color theme="1" tint="0.499984740745262"/>
      <name val="Arial"/>
      <family val="2"/>
    </font>
    <font>
      <sz val="9"/>
      <color theme="1" tint="0.499984740745262"/>
      <name val="Arial"/>
      <family val="2"/>
    </font>
    <font>
      <sz val="10"/>
      <color theme="1"/>
      <name val="Arial"/>
      <family val="2"/>
    </font>
    <font>
      <b/>
      <i/>
      <sz val="10"/>
      <color theme="1"/>
      <name val="Arial"/>
      <family val="2"/>
    </font>
    <font>
      <b/>
      <sz val="8"/>
      <color theme="1" tint="0.499984740745262"/>
      <name val="Arial"/>
      <family val="2"/>
    </font>
    <font>
      <sz val="8"/>
      <color theme="1" tint="0.499984740745262"/>
      <name val="Arial"/>
      <family val="2"/>
    </font>
    <font>
      <u/>
      <sz val="8"/>
      <color theme="1" tint="0.499984740745262"/>
      <name val="Arial"/>
      <family val="2"/>
    </font>
    <font>
      <sz val="14"/>
      <color theme="3"/>
      <name val="Arial"/>
      <family val="2"/>
    </font>
    <font>
      <b/>
      <sz val="14"/>
      <color theme="3"/>
      <name val="Arial"/>
      <family val="2"/>
    </font>
    <font>
      <sz val="11"/>
      <color rgb="FFFF0000"/>
      <name val="Arial"/>
      <family val="2"/>
    </font>
    <font>
      <sz val="10"/>
      <color rgb="FFFF0000"/>
      <name val="Arial"/>
      <family val="2"/>
    </font>
    <font>
      <sz val="10"/>
      <color rgb="FF0000FF"/>
      <name val="Arial"/>
      <family val="2"/>
    </font>
    <font>
      <sz val="9"/>
      <color theme="9" tint="-0.499984740745262"/>
      <name val="Arial"/>
      <family val="2"/>
    </font>
    <font>
      <sz val="10"/>
      <color theme="9" tint="-0.499984740745262"/>
      <name val="Arial"/>
      <family val="2"/>
    </font>
    <font>
      <sz val="9"/>
      <color theme="9" tint="-0.499984740745262"/>
      <name val="Arial Narrow"/>
      <family val="2"/>
    </font>
    <font>
      <sz val="9"/>
      <color rgb="FF002060"/>
      <name val="Arial"/>
      <family val="2"/>
    </font>
    <font>
      <sz val="10"/>
      <color rgb="FF002060"/>
      <name val="Arial"/>
      <family val="2"/>
    </font>
    <font>
      <sz val="9"/>
      <color rgb="FF002060"/>
      <name val="Arial Narrow"/>
      <family val="2"/>
    </font>
    <font>
      <sz val="9"/>
      <color theme="1"/>
      <name val="Arial"/>
      <family val="2"/>
    </font>
    <font>
      <sz val="9"/>
      <color rgb="FFFF0000"/>
      <name val="Arial Narrow"/>
      <family val="2"/>
    </font>
    <font>
      <b/>
      <sz val="10"/>
      <color rgb="FFFF0000"/>
      <name val="Arial"/>
      <family val="2"/>
    </font>
    <font>
      <b/>
      <u/>
      <sz val="10"/>
      <color rgb="FFFF0000"/>
      <name val="Arial"/>
      <family val="2"/>
    </font>
    <font>
      <b/>
      <sz val="9"/>
      <color theme="9" tint="-0.499984740745262"/>
      <name val="Arial"/>
      <family val="2"/>
    </font>
    <font>
      <sz val="9"/>
      <color theme="3"/>
      <name val="Arial"/>
      <family val="2"/>
    </font>
    <font>
      <b/>
      <sz val="9"/>
      <color rgb="FF002060"/>
      <name val="Arial"/>
      <family val="2"/>
    </font>
    <font>
      <sz val="9"/>
      <color rgb="FFFF0000"/>
      <name val="Arial"/>
      <family val="2"/>
    </font>
    <font>
      <b/>
      <sz val="9"/>
      <color rgb="FFFF0000"/>
      <name val="Arial"/>
      <family val="2"/>
    </font>
    <font>
      <sz val="9"/>
      <color theme="1"/>
      <name val="Arial Narrow"/>
      <family val="2"/>
    </font>
    <font>
      <sz val="8"/>
      <name val="Calibri"/>
      <family val="2"/>
      <scheme val="minor"/>
    </font>
    <font>
      <i/>
      <vertAlign val="superscript"/>
      <sz val="8"/>
      <color rgb="FFFF0000"/>
      <name val="Arial"/>
      <family val="2"/>
    </font>
    <font>
      <b/>
      <sz val="11"/>
      <color rgb="FFFF0000"/>
      <name val="Calibri"/>
      <family val="2"/>
      <scheme val="minor"/>
    </font>
    <font>
      <b/>
      <sz val="10"/>
      <color rgb="FFFF0000"/>
      <name val="Calibri"/>
      <family val="2"/>
      <scheme val="minor"/>
    </font>
    <font>
      <sz val="10"/>
      <color theme="0" tint="-0.14999847407452621"/>
      <name val="Arial"/>
      <family val="2"/>
    </font>
    <font>
      <i/>
      <sz val="10"/>
      <color theme="0" tint="-0.499984740745262"/>
      <name val="Arial"/>
      <family val="2"/>
    </font>
    <font>
      <i/>
      <sz val="8"/>
      <color theme="0" tint="-0.499984740745262"/>
      <name val="Arial"/>
      <family val="2"/>
    </font>
    <font>
      <i/>
      <sz val="9"/>
      <color theme="0" tint="-0.499984740745262"/>
      <name val="Arial"/>
      <family val="2"/>
    </font>
    <font>
      <sz val="10"/>
      <color theme="0" tint="-4.9989318521683403E-2"/>
      <name val="Arial"/>
      <family val="2"/>
    </font>
    <font>
      <sz val="8"/>
      <color theme="0" tint="-4.9989318521683403E-2"/>
      <name val="Arial"/>
      <family val="2"/>
    </font>
    <font>
      <i/>
      <sz val="10"/>
      <color theme="0" tint="-4.9989318521683403E-2"/>
      <name val="Arial"/>
      <family val="2"/>
    </font>
    <font>
      <i/>
      <sz val="9"/>
      <color theme="0" tint="-4.9989318521683403E-2"/>
      <name val="Arial"/>
      <family val="2"/>
    </font>
    <font>
      <sz val="9"/>
      <color theme="0" tint="-4.9989318521683403E-2"/>
      <name val="Arial"/>
      <family val="2"/>
    </font>
    <font>
      <b/>
      <sz val="14"/>
      <color theme="1" tint="0.499984740745262"/>
      <name val="Arial"/>
      <family val="2"/>
    </font>
    <font>
      <sz val="14"/>
      <color theme="1" tint="0.499984740745262"/>
      <name val="Arial"/>
      <family val="2"/>
    </font>
    <font>
      <i/>
      <sz val="10"/>
      <color rgb="FFFF0000"/>
      <name val="Arial"/>
      <family val="2"/>
    </font>
    <font>
      <b/>
      <sz val="13"/>
      <color theme="3"/>
      <name val="Work Sans"/>
      <family val="2"/>
    </font>
    <font>
      <b/>
      <sz val="9"/>
      <color theme="4"/>
      <name val="Calibri"/>
      <family val="2"/>
      <scheme val="minor"/>
    </font>
    <font>
      <b/>
      <sz val="9"/>
      <color rgb="FFEF6079"/>
      <name val="Calibri"/>
      <family val="2"/>
      <scheme val="minor"/>
    </font>
    <font>
      <sz val="9"/>
      <name val="Work Sans"/>
      <family val="2"/>
    </font>
    <font>
      <b/>
      <sz val="11"/>
      <color rgb="FF104264"/>
      <name val="Work Sans"/>
      <family val="2"/>
    </font>
    <font>
      <b/>
      <sz val="9"/>
      <color rgb="FF104264"/>
      <name val="Work Sans"/>
      <family val="2"/>
    </font>
    <font>
      <b/>
      <sz val="16"/>
      <color rgb="FF104264"/>
      <name val="Work Sans"/>
      <family val="2"/>
    </font>
    <font>
      <b/>
      <sz val="9"/>
      <color rgb="FFEF6079"/>
      <name val="Work Sans"/>
      <family val="2"/>
    </font>
    <font>
      <b/>
      <sz val="16"/>
      <color rgb="FFEF6079"/>
      <name val="Work Sans"/>
      <family val="2"/>
    </font>
    <font>
      <sz val="14"/>
      <name val="Arial"/>
      <family val="2"/>
    </font>
    <font>
      <b/>
      <sz val="8"/>
      <name val="Arial"/>
      <family val="2"/>
    </font>
    <font>
      <b/>
      <i/>
      <sz val="8"/>
      <name val="Arial"/>
      <family val="2"/>
    </font>
    <font>
      <i/>
      <sz val="8"/>
      <color theme="0" tint="-4.9989318521683403E-2"/>
      <name val="Arial"/>
      <family val="2"/>
    </font>
    <font>
      <sz val="8"/>
      <color theme="0" tint="-0.499984740745262"/>
      <name val="Arial"/>
      <family val="2"/>
    </font>
    <font>
      <sz val="9"/>
      <color theme="5"/>
      <name val="Arial"/>
      <family val="2"/>
    </font>
    <font>
      <sz val="11"/>
      <color theme="1"/>
      <name val="Calibri"/>
      <family val="2"/>
      <scheme val="minor"/>
    </font>
    <font>
      <b/>
      <sz val="11"/>
      <name val="Arial"/>
      <family val="2"/>
    </font>
    <font>
      <sz val="10"/>
      <color theme="1"/>
      <name val="Roboto"/>
      <family val="2"/>
    </font>
    <font>
      <sz val="10"/>
      <color rgb="FF000000"/>
      <name val="Arial"/>
      <family val="2"/>
    </font>
    <font>
      <b/>
      <i/>
      <sz val="9"/>
      <color theme="0" tint="-4.9989318521683403E-2"/>
      <name val="Arial"/>
      <family val="2"/>
    </font>
    <font>
      <b/>
      <i/>
      <sz val="10"/>
      <color theme="0" tint="-4.9989318521683403E-2"/>
      <name val="Arial"/>
      <family val="2"/>
    </font>
    <font>
      <b/>
      <i/>
      <u/>
      <sz val="10"/>
      <name val="Arial"/>
      <family val="2"/>
    </font>
  </fonts>
  <fills count="14">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FFFF"/>
        <bgColor indexed="64"/>
      </patternFill>
    </fill>
    <fill>
      <patternFill patternType="solid">
        <fgColor theme="5" tint="0.59999389629810485"/>
        <bgColor indexed="64"/>
      </patternFill>
    </fill>
    <fill>
      <patternFill patternType="solid">
        <fgColor theme="9"/>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top/>
      <bottom style="thick">
        <color theme="4" tint="0.499984740745262"/>
      </bottom>
      <diagonal/>
    </border>
    <border>
      <left/>
      <right/>
      <top/>
      <bottom style="medium">
        <color theme="4"/>
      </bottom>
      <diagonal/>
    </border>
    <border>
      <left/>
      <right/>
      <top/>
      <bottom style="medium">
        <color rgb="FFEF6079"/>
      </bottom>
      <diagonal/>
    </border>
    <border>
      <left/>
      <right/>
      <top/>
      <bottom style="medium">
        <color rgb="FF104264"/>
      </bottom>
      <diagonal/>
    </border>
    <border>
      <left/>
      <right style="thin">
        <color indexed="64"/>
      </right>
      <top style="thin">
        <color theme="8"/>
      </top>
      <bottom/>
      <diagonal/>
    </border>
  </borders>
  <cellStyleXfs count="18">
    <xf numFmtId="0" fontId="0" fillId="0" borderId="0"/>
    <xf numFmtId="0" fontId="11" fillId="0" borderId="0" applyNumberFormat="0" applyFill="0" applyBorder="0" applyAlignment="0" applyProtection="0">
      <alignment vertical="top"/>
      <protection locked="0"/>
    </xf>
    <xf numFmtId="0" fontId="5" fillId="0" borderId="0"/>
    <xf numFmtId="0" fontId="20" fillId="0" borderId="0"/>
    <xf numFmtId="0" fontId="28" fillId="0" borderId="0"/>
    <xf numFmtId="0" fontId="33" fillId="0" borderId="0"/>
    <xf numFmtId="9" fontId="1" fillId="0" borderId="0" applyFont="0" applyFill="0" applyBorder="0" applyAlignment="0" applyProtection="0"/>
    <xf numFmtId="0" fontId="95" fillId="0" borderId="34" applyNumberFormat="0" applyFill="0" applyAlignment="0" applyProtection="0"/>
    <xf numFmtId="0" fontId="96" fillId="0" borderId="35"/>
    <xf numFmtId="0" fontId="97" fillId="0" borderId="36"/>
    <xf numFmtId="0" fontId="110" fillId="0" borderId="0"/>
    <xf numFmtId="177" fontId="110" fillId="0" borderId="0" applyFont="0" applyFill="0" applyBorder="0" applyAlignment="0" applyProtection="0"/>
    <xf numFmtId="43" fontId="110" fillId="0" borderId="0" applyFont="0" applyFill="0" applyBorder="0" applyAlignment="0" applyProtection="0"/>
    <xf numFmtId="9" fontId="110" fillId="0" borderId="0" applyFont="0" applyFill="0" applyBorder="0" applyAlignment="0" applyProtection="0"/>
    <xf numFmtId="0" fontId="1" fillId="0" borderId="0"/>
    <xf numFmtId="177" fontId="1" fillId="0" borderId="0" applyFont="0" applyFill="0" applyBorder="0" applyAlignment="0" applyProtection="0"/>
    <xf numFmtId="9" fontId="1" fillId="0" borderId="0" applyFont="0" applyFill="0" applyBorder="0" applyAlignment="0" applyProtection="0"/>
    <xf numFmtId="0" fontId="112" fillId="0" borderId="0"/>
  </cellStyleXfs>
  <cellXfs count="546">
    <xf numFmtId="0" fontId="0" fillId="0" borderId="0" xfId="0"/>
    <xf numFmtId="0" fontId="2" fillId="0" borderId="0" xfId="0" applyFont="1"/>
    <xf numFmtId="0" fontId="0" fillId="0" borderId="0" xfId="0" applyAlignment="1">
      <alignment horizontal="center"/>
    </xf>
    <xf numFmtId="0" fontId="4" fillId="0" borderId="0" xfId="0" applyFont="1"/>
    <xf numFmtId="0" fontId="5" fillId="0" borderId="0" xfId="0" applyFont="1"/>
    <xf numFmtId="0" fontId="7" fillId="0" borderId="0" xfId="0" applyFont="1"/>
    <xf numFmtId="0" fontId="2" fillId="0" borderId="0" xfId="0" applyFont="1" applyAlignment="1">
      <alignment horizontal="center"/>
    </xf>
    <xf numFmtId="0" fontId="0" fillId="0" borderId="0" xfId="0" quotePrefix="1"/>
    <xf numFmtId="3" fontId="2" fillId="0" borderId="0" xfId="0" applyNumberFormat="1" applyFont="1"/>
    <xf numFmtId="0" fontId="0" fillId="0" borderId="0" xfId="0" applyAlignment="1">
      <alignment horizontal="right"/>
    </xf>
    <xf numFmtId="3" fontId="8" fillId="0" borderId="0" xfId="0" applyNumberFormat="1" applyFont="1"/>
    <xf numFmtId="3" fontId="0" fillId="0" borderId="0" xfId="0" applyNumberFormat="1"/>
    <xf numFmtId="2" fontId="0" fillId="0" borderId="0" xfId="0" applyNumberFormat="1"/>
    <xf numFmtId="0" fontId="8" fillId="0" borderId="0" xfId="0" applyFont="1"/>
    <xf numFmtId="2" fontId="8" fillId="0" borderId="0" xfId="0" applyNumberFormat="1" applyFont="1"/>
    <xf numFmtId="3" fontId="0" fillId="2" borderId="1" xfId="0" applyNumberFormat="1" applyFill="1" applyBorder="1" applyProtection="1">
      <protection locked="0"/>
    </xf>
    <xf numFmtId="0" fontId="0" fillId="2" borderId="1" xfId="0" applyFill="1" applyBorder="1" applyProtection="1">
      <protection locked="0"/>
    </xf>
    <xf numFmtId="169" fontId="0" fillId="0" borderId="0" xfId="0" applyNumberFormat="1"/>
    <xf numFmtId="4" fontId="0" fillId="0" borderId="0" xfId="0" applyNumberFormat="1"/>
    <xf numFmtId="0" fontId="10" fillId="0" borderId="0" xfId="0" applyFont="1"/>
    <xf numFmtId="4" fontId="0" fillId="0" borderId="1" xfId="0" applyNumberFormat="1" applyBorder="1"/>
    <xf numFmtId="0" fontId="0" fillId="0" borderId="2" xfId="0" applyBorder="1"/>
    <xf numFmtId="0" fontId="12" fillId="0" borderId="0" xfId="0" applyFont="1"/>
    <xf numFmtId="0" fontId="12" fillId="0" borderId="0" xfId="0" quotePrefix="1" applyFont="1"/>
    <xf numFmtId="14" fontId="12" fillId="0" borderId="0" xfId="0" quotePrefix="1" applyNumberFormat="1" applyFont="1"/>
    <xf numFmtId="0" fontId="13" fillId="0" borderId="0" xfId="0" applyFont="1"/>
    <xf numFmtId="0" fontId="14" fillId="0" borderId="0" xfId="0" applyFont="1"/>
    <xf numFmtId="0" fontId="7" fillId="0" borderId="0" xfId="0" quotePrefix="1" applyFont="1"/>
    <xf numFmtId="0" fontId="7" fillId="0" borderId="0" xfId="0" applyFont="1" applyAlignment="1">
      <alignment horizontal="center"/>
    </xf>
    <xf numFmtId="3" fontId="2" fillId="0" borderId="0" xfId="0" applyNumberFormat="1" applyFont="1" applyAlignment="1">
      <alignment horizontal="center"/>
    </xf>
    <xf numFmtId="2" fontId="0" fillId="0" borderId="0" xfId="0" applyNumberFormat="1" applyAlignment="1">
      <alignment horizontal="center"/>
    </xf>
    <xf numFmtId="167" fontId="0" fillId="0" borderId="0" xfId="0" applyNumberFormat="1"/>
    <xf numFmtId="0" fontId="15" fillId="0" borderId="0" xfId="2" applyFont="1"/>
    <xf numFmtId="0" fontId="16" fillId="0" borderId="0" xfId="2" applyFont="1"/>
    <xf numFmtId="3" fontId="16" fillId="0" borderId="0" xfId="2" applyNumberFormat="1" applyFont="1"/>
    <xf numFmtId="3" fontId="0" fillId="2" borderId="1" xfId="0" applyNumberFormat="1" applyFill="1" applyBorder="1"/>
    <xf numFmtId="14" fontId="12" fillId="0" borderId="0" xfId="0" quotePrefix="1" applyNumberFormat="1" applyFont="1" applyProtection="1">
      <protection locked="0"/>
    </xf>
    <xf numFmtId="0" fontId="2" fillId="3" borderId="3" xfId="0" applyFont="1" applyFill="1" applyBorder="1"/>
    <xf numFmtId="0" fontId="0" fillId="3" borderId="4" xfId="0" applyFill="1" applyBorder="1"/>
    <xf numFmtId="3" fontId="2" fillId="3" borderId="5" xfId="0" applyNumberFormat="1" applyFont="1" applyFill="1" applyBorder="1"/>
    <xf numFmtId="0" fontId="2" fillId="4" borderId="3" xfId="0" applyFont="1" applyFill="1" applyBorder="1"/>
    <xf numFmtId="0" fontId="0" fillId="4" borderId="4" xfId="0" applyFill="1" applyBorder="1"/>
    <xf numFmtId="3" fontId="2" fillId="4" borderId="5" xfId="0" applyNumberFormat="1" applyFont="1" applyFill="1" applyBorder="1"/>
    <xf numFmtId="0" fontId="2" fillId="3" borderId="4" xfId="0" applyFont="1" applyFill="1" applyBorder="1"/>
    <xf numFmtId="0" fontId="39" fillId="0" borderId="0" xfId="0" applyFont="1"/>
    <xf numFmtId="4" fontId="2" fillId="3" borderId="4" xfId="0" applyNumberFormat="1" applyFont="1" applyFill="1" applyBorder="1"/>
    <xf numFmtId="0" fontId="0" fillId="5" borderId="1" xfId="0" applyFill="1" applyBorder="1"/>
    <xf numFmtId="0" fontId="7" fillId="0" borderId="0" xfId="0" applyFont="1" applyAlignment="1">
      <alignment horizontal="right"/>
    </xf>
    <xf numFmtId="0" fontId="0" fillId="2" borderId="6" xfId="0" applyFill="1" applyBorder="1" applyProtection="1">
      <protection locked="0"/>
    </xf>
    <xf numFmtId="3" fontId="7" fillId="0" borderId="0" xfId="0" applyNumberFormat="1" applyFont="1" applyAlignment="1">
      <alignment horizontal="right"/>
    </xf>
    <xf numFmtId="0" fontId="0" fillId="0" borderId="7" xfId="0" applyBorder="1"/>
    <xf numFmtId="3" fontId="0" fillId="0" borderId="7" xfId="0" applyNumberFormat="1" applyBorder="1"/>
    <xf numFmtId="2" fontId="0" fillId="4" borderId="4" xfId="0" applyNumberFormat="1" applyFill="1" applyBorder="1"/>
    <xf numFmtId="3" fontId="7" fillId="0" borderId="0" xfId="0" applyNumberFormat="1" applyFont="1"/>
    <xf numFmtId="2" fontId="2" fillId="4" borderId="4" xfId="0" applyNumberFormat="1" applyFont="1" applyFill="1" applyBorder="1"/>
    <xf numFmtId="2" fontId="2" fillId="3" borderId="4" xfId="0" applyNumberFormat="1" applyFont="1" applyFill="1" applyBorder="1"/>
    <xf numFmtId="2" fontId="7" fillId="0" borderId="0" xfId="0" applyNumberFormat="1" applyFont="1" applyAlignment="1">
      <alignment horizontal="right"/>
    </xf>
    <xf numFmtId="4" fontId="2" fillId="0" borderId="0" xfId="0" applyNumberFormat="1" applyFont="1"/>
    <xf numFmtId="3" fontId="9" fillId="4" borderId="8" xfId="2" applyNumberFormat="1" applyFont="1" applyFill="1" applyBorder="1"/>
    <xf numFmtId="3" fontId="9" fillId="4" borderId="9" xfId="2" applyNumberFormat="1" applyFont="1" applyFill="1" applyBorder="1"/>
    <xf numFmtId="3" fontId="9" fillId="4" borderId="10" xfId="2" applyNumberFormat="1" applyFont="1" applyFill="1" applyBorder="1"/>
    <xf numFmtId="4" fontId="0" fillId="0" borderId="11" xfId="0" applyNumberFormat="1" applyBorder="1"/>
    <xf numFmtId="3" fontId="0" fillId="4" borderId="4" xfId="0" applyNumberFormat="1" applyFill="1" applyBorder="1"/>
    <xf numFmtId="0" fontId="18" fillId="0" borderId="0" xfId="0" applyFont="1"/>
    <xf numFmtId="0" fontId="2" fillId="4" borderId="12" xfId="0" applyFont="1" applyFill="1" applyBorder="1"/>
    <xf numFmtId="0" fontId="2" fillId="4" borderId="13" xfId="0" applyFont="1" applyFill="1" applyBorder="1"/>
    <xf numFmtId="168" fontId="2" fillId="4" borderId="13" xfId="0" applyNumberFormat="1" applyFont="1" applyFill="1" applyBorder="1"/>
    <xf numFmtId="4" fontId="2" fillId="4" borderId="13" xfId="0" applyNumberFormat="1" applyFont="1" applyFill="1" applyBorder="1"/>
    <xf numFmtId="0" fontId="2" fillId="4" borderId="14" xfId="0" applyFont="1" applyFill="1" applyBorder="1"/>
    <xf numFmtId="0" fontId="2" fillId="4" borderId="15" xfId="0" applyFont="1" applyFill="1" applyBorder="1"/>
    <xf numFmtId="0" fontId="2" fillId="4" borderId="16" xfId="0" applyFont="1" applyFill="1" applyBorder="1"/>
    <xf numFmtId="168" fontId="2" fillId="4" borderId="16" xfId="0" applyNumberFormat="1" applyFont="1" applyFill="1" applyBorder="1"/>
    <xf numFmtId="4" fontId="2" fillId="4" borderId="16" xfId="0" applyNumberFormat="1" applyFont="1" applyFill="1" applyBorder="1"/>
    <xf numFmtId="0" fontId="2" fillId="4" borderId="17" xfId="0" applyFont="1" applyFill="1" applyBorder="1"/>
    <xf numFmtId="168" fontId="7" fillId="0" borderId="0" xfId="0" applyNumberFormat="1" applyFont="1" applyAlignment="1">
      <alignment horizontal="center"/>
    </xf>
    <xf numFmtId="0" fontId="19" fillId="0" borderId="0" xfId="0" applyFont="1"/>
    <xf numFmtId="0" fontId="0" fillId="6" borderId="1" xfId="0" applyFill="1" applyBorder="1"/>
    <xf numFmtId="3" fontId="4" fillId="0" borderId="0" xfId="0" applyNumberFormat="1" applyFont="1"/>
    <xf numFmtId="0" fontId="40" fillId="0" borderId="0" xfId="0" applyFont="1"/>
    <xf numFmtId="0" fontId="0" fillId="0" borderId="16" xfId="0" applyBorder="1"/>
    <xf numFmtId="0" fontId="0" fillId="4" borderId="15" xfId="0" applyFill="1" applyBorder="1"/>
    <xf numFmtId="170" fontId="0" fillId="0" borderId="0" xfId="0" applyNumberFormat="1"/>
    <xf numFmtId="1" fontId="0" fillId="0" borderId="0" xfId="0" applyNumberFormat="1"/>
    <xf numFmtId="2" fontId="0" fillId="3" borderId="4" xfId="0" applyNumberFormat="1" applyFill="1" applyBorder="1"/>
    <xf numFmtId="1" fontId="2" fillId="0" borderId="0" xfId="0" applyNumberFormat="1" applyFont="1" applyAlignment="1">
      <alignment horizontal="center"/>
    </xf>
    <xf numFmtId="3" fontId="2" fillId="0" borderId="0" xfId="0" quotePrefix="1" applyNumberFormat="1" applyFont="1" applyAlignment="1">
      <alignment horizontal="center"/>
    </xf>
    <xf numFmtId="0" fontId="41" fillId="0" borderId="0" xfId="0" applyFont="1"/>
    <xf numFmtId="0" fontId="42" fillId="0" borderId="0" xfId="0" applyFont="1"/>
    <xf numFmtId="0" fontId="3" fillId="0" borderId="0" xfId="0" applyFont="1"/>
    <xf numFmtId="3" fontId="0" fillId="0" borderId="0" xfId="0" applyNumberFormat="1" applyAlignment="1">
      <alignment horizontal="right"/>
    </xf>
    <xf numFmtId="166" fontId="0" fillId="0" borderId="0" xfId="0" applyNumberFormat="1"/>
    <xf numFmtId="171" fontId="0" fillId="0" borderId="0" xfId="0" applyNumberFormat="1"/>
    <xf numFmtId="0" fontId="7" fillId="0" borderId="7" xfId="0" applyFont="1" applyBorder="1"/>
    <xf numFmtId="0" fontId="0" fillId="0" borderId="18" xfId="0" applyBorder="1"/>
    <xf numFmtId="0" fontId="0" fillId="0" borderId="7" xfId="0" applyBorder="1" applyAlignment="1">
      <alignment horizontal="right"/>
    </xf>
    <xf numFmtId="3" fontId="8" fillId="0" borderId="7" xfId="0" applyNumberFormat="1" applyFont="1" applyBorder="1"/>
    <xf numFmtId="171" fontId="0" fillId="0" borderId="7" xfId="0" applyNumberFormat="1" applyBorder="1"/>
    <xf numFmtId="3" fontId="7" fillId="0" borderId="7" xfId="0" applyNumberFormat="1" applyFont="1" applyBorder="1" applyAlignment="1">
      <alignment horizontal="right"/>
    </xf>
    <xf numFmtId="3" fontId="7" fillId="0" borderId="7" xfId="0" applyNumberFormat="1" applyFont="1" applyBorder="1"/>
    <xf numFmtId="1" fontId="0" fillId="0" borderId="7" xfId="0" applyNumberFormat="1" applyBorder="1"/>
    <xf numFmtId="3" fontId="3" fillId="0" borderId="0" xfId="0" applyNumberFormat="1" applyFont="1"/>
    <xf numFmtId="0" fontId="17" fillId="7" borderId="10" xfId="2" applyFont="1" applyFill="1" applyBorder="1" applyAlignment="1">
      <alignment horizontal="left"/>
    </xf>
    <xf numFmtId="4" fontId="17" fillId="7" borderId="17" xfId="2" applyNumberFormat="1" applyFont="1" applyFill="1" applyBorder="1" applyAlignment="1">
      <alignment horizontal="center"/>
    </xf>
    <xf numFmtId="4" fontId="0" fillId="0" borderId="6" xfId="0" applyNumberFormat="1" applyBorder="1"/>
    <xf numFmtId="3" fontId="23" fillId="4" borderId="14" xfId="2" applyNumberFormat="1" applyFont="1" applyFill="1" applyBorder="1" applyAlignment="1">
      <alignment horizontal="center"/>
    </xf>
    <xf numFmtId="3" fontId="23" fillId="4" borderId="2" xfId="2" applyNumberFormat="1" applyFont="1" applyFill="1" applyBorder="1" applyAlignment="1">
      <alignment horizontal="center"/>
    </xf>
    <xf numFmtId="3" fontId="23" fillId="4" borderId="17" xfId="2" applyNumberFormat="1" applyFont="1" applyFill="1" applyBorder="1" applyAlignment="1">
      <alignment horizontal="center"/>
    </xf>
    <xf numFmtId="0" fontId="25" fillId="0" borderId="0" xfId="0" applyFont="1"/>
    <xf numFmtId="0" fontId="2" fillId="0" borderId="7" xfId="0" applyFont="1" applyBorder="1"/>
    <xf numFmtId="4" fontId="2" fillId="0" borderId="7" xfId="0" applyNumberFormat="1" applyFont="1" applyBorder="1"/>
    <xf numFmtId="3" fontId="0" fillId="2" borderId="6" xfId="0" applyNumberFormat="1" applyFill="1" applyBorder="1"/>
    <xf numFmtId="3" fontId="0" fillId="2" borderId="10" xfId="0" applyNumberFormat="1" applyFill="1" applyBorder="1"/>
    <xf numFmtId="0" fontId="43" fillId="0" borderId="0" xfId="0" applyFont="1"/>
    <xf numFmtId="4" fontId="41" fillId="0" borderId="0" xfId="0" applyNumberFormat="1" applyFont="1"/>
    <xf numFmtId="0" fontId="26" fillId="0" borderId="0" xfId="0" applyFont="1"/>
    <xf numFmtId="4" fontId="26" fillId="0" borderId="0" xfId="0" applyNumberFormat="1" applyFont="1"/>
    <xf numFmtId="0" fontId="0" fillId="0" borderId="7" xfId="0" applyBorder="1" applyAlignment="1">
      <alignment horizontal="center"/>
    </xf>
    <xf numFmtId="14" fontId="44" fillId="0" borderId="19" xfId="0" quotePrefix="1" applyNumberFormat="1" applyFont="1" applyBorder="1" applyProtection="1">
      <protection locked="0"/>
    </xf>
    <xf numFmtId="0" fontId="45" fillId="0" borderId="20" xfId="0" applyFont="1" applyBorder="1"/>
    <xf numFmtId="14" fontId="44" fillId="0" borderId="20" xfId="0" quotePrefix="1" applyNumberFormat="1" applyFont="1" applyBorder="1" applyProtection="1">
      <protection locked="0"/>
    </xf>
    <xf numFmtId="0" fontId="45" fillId="0" borderId="21" xfId="0" applyFont="1" applyBorder="1"/>
    <xf numFmtId="0" fontId="45" fillId="0" borderId="22" xfId="0" applyFont="1" applyBorder="1"/>
    <xf numFmtId="14" fontId="44" fillId="0" borderId="0" xfId="0" quotePrefix="1" applyNumberFormat="1" applyFont="1"/>
    <xf numFmtId="0" fontId="45" fillId="0" borderId="0" xfId="0" applyFont="1"/>
    <xf numFmtId="0" fontId="45" fillId="0" borderId="23" xfId="0" applyFont="1" applyBorder="1"/>
    <xf numFmtId="0" fontId="46" fillId="0" borderId="0" xfId="0" applyFont="1"/>
    <xf numFmtId="0" fontId="45" fillId="6" borderId="1" xfId="0" applyFont="1" applyFill="1" applyBorder="1"/>
    <xf numFmtId="0" fontId="47" fillId="0" borderId="0" xfId="0" quotePrefix="1" applyFont="1"/>
    <xf numFmtId="0" fontId="45" fillId="2" borderId="1" xfId="0" applyFont="1" applyFill="1" applyBorder="1"/>
    <xf numFmtId="0" fontId="48" fillId="0" borderId="0" xfId="0" applyFont="1"/>
    <xf numFmtId="0" fontId="47" fillId="0" borderId="0" xfId="0" applyFont="1"/>
    <xf numFmtId="3" fontId="49" fillId="0" borderId="0" xfId="0" applyNumberFormat="1" applyFont="1"/>
    <xf numFmtId="0" fontId="50" fillId="0" borderId="0" xfId="0" applyFont="1"/>
    <xf numFmtId="0" fontId="45" fillId="0" borderId="23" xfId="0" applyFont="1" applyBorder="1" applyAlignment="1">
      <alignment horizontal="center"/>
    </xf>
    <xf numFmtId="0" fontId="47" fillId="0" borderId="23" xfId="0" applyFont="1" applyBorder="1" applyAlignment="1">
      <alignment horizontal="center"/>
    </xf>
    <xf numFmtId="0" fontId="47" fillId="0" borderId="23" xfId="0" applyFont="1" applyBorder="1"/>
    <xf numFmtId="3" fontId="45" fillId="2" borderId="1" xfId="0" applyNumberFormat="1" applyFont="1" applyFill="1" applyBorder="1"/>
    <xf numFmtId="4" fontId="47" fillId="0" borderId="23" xfId="0" applyNumberFormat="1" applyFont="1" applyBorder="1"/>
    <xf numFmtId="0" fontId="45" fillId="0" borderId="7" xfId="0" applyFont="1" applyBorder="1"/>
    <xf numFmtId="3" fontId="45" fillId="0" borderId="7" xfId="0" applyNumberFormat="1" applyFont="1" applyBorder="1"/>
    <xf numFmtId="0" fontId="45" fillId="0" borderId="7" xfId="0" applyFont="1" applyBorder="1" applyAlignment="1">
      <alignment horizontal="center"/>
    </xf>
    <xf numFmtId="3" fontId="45" fillId="2" borderId="6" xfId="0" applyNumberFormat="1" applyFont="1" applyFill="1" applyBorder="1"/>
    <xf numFmtId="4" fontId="47" fillId="0" borderId="24" xfId="0" applyNumberFormat="1" applyFont="1" applyBorder="1"/>
    <xf numFmtId="3" fontId="45" fillId="0" borderId="0" xfId="0" applyNumberFormat="1" applyFont="1"/>
    <xf numFmtId="0" fontId="45" fillId="0" borderId="0" xfId="0" applyFont="1" applyAlignment="1">
      <alignment horizontal="center"/>
    </xf>
    <xf numFmtId="4" fontId="48" fillId="6" borderId="6" xfId="0" applyNumberFormat="1" applyFont="1" applyFill="1" applyBorder="1" applyProtection="1">
      <protection locked="0"/>
    </xf>
    <xf numFmtId="0" fontId="47" fillId="0" borderId="7" xfId="0" applyFont="1" applyBorder="1"/>
    <xf numFmtId="0" fontId="45" fillId="0" borderId="16" xfId="0" applyFont="1" applyBorder="1"/>
    <xf numFmtId="4" fontId="47" fillId="0" borderId="25" xfId="0" applyNumberFormat="1" applyFont="1" applyBorder="1"/>
    <xf numFmtId="3" fontId="48" fillId="0" borderId="0" xfId="0" applyNumberFormat="1" applyFont="1"/>
    <xf numFmtId="4" fontId="46" fillId="0" borderId="23" xfId="0" applyNumberFormat="1" applyFont="1" applyBorder="1"/>
    <xf numFmtId="3" fontId="45" fillId="6" borderId="1" xfId="0" applyNumberFormat="1" applyFont="1" applyFill="1" applyBorder="1" applyProtection="1">
      <protection locked="0"/>
    </xf>
    <xf numFmtId="3" fontId="48" fillId="2" borderId="1" xfId="0" quotePrefix="1" applyNumberFormat="1" applyFont="1" applyFill="1" applyBorder="1"/>
    <xf numFmtId="0" fontId="47" fillId="0" borderId="22" xfId="0" applyFont="1" applyBorder="1"/>
    <xf numFmtId="3" fontId="46" fillId="0" borderId="0" xfId="0" applyNumberFormat="1" applyFont="1"/>
    <xf numFmtId="0" fontId="51" fillId="0" borderId="22" xfId="0" applyFont="1" applyBorder="1"/>
    <xf numFmtId="0" fontId="51" fillId="0" borderId="0" xfId="0" applyFont="1"/>
    <xf numFmtId="0" fontId="51" fillId="0" borderId="0" xfId="0" quotePrefix="1" applyFont="1"/>
    <xf numFmtId="4" fontId="52" fillId="6" borderId="1" xfId="0" applyNumberFormat="1" applyFont="1" applyFill="1" applyBorder="1" applyProtection="1">
      <protection locked="0"/>
    </xf>
    <xf numFmtId="3" fontId="51" fillId="0" borderId="0" xfId="0" applyNumberFormat="1" applyFont="1"/>
    <xf numFmtId="4" fontId="51" fillId="0" borderId="23" xfId="0" applyNumberFormat="1" applyFont="1" applyBorder="1"/>
    <xf numFmtId="3" fontId="45" fillId="2" borderId="10" xfId="0" applyNumberFormat="1" applyFont="1" applyFill="1" applyBorder="1"/>
    <xf numFmtId="0" fontId="53" fillId="4" borderId="12" xfId="0" applyFont="1" applyFill="1" applyBorder="1"/>
    <xf numFmtId="0" fontId="54" fillId="4" borderId="13" xfId="0" applyFont="1" applyFill="1" applyBorder="1" applyAlignment="1">
      <alignment horizontal="center"/>
    </xf>
    <xf numFmtId="0" fontId="53" fillId="4" borderId="14" xfId="0" applyFont="1" applyFill="1" applyBorder="1"/>
    <xf numFmtId="0" fontId="53" fillId="4" borderId="26" xfId="0" applyFont="1" applyFill="1" applyBorder="1"/>
    <xf numFmtId="0" fontId="54" fillId="4" borderId="0" xfId="0" applyFont="1" applyFill="1" applyAlignment="1">
      <alignment horizontal="center"/>
    </xf>
    <xf numFmtId="0" fontId="53" fillId="4" borderId="2" xfId="0" applyFont="1" applyFill="1" applyBorder="1"/>
    <xf numFmtId="0" fontId="53" fillId="4" borderId="15" xfId="0" applyFont="1" applyFill="1" applyBorder="1"/>
    <xf numFmtId="0" fontId="53" fillId="4" borderId="17" xfId="0" applyFont="1" applyFill="1" applyBorder="1"/>
    <xf numFmtId="0" fontId="0" fillId="4" borderId="12" xfId="0" applyFill="1" applyBorder="1"/>
    <xf numFmtId="0" fontId="0" fillId="4" borderId="14" xfId="0" applyFill="1" applyBorder="1"/>
    <xf numFmtId="0" fontId="0" fillId="4" borderId="26" xfId="0" applyFill="1" applyBorder="1"/>
    <xf numFmtId="0" fontId="0" fillId="4" borderId="2" xfId="0" applyFill="1" applyBorder="1"/>
    <xf numFmtId="0" fontId="0" fillId="4" borderId="17" xfId="0" applyFill="1" applyBorder="1"/>
    <xf numFmtId="3" fontId="45" fillId="2" borderId="0" xfId="0" applyNumberFormat="1" applyFont="1" applyFill="1"/>
    <xf numFmtId="4" fontId="52" fillId="6" borderId="0" xfId="0" applyNumberFormat="1" applyFont="1" applyFill="1" applyProtection="1">
      <protection locked="0"/>
    </xf>
    <xf numFmtId="0" fontId="44" fillId="0" borderId="0" xfId="0" applyFont="1"/>
    <xf numFmtId="0" fontId="55" fillId="4" borderId="27" xfId="0" applyFont="1" applyFill="1" applyBorder="1"/>
    <xf numFmtId="0" fontId="56" fillId="4" borderId="13" xfId="0" applyFont="1" applyFill="1" applyBorder="1"/>
    <xf numFmtId="0" fontId="55" fillId="4" borderId="13" xfId="0" applyFont="1" applyFill="1" applyBorder="1"/>
    <xf numFmtId="0" fontId="44" fillId="4" borderId="13" xfId="0" applyFont="1" applyFill="1" applyBorder="1" applyAlignment="1">
      <alignment horizontal="right"/>
    </xf>
    <xf numFmtId="0" fontId="44" fillId="4" borderId="28" xfId="0" applyFont="1" applyFill="1" applyBorder="1" applyAlignment="1">
      <alignment horizontal="right"/>
    </xf>
    <xf numFmtId="0" fontId="55" fillId="4" borderId="22" xfId="0" applyFont="1" applyFill="1" applyBorder="1"/>
    <xf numFmtId="0" fontId="56" fillId="4" borderId="0" xfId="0" applyFont="1" applyFill="1"/>
    <xf numFmtId="0" fontId="55" fillId="4" borderId="0" xfId="0" applyFont="1" applyFill="1"/>
    <xf numFmtId="3" fontId="57" fillId="4" borderId="0" xfId="0" applyNumberFormat="1" applyFont="1" applyFill="1"/>
    <xf numFmtId="4" fontId="57" fillId="4" borderId="23" xfId="0" applyNumberFormat="1" applyFont="1" applyFill="1" applyBorder="1"/>
    <xf numFmtId="0" fontId="56" fillId="4" borderId="29" xfId="0" applyFont="1" applyFill="1" applyBorder="1"/>
    <xf numFmtId="0" fontId="56" fillId="4" borderId="16" xfId="0" applyFont="1" applyFill="1" applyBorder="1"/>
    <xf numFmtId="3" fontId="56" fillId="4" borderId="16" xfId="0" applyNumberFormat="1" applyFont="1" applyFill="1" applyBorder="1"/>
    <xf numFmtId="4" fontId="56" fillId="4" borderId="25" xfId="0" applyNumberFormat="1" applyFont="1" applyFill="1" applyBorder="1"/>
    <xf numFmtId="3" fontId="48" fillId="2" borderId="0" xfId="0" quotePrefix="1" applyNumberFormat="1" applyFont="1" applyFill="1"/>
    <xf numFmtId="3" fontId="26" fillId="0" borderId="0" xfId="0" applyNumberFormat="1" applyFont="1"/>
    <xf numFmtId="3" fontId="9" fillId="2" borderId="1" xfId="0" quotePrefix="1" applyNumberFormat="1" applyFont="1" applyFill="1" applyBorder="1"/>
    <xf numFmtId="3" fontId="9" fillId="3" borderId="3" xfId="0" applyNumberFormat="1" applyFont="1" applyFill="1" applyBorder="1"/>
    <xf numFmtId="3" fontId="9" fillId="4" borderId="3" xfId="0" applyNumberFormat="1" applyFont="1" applyFill="1" applyBorder="1"/>
    <xf numFmtId="3" fontId="12" fillId="0" borderId="0" xfId="0" applyNumberFormat="1" applyFont="1" applyAlignment="1">
      <alignment horizontal="center"/>
    </xf>
    <xf numFmtId="0" fontId="12" fillId="0" borderId="0" xfId="0" applyFont="1" applyAlignment="1">
      <alignment horizontal="center"/>
    </xf>
    <xf numFmtId="3" fontId="26" fillId="3" borderId="5" xfId="0" applyNumberFormat="1" applyFont="1" applyFill="1" applyBorder="1"/>
    <xf numFmtId="3" fontId="26" fillId="4" borderId="5" xfId="0" applyNumberFormat="1" applyFont="1" applyFill="1" applyBorder="1"/>
    <xf numFmtId="14" fontId="3" fillId="0" borderId="0" xfId="0" applyNumberFormat="1" applyFont="1" applyAlignment="1">
      <alignment horizontal="left"/>
    </xf>
    <xf numFmtId="0" fontId="58" fillId="0" borderId="0" xfId="0" applyFont="1"/>
    <xf numFmtId="0" fontId="58" fillId="0" borderId="0" xfId="0" applyFont="1" applyAlignment="1">
      <alignment horizontal="center"/>
    </xf>
    <xf numFmtId="0" fontId="59" fillId="0" borderId="0" xfId="0" applyFont="1"/>
    <xf numFmtId="0" fontId="60" fillId="0" borderId="0" xfId="0" applyFont="1"/>
    <xf numFmtId="0" fontId="16" fillId="0" borderId="0" xfId="0" applyFont="1"/>
    <xf numFmtId="0" fontId="61" fillId="0" borderId="0" xfId="0" applyFont="1"/>
    <xf numFmtId="0" fontId="62" fillId="0" borderId="0" xfId="0" applyFont="1" applyAlignment="1">
      <alignment horizontal="left"/>
    </xf>
    <xf numFmtId="0" fontId="29" fillId="0" borderId="0" xfId="4" applyFont="1" applyAlignment="1">
      <alignment horizontal="center"/>
    </xf>
    <xf numFmtId="0" fontId="17" fillId="8" borderId="0" xfId="0" applyFont="1" applyFill="1"/>
    <xf numFmtId="0" fontId="17" fillId="8" borderId="0" xfId="0" applyFont="1" applyFill="1" applyAlignment="1">
      <alignment horizontal="center"/>
    </xf>
    <xf numFmtId="0" fontId="30" fillId="8" borderId="0" xfId="0" applyFont="1" applyFill="1"/>
    <xf numFmtId="0" fontId="29" fillId="0" borderId="0" xfId="4" applyFont="1"/>
    <xf numFmtId="0" fontId="17" fillId="8" borderId="16" xfId="0" applyFont="1" applyFill="1" applyBorder="1"/>
    <xf numFmtId="0" fontId="17" fillId="8" borderId="16" xfId="0" applyFont="1" applyFill="1" applyBorder="1" applyAlignment="1">
      <alignment horizontal="center"/>
    </xf>
    <xf numFmtId="0" fontId="30" fillId="8" borderId="16" xfId="0" applyFont="1" applyFill="1" applyBorder="1"/>
    <xf numFmtId="0" fontId="17" fillId="0" borderId="0" xfId="0" applyFont="1" applyAlignment="1">
      <alignment horizontal="center"/>
    </xf>
    <xf numFmtId="0" fontId="32" fillId="0" borderId="0" xfId="0" applyFont="1"/>
    <xf numFmtId="0" fontId="9" fillId="8" borderId="0" xfId="0" applyFont="1" applyFill="1" applyAlignment="1">
      <alignment horizontal="center"/>
    </xf>
    <xf numFmtId="0" fontId="30" fillId="8" borderId="0" xfId="0" applyFont="1" applyFill="1" applyAlignment="1">
      <alignment horizontal="center"/>
    </xf>
    <xf numFmtId="0" fontId="17" fillId="0" borderId="0" xfId="0" applyFont="1"/>
    <xf numFmtId="0" fontId="32" fillId="0" borderId="0" xfId="5" applyFont="1" applyAlignment="1">
      <alignment horizontal="center"/>
    </xf>
    <xf numFmtId="0" fontId="29" fillId="0" borderId="0" xfId="4" applyFont="1" applyAlignment="1">
      <alignment horizontal="left"/>
    </xf>
    <xf numFmtId="0" fontId="28" fillId="0" borderId="2" xfId="0" applyFont="1" applyBorder="1"/>
    <xf numFmtId="0" fontId="17" fillId="0" borderId="0" xfId="5" applyFont="1" applyAlignment="1">
      <alignment horizontal="center"/>
    </xf>
    <xf numFmtId="0" fontId="29" fillId="0" borderId="0" xfId="0" applyFont="1"/>
    <xf numFmtId="0" fontId="31" fillId="0" borderId="2" xfId="0" applyFont="1" applyBorder="1" applyAlignment="1">
      <alignment horizontal="center"/>
    </xf>
    <xf numFmtId="3" fontId="17" fillId="0" borderId="0" xfId="0" applyNumberFormat="1" applyFont="1" applyAlignment="1">
      <alignment horizontal="center"/>
    </xf>
    <xf numFmtId="1" fontId="9" fillId="0" borderId="0" xfId="0" applyNumberFormat="1" applyFont="1"/>
    <xf numFmtId="3" fontId="9" fillId="0" borderId="0" xfId="0" applyNumberFormat="1" applyFont="1"/>
    <xf numFmtId="0" fontId="9" fillId="0" borderId="0" xfId="0" applyFont="1" applyAlignment="1">
      <alignment horizontal="center"/>
    </xf>
    <xf numFmtId="173" fontId="9" fillId="0" borderId="0" xfId="0" applyNumberFormat="1" applyFont="1"/>
    <xf numFmtId="173" fontId="23" fillId="0" borderId="0" xfId="0" applyNumberFormat="1" applyFont="1"/>
    <xf numFmtId="3" fontId="23" fillId="0" borderId="0" xfId="0" applyNumberFormat="1" applyFont="1"/>
    <xf numFmtId="3" fontId="29" fillId="0" borderId="0" xfId="0" applyNumberFormat="1" applyFont="1"/>
    <xf numFmtId="0" fontId="31" fillId="0" borderId="2" xfId="0" applyFont="1" applyBorder="1"/>
    <xf numFmtId="0" fontId="63" fillId="0" borderId="0" xfId="5" applyFont="1"/>
    <xf numFmtId="0" fontId="64" fillId="0" borderId="0" xfId="0" applyFont="1"/>
    <xf numFmtId="0" fontId="65" fillId="0" borderId="0" xfId="0" applyFont="1"/>
    <xf numFmtId="0" fontId="66" fillId="0" borderId="0" xfId="5" applyFont="1"/>
    <xf numFmtId="0" fontId="67" fillId="0" borderId="0" xfId="0" applyFont="1"/>
    <xf numFmtId="0" fontId="68" fillId="0" borderId="0" xfId="0" applyFont="1"/>
    <xf numFmtId="0" fontId="17" fillId="0" borderId="0" xfId="5" applyFont="1"/>
    <xf numFmtId="0" fontId="53" fillId="0" borderId="0" xfId="0" applyFont="1" applyAlignment="1">
      <alignment horizontal="center"/>
    </xf>
    <xf numFmtId="3" fontId="69" fillId="0" borderId="0" xfId="2" applyNumberFormat="1" applyFont="1" applyAlignment="1" applyProtection="1">
      <alignment horizontal="right"/>
      <protection locked="0"/>
    </xf>
    <xf numFmtId="175" fontId="69" fillId="0" borderId="0" xfId="0" applyNumberFormat="1" applyFont="1" applyAlignment="1">
      <alignment horizontal="center"/>
    </xf>
    <xf numFmtId="3" fontId="29" fillId="0" borderId="0" xfId="6" applyNumberFormat="1" applyFont="1"/>
    <xf numFmtId="0" fontId="36" fillId="0" borderId="0" xfId="0" applyFont="1"/>
    <xf numFmtId="0" fontId="70" fillId="0" borderId="16" xfId="4" applyFont="1" applyBorder="1" applyAlignment="1">
      <alignment horizontal="left"/>
    </xf>
    <xf numFmtId="0" fontId="70" fillId="0" borderId="16" xfId="0" applyFont="1" applyBorder="1"/>
    <xf numFmtId="176" fontId="37" fillId="0" borderId="1" xfId="0" applyNumberFormat="1" applyFont="1" applyBorder="1" applyAlignment="1">
      <alignment horizontal="right"/>
    </xf>
    <xf numFmtId="0" fontId="0" fillId="0" borderId="1" xfId="0" applyBorder="1"/>
    <xf numFmtId="3" fontId="41" fillId="0" borderId="0" xfId="0" applyNumberFormat="1" applyFont="1"/>
    <xf numFmtId="0" fontId="71" fillId="0" borderId="0" xfId="0" applyFont="1"/>
    <xf numFmtId="3" fontId="0" fillId="2" borderId="0" xfId="0" applyNumberFormat="1" applyFill="1"/>
    <xf numFmtId="0" fontId="3" fillId="9" borderId="0" xfId="0" applyFont="1" applyFill="1"/>
    <xf numFmtId="3" fontId="3" fillId="9" borderId="0" xfId="0" applyNumberFormat="1" applyFont="1" applyFill="1"/>
    <xf numFmtId="164" fontId="3" fillId="0" borderId="0" xfId="0" applyNumberFormat="1" applyFont="1"/>
    <xf numFmtId="3" fontId="40" fillId="0" borderId="0" xfId="0" applyNumberFormat="1" applyFont="1" applyAlignment="1">
      <alignment horizontal="right"/>
    </xf>
    <xf numFmtId="3" fontId="0" fillId="0" borderId="0" xfId="0" applyNumberFormat="1" applyProtection="1">
      <protection locked="0"/>
    </xf>
    <xf numFmtId="172" fontId="9" fillId="0" borderId="0" xfId="0" applyNumberFormat="1" applyFont="1" applyAlignment="1" applyProtection="1">
      <alignment horizontal="right"/>
      <protection locked="0"/>
    </xf>
    <xf numFmtId="14" fontId="72" fillId="0" borderId="0" xfId="0" applyNumberFormat="1" applyFont="1" applyAlignment="1">
      <alignment horizontal="left"/>
    </xf>
    <xf numFmtId="173" fontId="9" fillId="8" borderId="0" xfId="0" applyNumberFormat="1" applyFont="1" applyFill="1" applyAlignment="1">
      <alignment horizontal="center"/>
    </xf>
    <xf numFmtId="0" fontId="31" fillId="0" borderId="0" xfId="0" applyFont="1" applyAlignment="1">
      <alignment horizontal="center"/>
    </xf>
    <xf numFmtId="0" fontId="32" fillId="0" borderId="0" xfId="0" applyFont="1" applyAlignment="1">
      <alignment horizontal="left"/>
    </xf>
    <xf numFmtId="174" fontId="3" fillId="0" borderId="0" xfId="5" applyNumberFormat="1" applyFont="1" applyAlignment="1">
      <alignment horizontal="left" vertical="center"/>
    </xf>
    <xf numFmtId="0" fontId="31" fillId="0" borderId="17" xfId="0" applyFont="1" applyBorder="1" applyAlignment="1">
      <alignment horizontal="center"/>
    </xf>
    <xf numFmtId="0" fontId="0" fillId="9" borderId="0" xfId="0" applyFill="1"/>
    <xf numFmtId="172" fontId="9" fillId="8" borderId="0" xfId="0" applyNumberFormat="1" applyFont="1" applyFill="1" applyAlignment="1">
      <alignment horizontal="center"/>
    </xf>
    <xf numFmtId="0" fontId="31" fillId="9" borderId="2" xfId="0" applyFont="1" applyFill="1" applyBorder="1" applyAlignment="1">
      <alignment horizontal="center"/>
    </xf>
    <xf numFmtId="0" fontId="0" fillId="9" borderId="0" xfId="0" applyFill="1" applyAlignment="1">
      <alignment horizontal="left"/>
    </xf>
    <xf numFmtId="1" fontId="3" fillId="0" borderId="0" xfId="0" applyNumberFormat="1" applyFont="1"/>
    <xf numFmtId="170" fontId="3" fillId="0" borderId="0" xfId="0" applyNumberFormat="1" applyFont="1"/>
    <xf numFmtId="0" fontId="63" fillId="0" borderId="0" xfId="0" applyFont="1" applyAlignment="1">
      <alignment horizontal="left"/>
    </xf>
    <xf numFmtId="3" fontId="73" fillId="0" borderId="0" xfId="0" applyNumberFormat="1" applyFont="1" applyAlignment="1">
      <alignment horizontal="right"/>
    </xf>
    <xf numFmtId="4" fontId="73" fillId="0" borderId="0" xfId="0" applyNumberFormat="1" applyFont="1" applyAlignment="1">
      <alignment horizontal="center"/>
    </xf>
    <xf numFmtId="173" fontId="63" fillId="0" borderId="0" xfId="0" applyNumberFormat="1" applyFont="1"/>
    <xf numFmtId="173" fontId="73" fillId="0" borderId="0" xfId="0" applyNumberFormat="1" applyFont="1" applyAlignment="1" applyProtection="1">
      <alignment horizontal="right"/>
      <protection locked="0"/>
    </xf>
    <xf numFmtId="4" fontId="63" fillId="0" borderId="0" xfId="0" applyNumberFormat="1" applyFont="1" applyAlignment="1">
      <alignment horizontal="left"/>
    </xf>
    <xf numFmtId="2" fontId="63" fillId="0" borderId="0" xfId="0" applyNumberFormat="1" applyFont="1" applyAlignment="1">
      <alignment horizontal="center"/>
    </xf>
    <xf numFmtId="3" fontId="65" fillId="0" borderId="0" xfId="0" applyNumberFormat="1" applyFont="1"/>
    <xf numFmtId="0" fontId="66" fillId="0" borderId="0" xfId="0" applyFont="1" applyAlignment="1">
      <alignment horizontal="left"/>
    </xf>
    <xf numFmtId="3" fontId="74" fillId="0" borderId="0" xfId="0" applyNumberFormat="1" applyFont="1" applyAlignment="1">
      <alignment horizontal="right"/>
    </xf>
    <xf numFmtId="3" fontId="66" fillId="0" borderId="0" xfId="0" applyNumberFormat="1" applyFont="1" applyAlignment="1">
      <alignment horizontal="right"/>
    </xf>
    <xf numFmtId="4" fontId="66" fillId="0" borderId="0" xfId="0" applyNumberFormat="1" applyFont="1" applyAlignment="1">
      <alignment horizontal="center"/>
    </xf>
    <xf numFmtId="173" fontId="66" fillId="0" borderId="0" xfId="0" applyNumberFormat="1" applyFont="1"/>
    <xf numFmtId="173" fontId="75" fillId="0" borderId="0" xfId="0" applyNumberFormat="1" applyFont="1" applyAlignment="1" applyProtection="1">
      <alignment horizontal="right"/>
      <protection locked="0"/>
    </xf>
    <xf numFmtId="3" fontId="75" fillId="0" borderId="0" xfId="0" applyNumberFormat="1" applyFont="1" applyAlignment="1">
      <alignment horizontal="right"/>
    </xf>
    <xf numFmtId="4" fontId="66" fillId="0" borderId="0" xfId="0" applyNumberFormat="1" applyFont="1" applyAlignment="1">
      <alignment horizontal="left"/>
    </xf>
    <xf numFmtId="2" fontId="66" fillId="0" borderId="0" xfId="0" applyNumberFormat="1" applyFont="1" applyAlignment="1">
      <alignment horizontal="center"/>
    </xf>
    <xf numFmtId="3" fontId="68" fillId="0" borderId="0" xfId="0" applyNumberFormat="1" applyFont="1"/>
    <xf numFmtId="0" fontId="76" fillId="0" borderId="0" xfId="0" applyFont="1" applyAlignment="1">
      <alignment horizontal="left"/>
    </xf>
    <xf numFmtId="3" fontId="76" fillId="0" borderId="0" xfId="0" applyNumberFormat="1" applyFont="1" applyAlignment="1">
      <alignment horizontal="right"/>
    </xf>
    <xf numFmtId="4" fontId="76" fillId="0" borderId="0" xfId="0" applyNumberFormat="1" applyFont="1" applyAlignment="1">
      <alignment horizontal="center"/>
    </xf>
    <xf numFmtId="173" fontId="76" fillId="0" borderId="0" xfId="0" applyNumberFormat="1" applyFont="1"/>
    <xf numFmtId="173" fontId="77" fillId="0" borderId="0" xfId="0" applyNumberFormat="1" applyFont="1" applyAlignment="1" applyProtection="1">
      <alignment horizontal="right"/>
      <protection locked="0"/>
    </xf>
    <xf numFmtId="4" fontId="17" fillId="0" borderId="0" xfId="0" applyNumberFormat="1" applyFont="1" applyAlignment="1">
      <alignment horizontal="left"/>
    </xf>
    <xf numFmtId="0" fontId="17" fillId="0" borderId="0" xfId="0" applyFont="1" applyAlignment="1">
      <alignment horizontal="left"/>
    </xf>
    <xf numFmtId="2" fontId="69" fillId="0" borderId="0" xfId="0" applyNumberFormat="1" applyFont="1" applyAlignment="1">
      <alignment horizontal="center"/>
    </xf>
    <xf numFmtId="3" fontId="31" fillId="0" borderId="0" xfId="0" applyNumberFormat="1" applyFont="1"/>
    <xf numFmtId="0" fontId="23" fillId="0" borderId="0" xfId="0" applyFont="1" applyAlignment="1">
      <alignment horizontal="left"/>
    </xf>
    <xf numFmtId="3" fontId="9" fillId="0" borderId="0" xfId="0" applyNumberFormat="1" applyFont="1" applyAlignment="1" applyProtection="1">
      <alignment horizontal="right"/>
      <protection locked="0"/>
    </xf>
    <xf numFmtId="3" fontId="9" fillId="0" borderId="0" xfId="0" applyNumberFormat="1" applyFont="1" applyAlignment="1" applyProtection="1">
      <alignment horizontal="center"/>
      <protection locked="0"/>
    </xf>
    <xf numFmtId="173" fontId="9" fillId="0" borderId="0" xfId="0" applyNumberFormat="1" applyFont="1" applyAlignment="1" applyProtection="1">
      <alignment horizontal="right"/>
      <protection locked="0"/>
    </xf>
    <xf numFmtId="173" fontId="23" fillId="0" borderId="0" xfId="0" applyNumberFormat="1" applyFont="1" applyAlignment="1" applyProtection="1">
      <alignment horizontal="right"/>
      <protection locked="0"/>
    </xf>
    <xf numFmtId="0" fontId="34" fillId="0" borderId="0" xfId="0" applyFont="1"/>
    <xf numFmtId="174" fontId="35" fillId="0" borderId="0" xfId="0" applyNumberFormat="1" applyFont="1" applyAlignment="1">
      <alignment vertical="center"/>
    </xf>
    <xf numFmtId="174" fontId="9" fillId="0" borderId="0" xfId="5" applyNumberFormat="1" applyFont="1" applyAlignment="1">
      <alignment horizontal="left" vertical="center"/>
    </xf>
    <xf numFmtId="0" fontId="9" fillId="0" borderId="0" xfId="0" applyFont="1" applyAlignment="1">
      <alignment horizontal="left"/>
    </xf>
    <xf numFmtId="3" fontId="17" fillId="0" borderId="0" xfId="0" applyNumberFormat="1" applyFont="1"/>
    <xf numFmtId="173" fontId="30" fillId="0" borderId="0" xfId="0" applyNumberFormat="1" applyFont="1"/>
    <xf numFmtId="0" fontId="9" fillId="0" borderId="0" xfId="0" applyFont="1"/>
    <xf numFmtId="0" fontId="32" fillId="0" borderId="0" xfId="5" applyFont="1" applyAlignment="1">
      <alignment horizontal="right"/>
    </xf>
    <xf numFmtId="49" fontId="3" fillId="0" borderId="0" xfId="3" applyNumberFormat="1" applyFont="1" applyAlignment="1" applyProtection="1">
      <alignment horizontal="center"/>
      <protection locked="0"/>
    </xf>
    <xf numFmtId="0" fontId="78" fillId="0" borderId="0" xfId="0" applyFont="1" applyAlignment="1">
      <alignment horizontal="left"/>
    </xf>
    <xf numFmtId="1" fontId="79" fillId="0" borderId="0" xfId="0" applyNumberFormat="1" applyFont="1"/>
    <xf numFmtId="3" fontId="9" fillId="0" borderId="1" xfId="0" applyNumberFormat="1" applyFont="1" applyBorder="1" applyAlignment="1">
      <alignment vertical="center"/>
    </xf>
    <xf numFmtId="174" fontId="32" fillId="0" borderId="0" xfId="0" applyNumberFormat="1" applyFont="1" applyAlignment="1">
      <alignment vertical="center"/>
    </xf>
    <xf numFmtId="3" fontId="0" fillId="9" borderId="0" xfId="0" applyNumberFormat="1" applyFill="1"/>
    <xf numFmtId="176" fontId="0" fillId="9" borderId="0" xfId="0" applyNumberFormat="1" applyFill="1"/>
    <xf numFmtId="176" fontId="37" fillId="0" borderId="0" xfId="0" applyNumberFormat="1" applyFont="1" applyAlignment="1">
      <alignment horizontal="right"/>
    </xf>
    <xf numFmtId="4" fontId="61" fillId="0" borderId="0" xfId="0" applyNumberFormat="1" applyFont="1"/>
    <xf numFmtId="0" fontId="80" fillId="0" borderId="0" xfId="0" applyFont="1"/>
    <xf numFmtId="0" fontId="81" fillId="0" borderId="0" xfId="0" applyFont="1" applyAlignment="1">
      <alignment vertical="center"/>
    </xf>
    <xf numFmtId="4" fontId="3" fillId="0" borderId="0" xfId="0" applyNumberFormat="1" applyFont="1"/>
    <xf numFmtId="0" fontId="82" fillId="0" borderId="0" xfId="0" applyFont="1" applyAlignment="1">
      <alignment vertical="center"/>
    </xf>
    <xf numFmtId="3" fontId="12" fillId="0" borderId="0" xfId="0" applyNumberFormat="1" applyFont="1" applyAlignment="1">
      <alignment vertical="center"/>
    </xf>
    <xf numFmtId="0" fontId="0" fillId="10" borderId="1" xfId="0" applyFill="1" applyBorder="1"/>
    <xf numFmtId="165" fontId="0" fillId="10" borderId="1" xfId="0" applyNumberFormat="1" applyFill="1" applyBorder="1" applyProtection="1">
      <protection locked="0"/>
    </xf>
    <xf numFmtId="3" fontId="0" fillId="10" borderId="1" xfId="0" applyNumberFormat="1" applyFill="1" applyBorder="1" applyProtection="1">
      <protection locked="0"/>
    </xf>
    <xf numFmtId="3" fontId="0" fillId="10" borderId="6" xfId="0" applyNumberFormat="1" applyFill="1" applyBorder="1" applyProtection="1">
      <protection locked="0"/>
    </xf>
    <xf numFmtId="4" fontId="0" fillId="10" borderId="1" xfId="0" applyNumberFormat="1" applyFill="1" applyBorder="1" applyProtection="1">
      <protection locked="0"/>
    </xf>
    <xf numFmtId="164" fontId="0" fillId="10" borderId="1" xfId="0" applyNumberFormat="1" applyFill="1" applyBorder="1" applyProtection="1">
      <protection locked="0"/>
    </xf>
    <xf numFmtId="10" fontId="38" fillId="4" borderId="16" xfId="6" applyNumberFormat="1" applyFont="1" applyFill="1" applyBorder="1" applyAlignment="1">
      <alignment horizontal="center"/>
    </xf>
    <xf numFmtId="0" fontId="0" fillId="10" borderId="1" xfId="0" applyFill="1" applyBorder="1" applyProtection="1">
      <protection locked="0"/>
    </xf>
    <xf numFmtId="0" fontId="0" fillId="10" borderId="6" xfId="0" applyFill="1" applyBorder="1" applyProtection="1">
      <protection locked="0"/>
    </xf>
    <xf numFmtId="166" fontId="0" fillId="10" borderId="8" xfId="0" applyNumberFormat="1" applyFill="1" applyBorder="1" applyProtection="1">
      <protection locked="0"/>
    </xf>
    <xf numFmtId="0" fontId="0" fillId="0" borderId="7" xfId="0" applyBorder="1" applyProtection="1">
      <protection locked="0"/>
    </xf>
    <xf numFmtId="3" fontId="83" fillId="0" borderId="0" xfId="0" applyNumberFormat="1" applyFont="1"/>
    <xf numFmtId="0" fontId="42" fillId="0" borderId="0" xfId="0" applyFont="1" applyAlignment="1">
      <alignment horizontal="center"/>
    </xf>
    <xf numFmtId="0" fontId="11" fillId="0" borderId="0" xfId="1" applyFill="1" applyAlignment="1" applyProtection="1"/>
    <xf numFmtId="4" fontId="7" fillId="0" borderId="0" xfId="0" applyNumberFormat="1" applyFont="1" applyAlignment="1">
      <alignment horizontal="right"/>
    </xf>
    <xf numFmtId="0" fontId="2" fillId="4" borderId="4" xfId="0" applyFont="1" applyFill="1" applyBorder="1"/>
    <xf numFmtId="9" fontId="0" fillId="0" borderId="0" xfId="0" applyNumberFormat="1"/>
    <xf numFmtId="10" fontId="0" fillId="0" borderId="0" xfId="0" applyNumberFormat="1"/>
    <xf numFmtId="0" fontId="6" fillId="0" borderId="0" xfId="0" applyFont="1"/>
    <xf numFmtId="0" fontId="84" fillId="0" borderId="0" xfId="0" applyFont="1"/>
    <xf numFmtId="0" fontId="86" fillId="0" borderId="0" xfId="0" quotePrefix="1" applyFont="1"/>
    <xf numFmtId="0" fontId="86" fillId="0" borderId="0" xfId="0" applyFont="1"/>
    <xf numFmtId="0" fontId="87" fillId="0" borderId="0" xfId="0" applyFont="1"/>
    <xf numFmtId="0" fontId="88" fillId="0" borderId="0" xfId="0" applyFont="1"/>
    <xf numFmtId="9" fontId="89" fillId="0" borderId="0" xfId="6" applyFont="1"/>
    <xf numFmtId="9" fontId="90" fillId="0" borderId="0" xfId="6" applyFont="1"/>
    <xf numFmtId="0" fontId="91" fillId="0" borderId="0" xfId="0" applyFont="1"/>
    <xf numFmtId="0" fontId="90" fillId="0" borderId="0" xfId="0" applyFont="1"/>
    <xf numFmtId="4" fontId="0" fillId="6" borderId="1" xfId="0" applyNumberFormat="1" applyFill="1" applyBorder="1"/>
    <xf numFmtId="2" fontId="0" fillId="6" borderId="1" xfId="0" applyNumberFormat="1" applyFill="1" applyBorder="1"/>
    <xf numFmtId="2" fontId="0" fillId="6" borderId="6" xfId="0" applyNumberFormat="1" applyFill="1" applyBorder="1"/>
    <xf numFmtId="2" fontId="0" fillId="6" borderId="1" xfId="0" applyNumberFormat="1" applyFill="1" applyBorder="1" applyAlignment="1">
      <alignment horizontal="center"/>
    </xf>
    <xf numFmtId="10" fontId="0" fillId="6" borderId="1" xfId="0" applyNumberFormat="1" applyFill="1" applyBorder="1"/>
    <xf numFmtId="10" fontId="0" fillId="10" borderId="1" xfId="0" applyNumberFormat="1" applyFill="1" applyBorder="1" applyProtection="1">
      <protection locked="0"/>
    </xf>
    <xf numFmtId="0" fontId="94" fillId="0" borderId="0" xfId="0" applyFont="1"/>
    <xf numFmtId="0" fontId="61" fillId="0" borderId="0" xfId="1" applyFont="1" applyAlignment="1" applyProtection="1"/>
    <xf numFmtId="0" fontId="98" fillId="0" borderId="0" xfId="0" applyFont="1"/>
    <xf numFmtId="0" fontId="99" fillId="0" borderId="0" xfId="7" applyFont="1" applyFill="1" applyBorder="1" applyAlignment="1">
      <alignment vertical="top"/>
    </xf>
    <xf numFmtId="0" fontId="101" fillId="0" borderId="37" xfId="8" applyFont="1" applyBorder="1"/>
    <xf numFmtId="0" fontId="100" fillId="0" borderId="37" xfId="8" applyFont="1" applyBorder="1"/>
    <xf numFmtId="0" fontId="99" fillId="0" borderId="0" xfId="7" applyFont="1" applyFill="1" applyBorder="1"/>
    <xf numFmtId="0" fontId="103" fillId="0" borderId="36" xfId="9" applyFont="1"/>
    <xf numFmtId="0" fontId="102" fillId="0" borderId="36" xfId="9" applyFont="1"/>
    <xf numFmtId="0" fontId="1" fillId="0" borderId="0" xfId="0" applyFont="1"/>
    <xf numFmtId="0" fontId="0" fillId="4" borderId="0" xfId="0" applyFill="1"/>
    <xf numFmtId="0" fontId="0" fillId="4" borderId="13" xfId="0" applyFill="1" applyBorder="1"/>
    <xf numFmtId="4" fontId="3" fillId="4" borderId="13" xfId="0" applyNumberFormat="1" applyFont="1" applyFill="1" applyBorder="1"/>
    <xf numFmtId="0" fontId="0" fillId="4" borderId="16" xfId="0" applyFill="1" applyBorder="1"/>
    <xf numFmtId="0" fontId="104" fillId="0" borderId="0" xfId="0" applyFont="1"/>
    <xf numFmtId="165" fontId="0" fillId="0" borderId="0" xfId="0" applyNumberFormat="1"/>
    <xf numFmtId="0" fontId="2" fillId="11" borderId="3" xfId="0" applyFont="1" applyFill="1" applyBorder="1"/>
    <xf numFmtId="0" fontId="0" fillId="11" borderId="4" xfId="0" applyFill="1" applyBorder="1"/>
    <xf numFmtId="0" fontId="2" fillId="11" borderId="4" xfId="0" applyFont="1" applyFill="1" applyBorder="1"/>
    <xf numFmtId="0" fontId="56" fillId="0" borderId="22" xfId="0" applyFont="1" applyBorder="1"/>
    <xf numFmtId="0" fontId="56" fillId="0" borderId="0" xfId="0" applyFont="1"/>
    <xf numFmtId="4" fontId="44" fillId="0" borderId="23" xfId="0" applyNumberFormat="1" applyFont="1" applyBorder="1"/>
    <xf numFmtId="9" fontId="107" fillId="0" borderId="0" xfId="6" applyFont="1"/>
    <xf numFmtId="3" fontId="56" fillId="2" borderId="0" xfId="0" applyNumberFormat="1" applyFont="1" applyFill="1"/>
    <xf numFmtId="3" fontId="3" fillId="3" borderId="3" xfId="0" applyNumberFormat="1" applyFont="1" applyFill="1" applyBorder="1"/>
    <xf numFmtId="3" fontId="12" fillId="3" borderId="5" xfId="0" applyNumberFormat="1" applyFont="1" applyFill="1" applyBorder="1"/>
    <xf numFmtId="0" fontId="94" fillId="0" borderId="0" xfId="0" applyFont="1" applyAlignment="1">
      <alignment vertical="center"/>
    </xf>
    <xf numFmtId="0" fontId="94" fillId="0" borderId="0" xfId="0" applyFont="1" applyAlignment="1">
      <alignment horizontal="left" indent="1"/>
    </xf>
    <xf numFmtId="0" fontId="108" fillId="0" borderId="0" xfId="0" applyFont="1"/>
    <xf numFmtId="0" fontId="105" fillId="0" borderId="0" xfId="0" applyFont="1"/>
    <xf numFmtId="0" fontId="55" fillId="0" borderId="0" xfId="0" applyFont="1"/>
    <xf numFmtId="3" fontId="55" fillId="2" borderId="0" xfId="0" quotePrefix="1" applyNumberFormat="1" applyFont="1" applyFill="1"/>
    <xf numFmtId="3" fontId="3" fillId="2" borderId="0" xfId="0" quotePrefix="1" applyNumberFormat="1" applyFont="1" applyFill="1"/>
    <xf numFmtId="3" fontId="0" fillId="4" borderId="1" xfId="0" applyNumberFormat="1" applyFill="1" applyBorder="1" applyProtection="1">
      <protection locked="0"/>
    </xf>
    <xf numFmtId="172" fontId="16" fillId="0" borderId="32" xfId="0" applyNumberFormat="1" applyFont="1" applyBorder="1"/>
    <xf numFmtId="0" fontId="3" fillId="12" borderId="0" xfId="0" applyFont="1" applyFill="1"/>
    <xf numFmtId="3" fontId="3" fillId="12" borderId="0" xfId="0" applyNumberFormat="1" applyFont="1" applyFill="1"/>
    <xf numFmtId="0" fontId="3" fillId="13" borderId="0" xfId="0" applyFont="1" applyFill="1"/>
    <xf numFmtId="3" fontId="3" fillId="13" borderId="0" xfId="0" applyNumberFormat="1" applyFont="1" applyFill="1"/>
    <xf numFmtId="0" fontId="3" fillId="0" borderId="0" xfId="0" applyFont="1" applyAlignment="1">
      <alignment vertical="top"/>
    </xf>
    <xf numFmtId="0" fontId="3" fillId="9" borderId="0" xfId="0" applyFont="1" applyFill="1" applyAlignment="1">
      <alignment vertical="top"/>
    </xf>
    <xf numFmtId="0" fontId="3" fillId="13" borderId="0" xfId="0" applyFont="1" applyFill="1" applyAlignment="1">
      <alignment vertical="top"/>
    </xf>
    <xf numFmtId="173" fontId="3" fillId="0" borderId="0" xfId="0" applyNumberFormat="1" applyFont="1"/>
    <xf numFmtId="0" fontId="1" fillId="0" borderId="0" xfId="0" quotePrefix="1" applyFont="1"/>
    <xf numFmtId="3" fontId="45" fillId="2" borderId="16" xfId="0" applyNumberFormat="1" applyFont="1" applyFill="1" applyBorder="1"/>
    <xf numFmtId="172" fontId="109" fillId="4" borderId="1" xfId="0" applyNumberFormat="1" applyFont="1" applyFill="1" applyBorder="1" applyProtection="1">
      <protection locked="0"/>
    </xf>
    <xf numFmtId="0" fontId="1" fillId="0" borderId="7" xfId="0" applyFont="1" applyBorder="1"/>
    <xf numFmtId="3" fontId="1" fillId="0" borderId="0" xfId="0" applyNumberFormat="1" applyFont="1"/>
    <xf numFmtId="14" fontId="1" fillId="0" borderId="0" xfId="0" applyNumberFormat="1" applyFont="1"/>
    <xf numFmtId="3" fontId="1" fillId="10" borderId="1" xfId="0" applyNumberFormat="1" applyFont="1" applyFill="1" applyBorder="1" applyProtection="1">
      <protection locked="0"/>
    </xf>
    <xf numFmtId="0" fontId="1" fillId="0" borderId="0" xfId="0" applyFont="1" applyAlignment="1">
      <alignment horizontal="left"/>
    </xf>
    <xf numFmtId="0" fontId="1" fillId="0" borderId="0" xfId="0" applyFont="1" applyAlignment="1">
      <alignment horizontal="center"/>
    </xf>
    <xf numFmtId="2" fontId="1" fillId="0" borderId="0" xfId="0" applyNumberFormat="1" applyFont="1"/>
    <xf numFmtId="1" fontId="1" fillId="0" borderId="0" xfId="0" applyNumberFormat="1" applyFont="1"/>
    <xf numFmtId="4" fontId="1" fillId="0" borderId="30" xfId="0" applyNumberFormat="1" applyFont="1" applyBorder="1"/>
    <xf numFmtId="4" fontId="1" fillId="0" borderId="0" xfId="0" applyNumberFormat="1" applyFont="1"/>
    <xf numFmtId="0" fontId="1" fillId="3" borderId="4" xfId="0" applyFont="1" applyFill="1" applyBorder="1"/>
    <xf numFmtId="0" fontId="1" fillId="0" borderId="0" xfId="0" applyFont="1" applyAlignment="1">
      <alignment horizontal="right"/>
    </xf>
    <xf numFmtId="0" fontId="1" fillId="0" borderId="7" xfId="0" quotePrefix="1" applyFont="1" applyBorder="1"/>
    <xf numFmtId="3" fontId="1" fillId="2" borderId="1" xfId="0" applyNumberFormat="1" applyFont="1" applyFill="1" applyBorder="1" applyProtection="1">
      <protection locked="0"/>
    </xf>
    <xf numFmtId="3" fontId="1" fillId="4" borderId="4" xfId="0" applyNumberFormat="1" applyFont="1" applyFill="1" applyBorder="1"/>
    <xf numFmtId="9" fontId="1" fillId="0" borderId="0" xfId="0" applyNumberFormat="1" applyFont="1"/>
    <xf numFmtId="0" fontId="1" fillId="4" borderId="26" xfId="0" applyFont="1" applyFill="1" applyBorder="1"/>
    <xf numFmtId="0" fontId="1" fillId="4" borderId="0" xfId="0" applyFont="1" applyFill="1"/>
    <xf numFmtId="0" fontId="1" fillId="4" borderId="2" xfId="0" applyFont="1" applyFill="1" applyBorder="1"/>
    <xf numFmtId="168" fontId="1" fillId="0" borderId="0" xfId="0" applyNumberFormat="1" applyFont="1"/>
    <xf numFmtId="168" fontId="1" fillId="3" borderId="4" xfId="0" applyNumberFormat="1" applyFont="1" applyFill="1" applyBorder="1"/>
    <xf numFmtId="3" fontId="61" fillId="0" borderId="0" xfId="0" applyNumberFormat="1" applyFont="1"/>
    <xf numFmtId="173" fontId="1" fillId="0" borderId="0" xfId="0" applyNumberFormat="1" applyFont="1" applyAlignment="1">
      <alignment horizontal="left" vertical="center"/>
    </xf>
    <xf numFmtId="3" fontId="3" fillId="0" borderId="15" xfId="10" applyNumberFormat="1" applyFont="1" applyBorder="1"/>
    <xf numFmtId="3" fontId="3" fillId="0" borderId="26" xfId="10" applyNumberFormat="1" applyFont="1" applyBorder="1" applyAlignment="1">
      <alignment horizontal="right"/>
    </xf>
    <xf numFmtId="3" fontId="3" fillId="0" borderId="16" xfId="10" applyNumberFormat="1" applyFont="1" applyBorder="1" applyAlignment="1">
      <alignment horizontal="right"/>
    </xf>
    <xf numFmtId="173" fontId="3" fillId="0" borderId="0" xfId="10" applyNumberFormat="1" applyFont="1"/>
    <xf numFmtId="173" fontId="111" fillId="0" borderId="0" xfId="10" applyNumberFormat="1" applyFont="1"/>
    <xf numFmtId="178" fontId="111" fillId="0" borderId="0" xfId="10" applyNumberFormat="1" applyFont="1" applyAlignment="1">
      <alignment horizontal="center"/>
    </xf>
    <xf numFmtId="173" fontId="3" fillId="0" borderId="0" xfId="10" applyNumberFormat="1" applyFont="1" applyAlignment="1">
      <alignment horizontal="right"/>
    </xf>
    <xf numFmtId="3" fontId="3" fillId="0" borderId="15" xfId="10" applyNumberFormat="1" applyFont="1" applyBorder="1" applyAlignment="1">
      <alignment horizontal="right"/>
    </xf>
    <xf numFmtId="2" fontId="3" fillId="0" borderId="0" xfId="0" applyNumberFormat="1" applyFont="1"/>
    <xf numFmtId="3" fontId="3" fillId="0" borderId="0" xfId="10" applyNumberFormat="1" applyFont="1" applyAlignment="1">
      <alignment horizontal="right"/>
    </xf>
    <xf numFmtId="3" fontId="3" fillId="0" borderId="26" xfId="10" applyNumberFormat="1" applyFont="1" applyBorder="1"/>
    <xf numFmtId="3" fontId="3" fillId="0" borderId="16" xfId="10" applyNumberFormat="1" applyFont="1" applyBorder="1"/>
    <xf numFmtId="3" fontId="3" fillId="0" borderId="0" xfId="10" applyNumberFormat="1" applyFont="1"/>
    <xf numFmtId="0" fontId="113" fillId="0" borderId="0" xfId="0" applyFont="1"/>
    <xf numFmtId="0" fontId="1" fillId="0" borderId="16" xfId="0" quotePrefix="1" applyFont="1" applyBorder="1"/>
    <xf numFmtId="0" fontId="1" fillId="0" borderId="16" xfId="0" applyFont="1" applyBorder="1"/>
    <xf numFmtId="173" fontId="1" fillId="0" borderId="0" xfId="0" applyNumberFormat="1" applyFont="1"/>
    <xf numFmtId="173" fontId="2" fillId="3" borderId="5" xfId="0" applyNumberFormat="1" applyFont="1" applyFill="1" applyBorder="1"/>
    <xf numFmtId="173" fontId="1" fillId="0" borderId="0" xfId="0" applyNumberFormat="1" applyFont="1" applyAlignment="1">
      <alignment horizontal="right"/>
    </xf>
    <xf numFmtId="173" fontId="1" fillId="0" borderId="16" xfId="0" applyNumberFormat="1" applyFont="1" applyBorder="1"/>
    <xf numFmtId="173" fontId="0" fillId="0" borderId="0" xfId="0" applyNumberFormat="1"/>
    <xf numFmtId="173" fontId="2" fillId="4" borderId="5" xfId="0" applyNumberFormat="1" applyFont="1" applyFill="1" applyBorder="1"/>
    <xf numFmtId="173" fontId="10" fillId="0" borderId="0" xfId="0" applyNumberFormat="1" applyFont="1"/>
    <xf numFmtId="173" fontId="0" fillId="4" borderId="4" xfId="0" applyNumberFormat="1" applyFill="1" applyBorder="1"/>
    <xf numFmtId="173" fontId="0" fillId="6" borderId="1" xfId="0" applyNumberFormat="1" applyFill="1" applyBorder="1"/>
    <xf numFmtId="173" fontId="1" fillId="10" borderId="1" xfId="0" applyNumberFormat="1" applyFont="1" applyFill="1" applyBorder="1" applyProtection="1">
      <protection locked="0"/>
    </xf>
    <xf numFmtId="173" fontId="0" fillId="6" borderId="9" xfId="0" applyNumberFormat="1" applyFill="1" applyBorder="1"/>
    <xf numFmtId="173" fontId="0" fillId="6" borderId="31" xfId="0" applyNumberFormat="1" applyFill="1" applyBorder="1"/>
    <xf numFmtId="172" fontId="0" fillId="4" borderId="4" xfId="0" applyNumberFormat="1" applyFill="1" applyBorder="1"/>
    <xf numFmtId="164" fontId="3" fillId="0" borderId="38" xfId="0" applyNumberFormat="1" applyFont="1" applyBorder="1"/>
    <xf numFmtId="0" fontId="11" fillId="0" borderId="0" xfId="1" applyAlignment="1" applyProtection="1"/>
    <xf numFmtId="14" fontId="7" fillId="0" borderId="0" xfId="0" quotePrefix="1" applyNumberFormat="1" applyFont="1" applyProtection="1">
      <protection locked="0"/>
    </xf>
    <xf numFmtId="9" fontId="114" fillId="0" borderId="0" xfId="6" applyFont="1"/>
    <xf numFmtId="0" fontId="48" fillId="0" borderId="22" xfId="0" applyFont="1" applyBorder="1"/>
    <xf numFmtId="3" fontId="48" fillId="2" borderId="0" xfId="0" applyNumberFormat="1" applyFont="1" applyFill="1"/>
    <xf numFmtId="172" fontId="0" fillId="6" borderId="1" xfId="0" applyNumberFormat="1" applyFill="1" applyBorder="1"/>
    <xf numFmtId="172" fontId="0" fillId="0" borderId="0" xfId="0" applyNumberFormat="1"/>
    <xf numFmtId="179" fontId="0" fillId="0" borderId="0" xfId="0" applyNumberFormat="1"/>
    <xf numFmtId="173" fontId="0" fillId="10" borderId="1" xfId="0" applyNumberFormat="1" applyFill="1" applyBorder="1"/>
    <xf numFmtId="173" fontId="7" fillId="0" borderId="0" xfId="0" applyNumberFormat="1" applyFont="1"/>
    <xf numFmtId="173" fontId="41" fillId="0" borderId="0" xfId="0" applyNumberFormat="1" applyFont="1"/>
    <xf numFmtId="173" fontId="0" fillId="10" borderId="6" xfId="0" applyNumberFormat="1" applyFill="1" applyBorder="1"/>
    <xf numFmtId="173" fontId="7" fillId="0" borderId="7" xfId="0" applyNumberFormat="1" applyFont="1" applyBorder="1"/>
    <xf numFmtId="173" fontId="40" fillId="0" borderId="0" xfId="0" applyNumberFormat="1" applyFont="1"/>
    <xf numFmtId="173" fontId="7" fillId="0" borderId="1" xfId="0" applyNumberFormat="1" applyFont="1" applyBorder="1"/>
    <xf numFmtId="173" fontId="0" fillId="0" borderId="16" xfId="0" applyNumberFormat="1" applyBorder="1"/>
    <xf numFmtId="173" fontId="7" fillId="0" borderId="16" xfId="0" applyNumberFormat="1" applyFont="1" applyBorder="1"/>
    <xf numFmtId="173" fontId="2" fillId="0" borderId="0" xfId="0" applyNumberFormat="1" applyFont="1"/>
    <xf numFmtId="173" fontId="19" fillId="0" borderId="0" xfId="0" applyNumberFormat="1" applyFont="1"/>
    <xf numFmtId="173" fontId="0" fillId="0" borderId="7" xfId="0" applyNumberFormat="1" applyBorder="1"/>
    <xf numFmtId="173" fontId="12" fillId="0" borderId="0" xfId="0" applyNumberFormat="1" applyFont="1" applyAlignment="1">
      <alignment horizontal="center"/>
    </xf>
    <xf numFmtId="173" fontId="105" fillId="10" borderId="1" xfId="0" applyNumberFormat="1" applyFont="1" applyFill="1" applyBorder="1"/>
    <xf numFmtId="173" fontId="12" fillId="0" borderId="0" xfId="0" applyNumberFormat="1" applyFont="1"/>
    <xf numFmtId="173" fontId="85" fillId="0" borderId="0" xfId="0" applyNumberFormat="1" applyFont="1" applyAlignment="1">
      <alignment vertical="center"/>
    </xf>
    <xf numFmtId="173" fontId="43" fillId="0" borderId="0" xfId="0" applyNumberFormat="1" applyFont="1"/>
    <xf numFmtId="173" fontId="86" fillId="0" borderId="0" xfId="0" applyNumberFormat="1" applyFont="1"/>
    <xf numFmtId="173" fontId="26" fillId="0" borderId="0" xfId="0" applyNumberFormat="1" applyFont="1"/>
    <xf numFmtId="173" fontId="2" fillId="11" borderId="4" xfId="0" applyNumberFormat="1" applyFont="1" applyFill="1" applyBorder="1"/>
    <xf numFmtId="173" fontId="19" fillId="11" borderId="5" xfId="0" applyNumberFormat="1" applyFont="1" applyFill="1" applyBorder="1"/>
    <xf numFmtId="0" fontId="6" fillId="11" borderId="3" xfId="0" applyFont="1" applyFill="1" applyBorder="1" applyAlignment="1">
      <alignment horizontal="center"/>
    </xf>
    <xf numFmtId="0" fontId="6" fillId="11" borderId="4" xfId="0" applyFont="1" applyFill="1" applyBorder="1" applyAlignment="1">
      <alignment horizontal="center"/>
    </xf>
    <xf numFmtId="0" fontId="6" fillId="11" borderId="5" xfId="0" applyFont="1" applyFill="1" applyBorder="1" applyAlignment="1">
      <alignment horizontal="center"/>
    </xf>
    <xf numFmtId="0" fontId="4" fillId="6" borderId="3" xfId="0" applyFont="1" applyFill="1" applyBorder="1" applyAlignment="1" applyProtection="1">
      <alignment horizontal="center"/>
      <protection locked="0"/>
    </xf>
    <xf numFmtId="0" fontId="4" fillId="6" borderId="5" xfId="0" applyFont="1" applyFill="1" applyBorder="1" applyAlignment="1" applyProtection="1">
      <alignment horizontal="center"/>
      <protection locked="0"/>
    </xf>
    <xf numFmtId="0" fontId="92" fillId="3" borderId="3" xfId="0" applyFont="1" applyFill="1" applyBorder="1" applyAlignment="1">
      <alignment horizontal="center"/>
    </xf>
    <xf numFmtId="0" fontId="92" fillId="3" borderId="4" xfId="0" applyFont="1" applyFill="1" applyBorder="1" applyAlignment="1">
      <alignment horizontal="center"/>
    </xf>
    <xf numFmtId="0" fontId="92" fillId="3" borderId="33" xfId="0" applyFont="1" applyFill="1" applyBorder="1" applyAlignment="1">
      <alignment horizontal="center"/>
    </xf>
    <xf numFmtId="0" fontId="93" fillId="0" borderId="0" xfId="0" applyFont="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2" fillId="0" borderId="3" xfId="0" applyFont="1" applyFill="1" applyBorder="1"/>
    <xf numFmtId="0" fontId="2" fillId="0" borderId="4" xfId="0" applyFont="1" applyFill="1" applyBorder="1"/>
    <xf numFmtId="173" fontId="2" fillId="0" borderId="4" xfId="0" applyNumberFormat="1" applyFont="1" applyFill="1" applyBorder="1"/>
    <xf numFmtId="173" fontId="19" fillId="0" borderId="5" xfId="0" applyNumberFormat="1" applyFont="1" applyFill="1" applyBorder="1"/>
    <xf numFmtId="0" fontId="105" fillId="0" borderId="4" xfId="0" applyFont="1" applyFill="1" applyBorder="1"/>
    <xf numFmtId="0" fontId="3" fillId="0" borderId="4" xfId="0" applyFont="1" applyFill="1" applyBorder="1"/>
    <xf numFmtId="173" fontId="105" fillId="0" borderId="4" xfId="0" applyNumberFormat="1" applyFont="1" applyFill="1" applyBorder="1"/>
    <xf numFmtId="173" fontId="106" fillId="0" borderId="5" xfId="0" applyNumberFormat="1" applyFont="1" applyFill="1" applyBorder="1"/>
    <xf numFmtId="0" fontId="0" fillId="0" borderId="0" xfId="0" applyFill="1"/>
    <xf numFmtId="0" fontId="1" fillId="0" borderId="0" xfId="0" applyFont="1" applyFill="1"/>
    <xf numFmtId="0" fontId="1" fillId="0" borderId="0" xfId="0" quotePrefix="1" applyFont="1" applyFill="1"/>
    <xf numFmtId="173" fontId="0" fillId="0" borderId="0" xfId="0" applyNumberFormat="1" applyFill="1"/>
    <xf numFmtId="173" fontId="7" fillId="0" borderId="0" xfId="0" applyNumberFormat="1" applyFont="1" applyFill="1"/>
    <xf numFmtId="0" fontId="2" fillId="0" borderId="0" xfId="0" applyFont="1" applyFill="1"/>
    <xf numFmtId="0" fontId="2" fillId="0" borderId="0" xfId="0" quotePrefix="1" applyFont="1" applyFill="1"/>
    <xf numFmtId="173" fontId="2" fillId="0" borderId="0" xfId="0" applyNumberFormat="1" applyFont="1" applyFill="1"/>
    <xf numFmtId="173" fontId="19" fillId="0" borderId="0" xfId="0" applyNumberFormat="1" applyFont="1" applyFill="1"/>
    <xf numFmtId="0" fontId="105" fillId="0" borderId="3" xfId="0" applyFont="1" applyFill="1" applyBorder="1"/>
    <xf numFmtId="173" fontId="0" fillId="0" borderId="1" xfId="0" applyNumberFormat="1" applyFill="1" applyBorder="1"/>
    <xf numFmtId="0" fontId="0" fillId="0" borderId="7" xfId="0" applyFill="1" applyBorder="1"/>
    <xf numFmtId="173" fontId="0" fillId="0" borderId="6" xfId="0" applyNumberFormat="1" applyFill="1" applyBorder="1"/>
    <xf numFmtId="0" fontId="7" fillId="0" borderId="0" xfId="0" applyFont="1" applyFill="1"/>
    <xf numFmtId="0" fontId="23" fillId="0" borderId="12" xfId="0" applyFont="1" applyFill="1" applyBorder="1"/>
    <xf numFmtId="0" fontId="9" fillId="0" borderId="13" xfId="0" applyFont="1" applyFill="1" applyBorder="1"/>
    <xf numFmtId="0" fontId="23" fillId="0" borderId="13" xfId="0" applyFont="1" applyFill="1" applyBorder="1"/>
    <xf numFmtId="173" fontId="26" fillId="0" borderId="13" xfId="0" applyNumberFormat="1" applyFont="1" applyFill="1" applyBorder="1" applyAlignment="1">
      <alignment horizontal="right"/>
    </xf>
    <xf numFmtId="173" fontId="26" fillId="0" borderId="14" xfId="0" applyNumberFormat="1" applyFont="1" applyFill="1" applyBorder="1" applyAlignment="1">
      <alignment horizontal="right"/>
    </xf>
    <xf numFmtId="0" fontId="23" fillId="0" borderId="26" xfId="0" applyFont="1" applyFill="1" applyBorder="1"/>
    <xf numFmtId="0" fontId="9" fillId="0" borderId="0" xfId="0" applyFont="1" applyFill="1"/>
    <xf numFmtId="0" fontId="23" fillId="0" borderId="0" xfId="0" applyFont="1" applyFill="1"/>
    <xf numFmtId="173" fontId="9" fillId="0" borderId="0" xfId="0" applyNumberFormat="1" applyFont="1" applyFill="1"/>
    <xf numFmtId="173" fontId="9" fillId="0" borderId="2" xfId="0" applyNumberFormat="1" applyFont="1" applyFill="1" applyBorder="1"/>
    <xf numFmtId="0" fontId="9" fillId="0" borderId="15" xfId="0" applyFont="1" applyFill="1" applyBorder="1"/>
    <xf numFmtId="0" fontId="9" fillId="0" borderId="16" xfId="0" applyFont="1" applyFill="1" applyBorder="1"/>
    <xf numFmtId="173" fontId="9" fillId="0" borderId="16" xfId="0" applyNumberFormat="1" applyFont="1" applyFill="1" applyBorder="1"/>
    <xf numFmtId="173" fontId="9" fillId="0" borderId="17" xfId="0" applyNumberFormat="1" applyFont="1" applyFill="1" applyBorder="1"/>
    <xf numFmtId="0" fontId="3" fillId="0" borderId="0" xfId="0" applyFont="1" applyFill="1"/>
    <xf numFmtId="173" fontId="3" fillId="0" borderId="0" xfId="0" applyNumberFormat="1" applyFont="1" applyFill="1"/>
    <xf numFmtId="0" fontId="1" fillId="0" borderId="4" xfId="0" applyFont="1" applyFill="1" applyBorder="1"/>
    <xf numFmtId="9" fontId="115" fillId="0" borderId="0" xfId="6" applyFont="1"/>
    <xf numFmtId="10" fontId="116" fillId="4" borderId="16" xfId="6" applyNumberFormat="1" applyFont="1" applyFill="1" applyBorder="1" applyAlignment="1">
      <alignment horizontal="center"/>
    </xf>
  </cellXfs>
  <cellStyles count="18">
    <cellStyle name="Erotin 2" xfId="11" xr:uid="{DAAC989E-5268-4ED6-9534-70B9CF1DF324}"/>
    <cellStyle name="Hyperlinkki" xfId="1" builtinId="8"/>
    <cellStyle name="Normaali" xfId="0" builtinId="0"/>
    <cellStyle name="Normaali 2" xfId="2" xr:uid="{00000000-0005-0000-0000-000002000000}"/>
    <cellStyle name="Normaali 2 2" xfId="14" xr:uid="{5B4CF9F0-46CE-47B8-A4DF-6054359562B2}"/>
    <cellStyle name="Normaali 3" xfId="3" xr:uid="{00000000-0005-0000-0000-000003000000}"/>
    <cellStyle name="Normaali 3 2" xfId="17" xr:uid="{5CCA7D1B-9A80-4489-BAAC-0F638227560E}"/>
    <cellStyle name="Normaali 4" xfId="10" xr:uid="{0A065FD8-2EB1-46BC-8466-EEC22E24B4F4}"/>
    <cellStyle name="Normaali_KUNVEROT" xfId="4" xr:uid="{00000000-0005-0000-0000-000004000000}"/>
    <cellStyle name="Normaali_Taul1" xfId="5" xr:uid="{00000000-0005-0000-0000-000005000000}"/>
    <cellStyle name="Otsikko 2" xfId="7" builtinId="17"/>
    <cellStyle name="Pilkku 2" xfId="15" xr:uid="{F8C0C834-5FAF-467C-99B0-634B96AC3776}"/>
    <cellStyle name="Pilkku 3" xfId="12" xr:uid="{F95AB116-C3B8-4738-9E12-963AD61314A9}"/>
    <cellStyle name="Prosenttia" xfId="6" builtinId="5"/>
    <cellStyle name="Prosenttia 2" xfId="16" xr:uid="{CB15C1DC-4983-4FFF-AA86-4851C37DA987}"/>
    <cellStyle name="Prosenttia 3" xfId="13" xr:uid="{CE8EFCBE-A14F-44E2-B6B2-F2575CCD5A4E}"/>
    <cellStyle name="Table Heading" xfId="8" xr:uid="{99E2DB4E-1DB4-4F5E-8145-F11D22BF008F}"/>
    <cellStyle name="Table Heading 2" xfId="9" xr:uid="{E639B6CB-C31E-4919-A963-D6D7CE1970A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a:pPr>
            <a:r>
              <a:rPr lang="fi-FI" sz="2400" b="1"/>
              <a:t>Valtionosuuden muodostuminen, €</a:t>
            </a:r>
          </a:p>
        </c:rich>
      </c:tx>
      <c:overlay val="0"/>
    </c:title>
    <c:autoTitleDeleted val="0"/>
    <c:plotArea>
      <c:layout/>
      <c:barChart>
        <c:barDir val="col"/>
        <c:grouping val="stacked"/>
        <c:varyColors val="0"/>
        <c:ser>
          <c:idx val="0"/>
          <c:order val="0"/>
          <c:tx>
            <c:strRef>
              <c:f>'2.Yhteenveto'!$AN$2</c:f>
              <c:strCache>
                <c:ptCount val="1"/>
                <c:pt idx="0">
                  <c:v>Valtionosuus laskennallisista kustannuksista</c:v>
                </c:pt>
              </c:strCache>
            </c:strRef>
          </c:tx>
          <c:spPr>
            <a:solidFill>
              <a:srgbClr val="4F81B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'2.Yhteenveto'!$AO$2:$AP$2</c:f>
              <c:numCache>
                <c:formatCode>#,##0</c:formatCode>
                <c:ptCount val="2"/>
                <c:pt idx="0">
                  <c:v>5212738.8327598833</c:v>
                </c:pt>
                <c:pt idx="1">
                  <c:v>0</c:v>
                </c:pt>
              </c:numCache>
            </c:numRef>
          </c:val>
          <c:extLst>
            <c:ext xmlns:c16="http://schemas.microsoft.com/office/drawing/2014/chart" uri="{C3380CC4-5D6E-409C-BE32-E72D297353CC}">
              <c16:uniqueId val="{00000000-3B85-4DB4-9856-63C28ADFACC8}"/>
            </c:ext>
          </c:extLst>
        </c:ser>
        <c:ser>
          <c:idx val="3"/>
          <c:order val="1"/>
          <c:tx>
            <c:strRef>
              <c:f>'2.Yhteenveto'!$AN$3</c:f>
              <c:strCache>
                <c:ptCount val="1"/>
                <c:pt idx="0">
                  <c:v>Verotuloihin perustuva tasaus</c:v>
                </c:pt>
              </c:strCache>
            </c:strRef>
          </c:tx>
          <c:spPr>
            <a:solidFill>
              <a:srgbClr val="8064A2"/>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'2.Yhteenveto'!$AO$3:$AP$3</c:f>
              <c:numCache>
                <c:formatCode>#,##0</c:formatCode>
                <c:ptCount val="2"/>
                <c:pt idx="0">
                  <c:v>7090798.5108171748</c:v>
                </c:pt>
                <c:pt idx="1">
                  <c:v>0</c:v>
                </c:pt>
              </c:numCache>
            </c:numRef>
          </c:val>
          <c:extLst>
            <c:ext xmlns:c16="http://schemas.microsoft.com/office/drawing/2014/chart" uri="{C3380CC4-5D6E-409C-BE32-E72D297353CC}">
              <c16:uniqueId val="{00000001-3B85-4DB4-9856-63C28ADFACC8}"/>
            </c:ext>
          </c:extLst>
        </c:ser>
        <c:ser>
          <c:idx val="6"/>
          <c:order val="2"/>
          <c:tx>
            <c:strRef>
              <c:f>'2.Yhteenveto'!$AN$4</c:f>
              <c:strCache>
                <c:ptCount val="1"/>
                <c:pt idx="0">
                  <c:v>Verokompensaatiot</c:v>
                </c:pt>
              </c:strCache>
            </c:strRef>
          </c:tx>
          <c:spPr>
            <a:solidFill>
              <a:schemeClr val="accent1">
                <a:lumMod val="60000"/>
              </a:schemeClr>
            </a:solidFill>
            <a:ln>
              <a:noFill/>
            </a:ln>
            <a:effectLst/>
          </c:spPr>
          <c:invertIfNegative val="0"/>
          <c:cat>
            <c:strRef>
              <c:f>'2.Yhteenveto'!$AO$11:$AR$11</c:f>
              <c:strCache>
                <c:ptCount val="3"/>
                <c:pt idx="0">
                  <c:v>Lisää valtionosuutta</c:v>
                </c:pt>
                <c:pt idx="1">
                  <c:v>Vähentää valtionosuutta</c:v>
                </c:pt>
                <c:pt idx="2">
                  <c:v>Valtionosuudet yhteensä</c:v>
                </c:pt>
              </c:strCache>
            </c:strRef>
          </c:cat>
          <c:val>
            <c:numRef>
              <c:f>'2.Yhteenveto'!$AO$4:$AP$4</c:f>
              <c:numCache>
                <c:formatCode>#,##0</c:formatCode>
                <c:ptCount val="2"/>
                <c:pt idx="0">
                  <c:v>2687797.7412677575</c:v>
                </c:pt>
                <c:pt idx="1">
                  <c:v>0</c:v>
                </c:pt>
              </c:numCache>
            </c:numRef>
          </c:val>
          <c:extLst>
            <c:ext xmlns:c16="http://schemas.microsoft.com/office/drawing/2014/chart" uri="{C3380CC4-5D6E-409C-BE32-E72D297353CC}">
              <c16:uniqueId val="{00000002-3B85-4DB4-9856-63C28ADFACC8}"/>
            </c:ext>
          </c:extLst>
        </c:ser>
        <c:ser>
          <c:idx val="1"/>
          <c:order val="3"/>
          <c:tx>
            <c:strRef>
              <c:f>'2.Yhteenveto'!$AN$5</c:f>
              <c:strCache>
                <c:ptCount val="1"/>
                <c:pt idx="0">
                  <c:v>Lisäosat</c:v>
                </c:pt>
              </c:strCache>
            </c:strRef>
          </c:tx>
          <c:spPr>
            <a:solidFill>
              <a:srgbClr val="C0504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'2.Yhteenveto'!$AO$5:$AP$5</c:f>
              <c:numCache>
                <c:formatCode>#,##0</c:formatCode>
                <c:ptCount val="2"/>
                <c:pt idx="0">
                  <c:v>409064.89318643126</c:v>
                </c:pt>
                <c:pt idx="1">
                  <c:v>0</c:v>
                </c:pt>
              </c:numCache>
            </c:numRef>
          </c:val>
          <c:extLst>
            <c:ext xmlns:c16="http://schemas.microsoft.com/office/drawing/2014/chart" uri="{C3380CC4-5D6E-409C-BE32-E72D297353CC}">
              <c16:uniqueId val="{00000003-3B85-4DB4-9856-63C28ADFACC8}"/>
            </c:ext>
          </c:extLst>
        </c:ser>
        <c:ser>
          <c:idx val="2"/>
          <c:order val="4"/>
          <c:tx>
            <c:strRef>
              <c:f>'2.Yhteenveto'!$AN$6</c:f>
              <c:strCache>
                <c:ptCount val="1"/>
                <c:pt idx="0">
                  <c:v>Lisäykset ja vähennykset (PL. sote-tasaus)</c:v>
                </c:pt>
              </c:strCache>
            </c:strRef>
          </c:tx>
          <c:spPr>
            <a:solidFill>
              <a:srgbClr val="9BBB59"/>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'2.Yhteenveto'!$AO$6:$AP$6</c:f>
              <c:numCache>
                <c:formatCode>#,##0</c:formatCode>
                <c:ptCount val="2"/>
                <c:pt idx="0">
                  <c:v>0</c:v>
                </c:pt>
                <c:pt idx="1">
                  <c:v>-1242546.0400000007</c:v>
                </c:pt>
              </c:numCache>
            </c:numRef>
          </c:val>
          <c:extLst>
            <c:ext xmlns:c16="http://schemas.microsoft.com/office/drawing/2014/chart" uri="{C3380CC4-5D6E-409C-BE32-E72D297353CC}">
              <c16:uniqueId val="{00000004-3B85-4DB4-9856-63C28ADFACC8}"/>
            </c:ext>
          </c:extLst>
        </c:ser>
        <c:ser>
          <c:idx val="4"/>
          <c:order val="5"/>
          <c:tx>
            <c:strRef>
              <c:f>'2.Yhteenveto'!$AN$7</c:f>
              <c:strCache>
                <c:ptCount val="1"/>
                <c:pt idx="0">
                  <c:v>Sote-uudistuksen tasauserät</c:v>
                </c:pt>
              </c:strCache>
            </c:strRef>
          </c:tx>
          <c:spPr>
            <a:solidFill>
              <a:srgbClr val="4BACC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'2.Yhteenveto'!$AO$7:$AP$7</c:f>
              <c:numCache>
                <c:formatCode>#,##0</c:formatCode>
                <c:ptCount val="2"/>
                <c:pt idx="0">
                  <c:v>0</c:v>
                </c:pt>
                <c:pt idx="1">
                  <c:v>-6052395.4612032259</c:v>
                </c:pt>
              </c:numCache>
            </c:numRef>
          </c:val>
          <c:extLst>
            <c:ext xmlns:c16="http://schemas.microsoft.com/office/drawing/2014/chart" uri="{C3380CC4-5D6E-409C-BE32-E72D297353CC}">
              <c16:uniqueId val="{00000005-3B85-4DB4-9856-63C28ADFACC8}"/>
            </c:ext>
          </c:extLst>
        </c:ser>
        <c:ser>
          <c:idx val="5"/>
          <c:order val="6"/>
          <c:tx>
            <c:strRef>
              <c:f>'2.Yhteenveto'!$AN$8</c:f>
              <c:strCache>
                <c:ptCount val="1"/>
                <c:pt idx="0">
                  <c:v>OKM valtionosuus</c:v>
                </c:pt>
              </c:strCache>
            </c:strRef>
          </c:tx>
          <c:spPr>
            <a:solidFill>
              <a:srgbClr val="F7964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'2.Yhteenveto'!$AO$8:$AQ$8</c:f>
              <c:numCache>
                <c:formatCode>#,##0</c:formatCode>
                <c:ptCount val="3"/>
                <c:pt idx="0">
                  <c:v>0</c:v>
                </c:pt>
                <c:pt idx="1">
                  <c:v>-2441149</c:v>
                </c:pt>
              </c:numCache>
            </c:numRef>
          </c:val>
          <c:extLst>
            <c:ext xmlns:c16="http://schemas.microsoft.com/office/drawing/2014/chart" uri="{C3380CC4-5D6E-409C-BE32-E72D297353CC}">
              <c16:uniqueId val="{00000006-3B85-4DB4-9856-63C28ADFACC8}"/>
            </c:ext>
          </c:extLst>
        </c:ser>
        <c:ser>
          <c:idx val="7"/>
          <c:order val="7"/>
          <c:tx>
            <c:strRef>
              <c:f>'2.Yhteenveto'!$AN$9</c:f>
              <c:strCache>
                <c:ptCount val="1"/>
                <c:pt idx="0">
                  <c:v>Yhteensä (netto)</c:v>
                </c:pt>
              </c:strCache>
            </c:strRef>
          </c:tx>
          <c:invertIfNegative val="0"/>
          <c:cat>
            <c:strRef>
              <c:f>'2.Yhteenveto'!$AO$11:$AR$11</c:f>
              <c:strCache>
                <c:ptCount val="3"/>
                <c:pt idx="0">
                  <c:v>Lisää valtionosuutta</c:v>
                </c:pt>
                <c:pt idx="1">
                  <c:v>Vähentää valtionosuutta</c:v>
                </c:pt>
                <c:pt idx="2">
                  <c:v>Valtionosuudet yhteensä</c:v>
                </c:pt>
              </c:strCache>
            </c:strRef>
          </c:cat>
          <c:val>
            <c:numRef>
              <c:f>'2.Yhteenveto'!$AO$9:$AQ$9</c:f>
              <c:numCache>
                <c:formatCode>General</c:formatCode>
                <c:ptCount val="3"/>
                <c:pt idx="2" formatCode="#,##0">
                  <c:v>5664309.4768280191</c:v>
                </c:pt>
              </c:numCache>
            </c:numRef>
          </c:val>
          <c:extLst>
            <c:ext xmlns:c16="http://schemas.microsoft.com/office/drawing/2014/chart" uri="{C3380CC4-5D6E-409C-BE32-E72D297353CC}">
              <c16:uniqueId val="{00000007-3B85-4DB4-9856-63C28ADFACC8}"/>
            </c:ext>
          </c:extLst>
        </c:ser>
        <c:dLbls>
          <c:showLegendKey val="0"/>
          <c:showVal val="0"/>
          <c:showCatName val="0"/>
          <c:showSerName val="0"/>
          <c:showPercent val="0"/>
          <c:showBubbleSize val="0"/>
        </c:dLbls>
        <c:gapWidth val="150"/>
        <c:overlap val="100"/>
        <c:axId val="794104368"/>
        <c:axId val="1"/>
      </c:barChart>
      <c:catAx>
        <c:axId val="79410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a:pPr>
            <a:endParaRPr lang="fi-FI"/>
          </a:p>
        </c:txPr>
        <c:crossAx val="794104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dTable>
      <c:spPr>
        <a:noFill/>
        <a:ln w="25400">
          <a:noFill/>
        </a:ln>
      </c:spPr>
    </c:plotArea>
    <c:legend>
      <c:legendPos val="r"/>
      <c:layout>
        <c:manualLayout>
          <c:xMode val="edge"/>
          <c:yMode val="edge"/>
          <c:x val="0.78687133700205059"/>
          <c:y val="0.14877589261030277"/>
          <c:w val="0.20444384824321682"/>
          <c:h val="0.41915976367713459"/>
        </c:manualLayout>
      </c:layout>
      <c:overlay val="0"/>
      <c:spPr>
        <a:solidFill>
          <a:sysClr val="window" lastClr="FFFFFF"/>
        </a:solidFill>
        <a:ln>
          <a:noFill/>
        </a:ln>
        <a:effectLst/>
      </c:sp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a:pPr>
            <a:r>
              <a:rPr lang="fi-FI" sz="2400" b="1"/>
              <a:t>Valtionosuuden muodostuminen €/as</a:t>
            </a:r>
          </a:p>
        </c:rich>
      </c:tx>
      <c:overlay val="0"/>
    </c:title>
    <c:autoTitleDeleted val="0"/>
    <c:plotArea>
      <c:layout/>
      <c:barChart>
        <c:barDir val="col"/>
        <c:grouping val="stacked"/>
        <c:varyColors val="0"/>
        <c:ser>
          <c:idx val="0"/>
          <c:order val="0"/>
          <c:tx>
            <c:strRef>
              <c:f>'2.Yhteenveto'!$AN$2</c:f>
              <c:strCache>
                <c:ptCount val="1"/>
                <c:pt idx="0">
                  <c:v>Valtionosuus laskennallisista kustannuksista</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8EC7-4189-8BED-43525208A29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'2.Yhteenveto'!$AO$12:$AQ$12</c:f>
              <c:numCache>
                <c:formatCode>#,##0</c:formatCode>
                <c:ptCount val="3"/>
                <c:pt idx="0">
                  <c:v>316.4413787870991</c:v>
                </c:pt>
                <c:pt idx="1">
                  <c:v>0</c:v>
                </c:pt>
              </c:numCache>
            </c:numRef>
          </c:val>
          <c:extLst>
            <c:ext xmlns:c16="http://schemas.microsoft.com/office/drawing/2014/chart" uri="{C3380CC4-5D6E-409C-BE32-E72D297353CC}">
              <c16:uniqueId val="{00000001-8EC7-4189-8BED-43525208A291}"/>
            </c:ext>
          </c:extLst>
        </c:ser>
        <c:ser>
          <c:idx val="3"/>
          <c:order val="1"/>
          <c:tx>
            <c:strRef>
              <c:f>'2.Yhteenveto'!$AN$3</c:f>
              <c:strCache>
                <c:ptCount val="1"/>
                <c:pt idx="0">
                  <c:v>Verotuloihin perustuva tasaus</c:v>
                </c:pt>
              </c:strCache>
            </c:strRef>
          </c:tx>
          <c:spPr>
            <a:solidFill>
              <a:srgbClr val="8064A2"/>
            </a:solidFill>
            <a:ln w="25400">
              <a:noFill/>
            </a:ln>
          </c:spPr>
          <c:invertIfNegative val="0"/>
          <c:dLbls>
            <c:dLbl>
              <c:idx val="0"/>
              <c:spPr>
                <a:noFill/>
                <a:ln w="25400">
                  <a:noFill/>
                </a:ln>
              </c:spPr>
              <c:txPr>
                <a:bodyPr/>
                <a:lstStyle/>
                <a:p>
                  <a:pPr>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C7-4189-8BED-43525208A2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'2.Yhteenveto'!$AO$13:$AQ$13</c:f>
              <c:numCache>
                <c:formatCode>#,##0</c:formatCode>
                <c:ptCount val="3"/>
                <c:pt idx="0">
                  <c:v>430.4497365881852</c:v>
                </c:pt>
                <c:pt idx="1">
                  <c:v>0</c:v>
                </c:pt>
              </c:numCache>
            </c:numRef>
          </c:val>
          <c:extLst>
            <c:ext xmlns:c16="http://schemas.microsoft.com/office/drawing/2014/chart" uri="{C3380CC4-5D6E-409C-BE32-E72D297353CC}">
              <c16:uniqueId val="{00000003-8EC7-4189-8BED-43525208A291}"/>
            </c:ext>
          </c:extLst>
        </c:ser>
        <c:ser>
          <c:idx val="6"/>
          <c:order val="2"/>
          <c:tx>
            <c:strRef>
              <c:f>'2.Yhteenveto'!$AN$4</c:f>
              <c:strCache>
                <c:ptCount val="1"/>
                <c:pt idx="0">
                  <c:v>Verokompensaatiot</c:v>
                </c:pt>
              </c:strCache>
            </c:strRef>
          </c:tx>
          <c:spPr>
            <a:solidFill>
              <a:schemeClr val="accent1">
                <a:lumMod val="60000"/>
              </a:schemeClr>
            </a:solidFill>
            <a:ln>
              <a:noFill/>
            </a:ln>
            <a:effectLst/>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'2.Yhteenveto'!$AO$14:$AQ$14</c:f>
              <c:numCache>
                <c:formatCode>#,##0</c:formatCode>
                <c:ptCount val="3"/>
                <c:pt idx="0">
                  <c:v>163.16382815927625</c:v>
                </c:pt>
                <c:pt idx="1">
                  <c:v>0</c:v>
                </c:pt>
              </c:numCache>
            </c:numRef>
          </c:val>
          <c:extLst>
            <c:ext xmlns:c16="http://schemas.microsoft.com/office/drawing/2014/chart" uri="{C3380CC4-5D6E-409C-BE32-E72D297353CC}">
              <c16:uniqueId val="{00000004-8EC7-4189-8BED-43525208A291}"/>
            </c:ext>
          </c:extLst>
        </c:ser>
        <c:ser>
          <c:idx val="1"/>
          <c:order val="3"/>
          <c:tx>
            <c:strRef>
              <c:f>'2.Yhteenveto'!$AN$5</c:f>
              <c:strCache>
                <c:ptCount val="1"/>
                <c:pt idx="0">
                  <c:v>Lisäosat</c:v>
                </c:pt>
              </c:strCache>
            </c:strRef>
          </c:tx>
          <c:spPr>
            <a:solidFill>
              <a:srgbClr val="C0504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'2.Yhteenveto'!$AO$15:$AQ$15</c:f>
              <c:numCache>
                <c:formatCode>#,##0</c:formatCode>
                <c:ptCount val="3"/>
                <c:pt idx="0">
                  <c:v>24.832446620920976</c:v>
                </c:pt>
                <c:pt idx="1">
                  <c:v>0</c:v>
                </c:pt>
              </c:numCache>
            </c:numRef>
          </c:val>
          <c:extLst>
            <c:ext xmlns:c16="http://schemas.microsoft.com/office/drawing/2014/chart" uri="{C3380CC4-5D6E-409C-BE32-E72D297353CC}">
              <c16:uniqueId val="{00000005-8EC7-4189-8BED-43525208A291}"/>
            </c:ext>
          </c:extLst>
        </c:ser>
        <c:ser>
          <c:idx val="2"/>
          <c:order val="4"/>
          <c:tx>
            <c:strRef>
              <c:f>'2.Yhteenveto'!$AN$6</c:f>
              <c:strCache>
                <c:ptCount val="1"/>
                <c:pt idx="0">
                  <c:v>Lisäykset ja vähennykset (PL. sote-tasaus)</c:v>
                </c:pt>
              </c:strCache>
            </c:strRef>
          </c:tx>
          <c:spPr>
            <a:solidFill>
              <a:srgbClr val="9BBB59"/>
            </a:solidFill>
            <a:ln w="25400">
              <a:no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'2.Yhteenveto'!$AO$16:$AQ$16</c:f>
              <c:numCache>
                <c:formatCode>#,##0</c:formatCode>
                <c:ptCount val="3"/>
                <c:pt idx="0">
                  <c:v>0</c:v>
                </c:pt>
                <c:pt idx="1">
                  <c:v>-75.429250288350644</c:v>
                </c:pt>
              </c:numCache>
            </c:numRef>
          </c:val>
          <c:extLst>
            <c:ext xmlns:c16="http://schemas.microsoft.com/office/drawing/2014/chart" uri="{C3380CC4-5D6E-409C-BE32-E72D297353CC}">
              <c16:uniqueId val="{00000006-8EC7-4189-8BED-43525208A291}"/>
            </c:ext>
          </c:extLst>
        </c:ser>
        <c:ser>
          <c:idx val="4"/>
          <c:order val="5"/>
          <c:tx>
            <c:strRef>
              <c:f>'2.Yhteenveto'!$AN$7</c:f>
              <c:strCache>
                <c:ptCount val="1"/>
                <c:pt idx="0">
                  <c:v>Sote-uudistuksen tasauserät</c:v>
                </c:pt>
              </c:strCache>
            </c:strRef>
          </c:tx>
          <c:spPr>
            <a:solidFill>
              <a:srgbClr val="4BACC6"/>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8EC7-4189-8BED-43525208A29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'2.Yhteenveto'!$AO$17:$AQ$17</c:f>
              <c:numCache>
                <c:formatCode>#,##0</c:formatCode>
                <c:ptCount val="3"/>
                <c:pt idx="0">
                  <c:v>0</c:v>
                </c:pt>
                <c:pt idx="1">
                  <c:v>-367.41306751673801</c:v>
                </c:pt>
              </c:numCache>
            </c:numRef>
          </c:val>
          <c:extLst>
            <c:ext xmlns:c16="http://schemas.microsoft.com/office/drawing/2014/chart" uri="{C3380CC4-5D6E-409C-BE32-E72D297353CC}">
              <c16:uniqueId val="{00000008-8EC7-4189-8BED-43525208A291}"/>
            </c:ext>
          </c:extLst>
        </c:ser>
        <c:ser>
          <c:idx val="5"/>
          <c:order val="6"/>
          <c:tx>
            <c:strRef>
              <c:f>'2.Yhteenveto'!$AN$8</c:f>
              <c:strCache>
                <c:ptCount val="1"/>
                <c:pt idx="0">
                  <c:v>OKM valtionosuus</c:v>
                </c:pt>
              </c:strCache>
            </c:strRef>
          </c:tx>
          <c:spPr>
            <a:solidFill>
              <a:srgbClr val="F7964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'2.Yhteenveto'!$AO$18:$AQ$18</c:f>
              <c:numCache>
                <c:formatCode>#,##0</c:formatCode>
                <c:ptCount val="3"/>
                <c:pt idx="0">
                  <c:v>0</c:v>
                </c:pt>
                <c:pt idx="1">
                  <c:v>-148.19091847265221</c:v>
                </c:pt>
              </c:numCache>
            </c:numRef>
          </c:val>
          <c:extLst>
            <c:ext xmlns:c16="http://schemas.microsoft.com/office/drawing/2014/chart" uri="{C3380CC4-5D6E-409C-BE32-E72D297353CC}">
              <c16:uniqueId val="{00000009-8EC7-4189-8BED-43525208A291}"/>
            </c:ext>
          </c:extLst>
        </c:ser>
        <c:ser>
          <c:idx val="7"/>
          <c:order val="7"/>
          <c:tx>
            <c:strRef>
              <c:f>'2.Yhteenveto'!$AN$9</c:f>
              <c:strCache>
                <c:ptCount val="1"/>
                <c:pt idx="0">
                  <c:v>Yhteensä (netto)</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'2.Yhteenveto'!$AO$19:$AQ$19</c:f>
              <c:numCache>
                <c:formatCode>General</c:formatCode>
                <c:ptCount val="3"/>
                <c:pt idx="2" formatCode="#,##0">
                  <c:v>343.8541538777406</c:v>
                </c:pt>
              </c:numCache>
            </c:numRef>
          </c:val>
          <c:extLst>
            <c:ext xmlns:c16="http://schemas.microsoft.com/office/drawing/2014/chart" uri="{C3380CC4-5D6E-409C-BE32-E72D297353CC}">
              <c16:uniqueId val="{0000000A-8EC7-4189-8BED-43525208A291}"/>
            </c:ext>
          </c:extLst>
        </c:ser>
        <c:dLbls>
          <c:showLegendKey val="0"/>
          <c:showVal val="0"/>
          <c:showCatName val="0"/>
          <c:showSerName val="0"/>
          <c:showPercent val="0"/>
          <c:showBubbleSize val="0"/>
        </c:dLbls>
        <c:gapWidth val="150"/>
        <c:overlap val="100"/>
        <c:axId val="794107280"/>
        <c:axId val="1"/>
      </c:barChart>
      <c:catAx>
        <c:axId val="79410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a:pPr>
            <a:endParaRPr lang="fi-FI"/>
          </a:p>
        </c:txPr>
        <c:crossAx val="794107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dTable>
      <c:spPr>
        <a:noFill/>
        <a:ln w="25400">
          <a:noFill/>
        </a:ln>
      </c:spPr>
    </c:plotArea>
    <c:legend>
      <c:legendPos val="r"/>
      <c:layout>
        <c:manualLayout>
          <c:xMode val="edge"/>
          <c:yMode val="edge"/>
          <c:x val="0.7863089033727243"/>
          <c:y val="0.14334159838372348"/>
          <c:w val="0.204950667051786"/>
          <c:h val="0.46922009325583736"/>
        </c:manualLayout>
      </c:layout>
      <c:overlay val="0"/>
      <c:spPr>
        <a:solidFill>
          <a:sysClr val="window" lastClr="FFFFFF"/>
        </a:solidFill>
        <a:ln>
          <a:noFill/>
        </a:ln>
        <a:effectLst/>
      </c:sp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46767</xdr:colOff>
      <xdr:row>0</xdr:row>
      <xdr:rowOff>11430</xdr:rowOff>
    </xdr:from>
    <xdr:to>
      <xdr:col>11</xdr:col>
      <xdr:colOff>118467</xdr:colOff>
      <xdr:row>105</xdr:row>
      <xdr:rowOff>80340</xdr:rowOff>
    </xdr:to>
    <xdr:sp macro="" textlink="">
      <xdr:nvSpPr>
        <xdr:cNvPr id="3" name="Tekstiruutu 2">
          <a:extLst>
            <a:ext uri="{FF2B5EF4-FFF2-40B4-BE49-F238E27FC236}">
              <a16:creationId xmlns:a16="http://schemas.microsoft.com/office/drawing/2014/main" id="{CB23478B-F77A-49F8-8999-A8E7AE5F701F}"/>
            </a:ext>
          </a:extLst>
        </xdr:cNvPr>
        <xdr:cNvSpPr txBox="1"/>
      </xdr:nvSpPr>
      <xdr:spPr>
        <a:xfrm>
          <a:off x="38100" y="9525"/>
          <a:ext cx="7178673" cy="1707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1" u="sng">
              <a:solidFill>
                <a:sysClr val="windowText" lastClr="000000"/>
              </a:solidFill>
              <a:effectLst/>
            </a:rPr>
            <a:t>KUNTALIITON</a:t>
          </a:r>
          <a:r>
            <a:rPr lang="fi-FI" sz="1400" b="1" u="sng" baseline="0">
              <a:solidFill>
                <a:sysClr val="windowText" lastClr="000000"/>
              </a:solidFill>
              <a:effectLst/>
            </a:rPr>
            <a:t> V</a:t>
          </a:r>
          <a:r>
            <a:rPr lang="fi-FI" sz="1400" b="1" u="sng">
              <a:solidFill>
                <a:sysClr val="windowText" lastClr="000000"/>
              </a:solidFill>
              <a:effectLst/>
            </a:rPr>
            <a:t>ALTIONOSUUSLASKURIN KÄYTTÖOHJEET</a:t>
          </a:r>
          <a:r>
            <a:rPr lang="fi-FI" sz="1400" b="1">
              <a:solidFill>
                <a:sysClr val="windowText" lastClr="000000"/>
              </a:solidFill>
              <a:effectLst/>
            </a:rPr>
            <a:t>		</a:t>
          </a:r>
          <a:r>
            <a:rPr lang="fi-FI" sz="1200" b="0" i="1">
              <a:solidFill>
                <a:sysClr val="windowText" lastClr="000000"/>
              </a:solidFill>
              <a:effectLst/>
            </a:rPr>
            <a:t>päivitetty 5.1.2024</a:t>
          </a:r>
        </a:p>
        <a:p>
          <a:pPr>
            <a:lnSpc>
              <a:spcPts val="1400"/>
            </a:lnSpc>
          </a:pPr>
          <a:endParaRPr lang="fi-FI" sz="1200">
            <a:solidFill>
              <a:sysClr val="windowText" lastClr="000000"/>
            </a:solidFill>
            <a:effectLst/>
          </a:endParaRPr>
        </a:p>
        <a:p>
          <a:pPr>
            <a:lnSpc>
              <a:spcPts val="1400"/>
            </a:lnSpc>
          </a:pPr>
          <a:r>
            <a:rPr lang="fi-FI" sz="1200">
              <a:solidFill>
                <a:sysClr val="windowText" lastClr="000000"/>
              </a:solidFill>
              <a:effectLst/>
            </a:rPr>
            <a:t>Valtionosuuslaskurin avulla voidaan laskea</a:t>
          </a:r>
          <a:r>
            <a:rPr lang="fi-FI" sz="1200" baseline="0">
              <a:solidFill>
                <a:sysClr val="windowText" lastClr="000000"/>
              </a:solidFill>
              <a:effectLst/>
            </a:rPr>
            <a:t> </a:t>
          </a:r>
          <a:r>
            <a:rPr lang="fi-FI" sz="1200">
              <a:solidFill>
                <a:sysClr val="windowText" lastClr="000000"/>
              </a:solidFill>
              <a:effectLst/>
            </a:rPr>
            <a:t>kunnan valtionosuusrahoituksen määrä.</a:t>
          </a:r>
        </a:p>
        <a:p>
          <a:pPr>
            <a:lnSpc>
              <a:spcPts val="1400"/>
            </a:lnSpc>
          </a:pPr>
          <a:r>
            <a:rPr lang="fi-FI" sz="1200">
              <a:solidFill>
                <a:sysClr val="windowText" lastClr="000000"/>
              </a:solidFill>
              <a:effectLst/>
            </a:rPr>
            <a:t>Laskurin</a:t>
          </a:r>
          <a:r>
            <a:rPr lang="fi-FI" sz="1200" baseline="0">
              <a:solidFill>
                <a:sysClr val="windowText" lastClr="000000"/>
              </a:solidFill>
              <a:effectLst/>
            </a:rPr>
            <a:t> luvut vastaavat VM:n ja OKM:n julkaisemia lopullisia valtionosuuspäätöksen tietoja vuodelle 2024. </a:t>
          </a:r>
        </a:p>
        <a:p>
          <a:pPr>
            <a:lnSpc>
              <a:spcPts val="1400"/>
            </a:lnSpc>
          </a:pPr>
          <a:endParaRPr lang="fi-FI" sz="1200" baseline="0">
            <a:solidFill>
              <a:sysClr val="windowText" lastClr="000000"/>
            </a:solidFill>
            <a:effectLst/>
          </a:endParaRPr>
        </a:p>
        <a:p>
          <a:pPr>
            <a:lnSpc>
              <a:spcPts val="1400"/>
            </a:lnSpc>
          </a:pPr>
          <a:r>
            <a:rPr lang="fi-FI" sz="1200" b="1">
              <a:solidFill>
                <a:sysClr val="windowText" lastClr="000000"/>
              </a:solidFill>
              <a:effectLst/>
            </a:rPr>
            <a:t>Valtionosuuslaskurilla</a:t>
          </a:r>
          <a:r>
            <a:rPr lang="fi-FI" sz="1200" b="1" baseline="0">
              <a:solidFill>
                <a:sysClr val="windowText" lastClr="000000"/>
              </a:solidFill>
              <a:effectLst/>
            </a:rPr>
            <a:t> on monta käyttötarkoitusta</a:t>
          </a:r>
        </a:p>
        <a:p>
          <a:pPr>
            <a:lnSpc>
              <a:spcPts val="1400"/>
            </a:lnSpc>
          </a:pPr>
          <a:endParaRPr lang="fi-FI" sz="1200" b="1" baseline="0">
            <a:solidFill>
              <a:sysClr val="windowText" lastClr="000000"/>
            </a:solidFill>
            <a:effectLst/>
          </a:endParaRPr>
        </a:p>
        <a:p>
          <a:pPr>
            <a:lnSpc>
              <a:spcPts val="1400"/>
            </a:lnSpc>
          </a:pPr>
          <a:r>
            <a:rPr lang="fi-FI" sz="1200" baseline="0">
              <a:solidFill>
                <a:sysClr val="windowText" lastClr="000000"/>
              </a:solidFill>
              <a:effectLst/>
            </a:rPr>
            <a:t>Laskurin avulla valtionosuusjärjestelmän kokonaisuuden hahmottaminen helpottuu: Laskuria voi käyttää talousarviovalmistelussa ja valtionosuusrahoituksen perusteiden ja määrytymisen opiskeluun, koska laskuri sisältää kaikki rahoituksen määräytymisen osatekijät.</a:t>
          </a: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Valtionosuuslaskuri on käytännöllinen väline myös vuosien välisten vertailujen tekoon. Laskuria voidaan käyttää skenaariolaskelmiin ja sen avulla voidaan tarkastella esimerkiksi miten tiettyjen olosuhteiden tai asukasmäärien muutokset vaikuttavat kunnan saaman valtionosuuden määrään. Mielenkiintoisia kysymyksiä ovat esimerkiksi muuttoliikkeen aiheuttamasta väestökehityksestä johtuvien ikärakennemuutosten vaikutus valtionosuusrahoitukseen sekä se, miten muutos vaikkapa työllisyydessä vaikuttaa kunnan saaman valtionosuusrahoituksen määrään.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Laskurin värikoodaus auttaa havainnollistamaan valtionosuusjärjestelmän kokonaisuuden</a:t>
          </a:r>
        </a:p>
        <a:p>
          <a:endParaRPr lang="fi-FI" sz="500">
            <a:solidFill>
              <a:sysClr val="windowText" lastClr="000000"/>
            </a:solidFill>
            <a:effectLst/>
          </a:endParaRPr>
        </a:p>
        <a:p>
          <a:pPr marL="0" marR="0" indent="0" defTabSz="914400" rtl="0" eaLnBrk="1" fontAlgn="auto" latinLnBrk="0" hangingPunct="1">
            <a:lnSpc>
              <a:spcPts val="14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Kunnan valtionosuusrahoitus </a:t>
          </a:r>
          <a:r>
            <a:rPr lang="fi-FI" sz="1200">
              <a:solidFill>
                <a:sysClr val="windowText" lastClr="000000"/>
              </a:solidFill>
              <a:effectLst/>
            </a:rPr>
            <a:t>muodostuu kahdesta osasta: </a:t>
          </a:r>
          <a:r>
            <a:rPr lang="fi-FI" sz="1200" b="1" baseline="0">
              <a:solidFill>
                <a:srgbClr val="00B050"/>
              </a:solidFill>
              <a:effectLst/>
              <a:latin typeface="+mn-lt"/>
              <a:ea typeface="+mn-ea"/>
              <a:cs typeface="+mn-cs"/>
            </a:rPr>
            <a:t>kunnan peruspalvelujen valtionosuudesta </a:t>
          </a:r>
          <a:r>
            <a:rPr lang="fi-FI" sz="1200">
              <a:solidFill>
                <a:sysClr val="windowText" lastClr="000000"/>
              </a:solidFill>
              <a:effectLst/>
            </a:rPr>
            <a:t>ja </a:t>
          </a:r>
          <a:r>
            <a:rPr lang="fi-FI" sz="1200" b="1" baseline="0">
              <a:solidFill>
                <a:srgbClr val="0070C0"/>
              </a:solidFill>
              <a:effectLst/>
              <a:latin typeface="+mn-lt"/>
              <a:ea typeface="+mn-ea"/>
              <a:cs typeface="+mn-cs"/>
            </a:rPr>
            <a:t>opetus- ja kulttuuritoimen rahoituksesta </a:t>
          </a:r>
          <a:r>
            <a:rPr lang="fi-FI" sz="1200">
              <a:solidFill>
                <a:sysClr val="windowText" lastClr="000000"/>
              </a:solidFill>
              <a:effectLst/>
            </a:rPr>
            <a:t>annetun lain mukaisesta valtionosuusrahoituksesta. </a:t>
          </a:r>
          <a:r>
            <a:rPr lang="fi-FI" sz="1200">
              <a:solidFill>
                <a:sysClr val="windowText" lastClr="000000"/>
              </a:solidFill>
              <a:effectLst/>
              <a:latin typeface="+mn-lt"/>
              <a:ea typeface="+mn-ea"/>
              <a:cs typeface="+mn-cs"/>
            </a:rPr>
            <a:t>Kumpikin valtionosuusrahoituksen osa tulee ottaa huomioon</a:t>
          </a:r>
          <a:r>
            <a:rPr lang="fi-FI" sz="1200" baseline="0">
              <a:solidFill>
                <a:sysClr val="windowText" lastClr="000000"/>
              </a:solidFill>
              <a:effectLst/>
              <a:latin typeface="+mn-lt"/>
              <a:ea typeface="+mn-ea"/>
              <a:cs typeface="+mn-cs"/>
            </a:rPr>
            <a:t> kunnan valtionosuusrahoituksen kokonaisuutta arvioitaessa.</a:t>
          </a:r>
          <a:r>
            <a:rPr lang="fi-FI" sz="1200">
              <a:solidFill>
                <a:sysClr val="windowText" lastClr="000000"/>
              </a:solidFill>
              <a:effectLst/>
              <a:latin typeface="+mn-lt"/>
              <a:ea typeface="+mn-ea"/>
              <a:cs typeface="+mn-cs"/>
            </a:rPr>
            <a:t> </a:t>
          </a:r>
        </a:p>
        <a:p>
          <a:pPr marL="0" marR="0" indent="0" defTabSz="914400" rtl="0" eaLnBrk="1" fontAlgn="auto" latinLnBrk="0" hangingPunct="1">
            <a:lnSpc>
              <a:spcPts val="1400"/>
            </a:lnSpc>
            <a:spcBef>
              <a:spcPts val="0"/>
            </a:spcBef>
            <a:spcAft>
              <a:spcPts val="0"/>
            </a:spcAft>
            <a:buClrTx/>
            <a:buSzTx/>
            <a:buFontTx/>
            <a:buNone/>
            <a:tabLst/>
            <a:defRPr/>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Valtionosuuden perusteena olevat laskennalliset kustannukset ja muut valtionosuusrahoituksen osatekijät on eroteltu valtionosuuslaskurissa omiksi taulukoikseen. Kunnan peruspalvelujen valtionosuuteen sisältyvät taulukot on merkitty </a:t>
          </a:r>
          <a:r>
            <a:rPr lang="fi-FI" sz="1200" b="1" baseline="0">
              <a:solidFill>
                <a:srgbClr val="00B050"/>
              </a:solidFill>
              <a:effectLst/>
            </a:rPr>
            <a:t>vihreällä</a:t>
          </a:r>
          <a:r>
            <a:rPr lang="fi-FI" sz="1200" baseline="0">
              <a:solidFill>
                <a:srgbClr val="00B050"/>
              </a:solidFill>
              <a:effectLst/>
            </a:rPr>
            <a:t> </a:t>
          </a:r>
          <a:r>
            <a:rPr lang="fi-FI" sz="1200" baseline="0">
              <a:solidFill>
                <a:sysClr val="windowText" lastClr="000000"/>
              </a:solidFill>
              <a:effectLst/>
            </a:rPr>
            <a:t>taulukonvalitsimen pohjavärillä. Opetus- ja kulttuuritoimen valtionosuuteen liittyvät taulukot on merkitty </a:t>
          </a:r>
          <a:r>
            <a:rPr lang="fi-FI" sz="1200" b="1" baseline="0">
              <a:solidFill>
                <a:srgbClr val="0070C0"/>
              </a:solidFill>
              <a:effectLst/>
              <a:latin typeface="+mn-lt"/>
              <a:ea typeface="+mn-ea"/>
              <a:cs typeface="+mn-cs"/>
            </a:rPr>
            <a:t>sinisin</a:t>
          </a:r>
          <a:r>
            <a:rPr lang="fi-FI" sz="1200" baseline="0">
              <a:solidFill>
                <a:srgbClr val="0070C0"/>
              </a:solidFill>
              <a:effectLst/>
            </a:rPr>
            <a:t> </a:t>
          </a:r>
          <a:r>
            <a:rPr lang="fi-FI" sz="1200" baseline="0">
              <a:solidFill>
                <a:sysClr val="windowText" lastClr="000000"/>
              </a:solidFill>
              <a:effectLst/>
            </a:rPr>
            <a:t>taulukonvalitsimin. </a:t>
          </a:r>
          <a:r>
            <a:rPr lang="fi-FI" sz="1200" b="1" baseline="0">
              <a:solidFill>
                <a:srgbClr val="0070C0"/>
              </a:solidFill>
              <a:effectLst/>
            </a:rPr>
            <a:t>Sinisistä</a:t>
          </a:r>
          <a:r>
            <a:rPr lang="fi-FI" sz="1200" baseline="0">
              <a:solidFill>
                <a:srgbClr val="0070C0"/>
              </a:solidFill>
              <a:effectLst/>
            </a:rPr>
            <a:t> </a:t>
          </a:r>
          <a:r>
            <a:rPr lang="fi-FI" sz="1200" baseline="0">
              <a:solidFill>
                <a:sysClr val="windowText" lastClr="000000"/>
              </a:solidFill>
              <a:effectLst/>
            </a:rPr>
            <a:t>ja </a:t>
          </a:r>
          <a:r>
            <a:rPr lang="fi-FI" sz="1200" b="1" baseline="0">
              <a:solidFill>
                <a:srgbClr val="00B050"/>
              </a:solidFill>
              <a:effectLst/>
            </a:rPr>
            <a:t>vihreistä</a:t>
          </a:r>
          <a:r>
            <a:rPr lang="fi-FI" sz="1200" baseline="0">
              <a:solidFill>
                <a:srgbClr val="00B050"/>
              </a:solidFill>
              <a:effectLst/>
            </a:rPr>
            <a:t> </a:t>
          </a:r>
          <a:r>
            <a:rPr lang="fi-FI" sz="1200" baseline="0">
              <a:solidFill>
                <a:sysClr val="windowText" lastClr="000000"/>
              </a:solidFill>
              <a:effectLst/>
            </a:rPr>
            <a:t>taulukoista tiedot siirtyvät automaattisesti </a:t>
          </a:r>
          <a:r>
            <a:rPr lang="fi-FI" sz="1200" b="1" baseline="0">
              <a:solidFill>
                <a:schemeClr val="accent2">
                  <a:lumMod val="75000"/>
                </a:schemeClr>
              </a:solidFill>
              <a:effectLst/>
            </a:rPr>
            <a:t>punaisella </a:t>
          </a:r>
          <a:r>
            <a:rPr lang="fi-FI" sz="1200" baseline="0">
              <a:solidFill>
                <a:sysClr val="windowText" lastClr="000000"/>
              </a:solidFill>
              <a:effectLst/>
            </a:rPr>
            <a:t>taulukonvalitsimella merkittyyn Yhteenveto-taulukkoon, joka kertoo kunnan valtionosuusrahoituksen yhteismäärän.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Valtionosuuslaskuri koostuu seuraavista taulukoista:</a:t>
          </a:r>
        </a:p>
        <a:p>
          <a:endParaRPr lang="fi-FI" sz="500" b="1" baseline="0">
            <a:solidFill>
              <a:sysClr val="windowText" lastClr="000000"/>
            </a:solidFill>
            <a:effectLst/>
          </a:endParaRPr>
        </a:p>
        <a:p>
          <a:pPr>
            <a:lnSpc>
              <a:spcPts val="1400"/>
            </a:lnSpc>
          </a:pPr>
          <a:r>
            <a:rPr lang="fi-FI" sz="1200" b="1" baseline="0">
              <a:solidFill>
                <a:sysClr val="windowText" lastClr="000000"/>
              </a:solidFill>
              <a:effectLst/>
            </a:rPr>
            <a:t>1. Täyttöohjeet</a:t>
          </a:r>
        </a:p>
        <a:p>
          <a:pPr>
            <a:lnSpc>
              <a:spcPts val="1400"/>
            </a:lnSpc>
          </a:pPr>
          <a:r>
            <a:rPr lang="fi-FI" sz="1200" b="1" baseline="0">
              <a:solidFill>
                <a:schemeClr val="accent2">
                  <a:lumMod val="75000"/>
                </a:schemeClr>
              </a:solidFill>
              <a:effectLst/>
            </a:rPr>
            <a:t>2. Yhteenveto</a:t>
          </a:r>
        </a:p>
        <a:p>
          <a:pPr>
            <a:lnSpc>
              <a:spcPts val="1400"/>
            </a:lnSpc>
          </a:pPr>
          <a:r>
            <a:rPr lang="fi-FI" sz="1200" b="1" baseline="0">
              <a:solidFill>
                <a:srgbClr val="00B050"/>
              </a:solidFill>
              <a:effectLst/>
            </a:rPr>
            <a:t>3. Ikärakenne</a:t>
          </a:r>
        </a:p>
        <a:p>
          <a:pPr>
            <a:lnSpc>
              <a:spcPts val="1400"/>
            </a:lnSpc>
          </a:pPr>
          <a:r>
            <a:rPr lang="fi-FI" sz="1200" b="1" baseline="0">
              <a:solidFill>
                <a:srgbClr val="00B050"/>
              </a:solidFill>
              <a:effectLst/>
            </a:rPr>
            <a:t>4. Muut laskennalliset korotukset</a:t>
          </a:r>
        </a:p>
        <a:p>
          <a:pPr>
            <a:lnSpc>
              <a:spcPts val="1400"/>
            </a:lnSpc>
          </a:pPr>
          <a:r>
            <a:rPr lang="fi-FI" sz="1200" b="1" baseline="0">
              <a:solidFill>
                <a:srgbClr val="00B050"/>
              </a:solidFill>
              <a:effectLst/>
            </a:rPr>
            <a:t>5. Lisäosat</a:t>
          </a:r>
        </a:p>
        <a:p>
          <a:pPr>
            <a:lnSpc>
              <a:spcPts val="1400"/>
            </a:lnSpc>
          </a:pPr>
          <a:r>
            <a:rPr lang="fi-FI" sz="1200" b="1" baseline="0">
              <a:solidFill>
                <a:srgbClr val="00B050"/>
              </a:solidFill>
              <a:effectLst/>
            </a:rPr>
            <a:t>6. Vähennykset ja lisäykset</a:t>
          </a:r>
        </a:p>
        <a:p>
          <a:pPr>
            <a:lnSpc>
              <a:spcPts val="1400"/>
            </a:lnSpc>
          </a:pPr>
          <a:r>
            <a:rPr lang="fi-FI" sz="1200" b="1" baseline="0">
              <a:solidFill>
                <a:srgbClr val="0070C0"/>
              </a:solidFill>
              <a:effectLst/>
            </a:rPr>
            <a:t>8. Opetus ja kulttuurin, muu vos </a:t>
          </a:r>
        </a:p>
        <a:p>
          <a:pPr>
            <a:lnSpc>
              <a:spcPts val="1400"/>
            </a:lnSpc>
          </a:pPr>
          <a:r>
            <a:rPr lang="fi-FI" sz="1200" b="1" i="0" baseline="0">
              <a:solidFill>
                <a:srgbClr val="0070C0"/>
              </a:solidFill>
              <a:effectLst/>
            </a:rPr>
            <a:t>9. Lukio</a:t>
          </a:r>
          <a:endParaRPr lang="fi-FI" sz="1200" b="1" i="1" baseline="0">
            <a:solidFill>
              <a:srgbClr val="0070C0"/>
            </a:solidFill>
            <a:effectLst/>
          </a:endParaRP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Syöttämällä ja/tai tarkistamalla kunkin taulukon värillisiin soluihin vaadittavat valtionosuuden perusteena olevat </a:t>
          </a:r>
          <a:r>
            <a:rPr lang="fi-FI" sz="1200" baseline="0">
              <a:solidFill>
                <a:sysClr val="windowText" lastClr="000000"/>
              </a:solidFill>
              <a:effectLst/>
              <a:latin typeface="+mn-lt"/>
              <a:ea typeface="+mn-ea"/>
              <a:cs typeface="+mn-cs"/>
            </a:rPr>
            <a:t>kunnan </a:t>
          </a:r>
          <a:r>
            <a:rPr lang="fi-FI" sz="1200" baseline="0">
              <a:solidFill>
                <a:sysClr val="windowText" lastClr="000000"/>
              </a:solidFill>
              <a:effectLst/>
            </a:rPr>
            <a:t>tiedot </a:t>
          </a:r>
          <a:r>
            <a:rPr lang="fi-FI" sz="1200" baseline="0">
              <a:solidFill>
                <a:sysClr val="windowText" lastClr="000000"/>
              </a:solidFill>
              <a:effectLst/>
              <a:latin typeface="+mn-lt"/>
              <a:ea typeface="+mn-ea"/>
              <a:cs typeface="+mn-cs"/>
            </a:rPr>
            <a:t>laskuri laskee kunnalle myönnettävän valtionosuuden määrän. Työkirjan taulukoita voidaan käyttää myös erillisinä esimerkiksi ikärakenteen tai sairastavuuden perusteella määräytyvien laskennallisten kustannusten tai lukion yksikköhinnan laskemiseen.</a:t>
          </a:r>
        </a:p>
        <a:p>
          <a:endParaRPr lang="fi-FI" sz="1200" b="1" baseline="0">
            <a:solidFill>
              <a:sysClr val="windowText" lastClr="000000"/>
            </a:solidFill>
            <a:effectLst/>
            <a:latin typeface="+mn-lt"/>
            <a:ea typeface="+mn-ea"/>
            <a:cs typeface="+mn-cs"/>
          </a:endParaRPr>
        </a:p>
        <a:p>
          <a:r>
            <a:rPr lang="fi-FI" sz="1200" b="0" baseline="0">
              <a:solidFill>
                <a:sysClr val="windowText" lastClr="000000"/>
              </a:solidFill>
              <a:effectLst/>
              <a:latin typeface="+mn-lt"/>
              <a:ea typeface="+mn-ea"/>
              <a:cs typeface="+mn-cs"/>
            </a:rPr>
            <a:t>Huomioithan, että taulukot sisältävät kommentti-työkalulla tehtyjä lisätietoja valtionosuuden määräytymisestä. Soluun sisältyvät kommentit erotat punaisesta kolmiosta solun yläkulmassa. Kommentit saa näkymään kuljettamalla hiiren ko. solun päälle.</a:t>
          </a:r>
          <a:r>
            <a:rPr lang="fi-FI" sz="1200" b="1" baseline="0">
              <a:solidFill>
                <a:sysClr val="windowText" lastClr="000000"/>
              </a:solidFill>
              <a:effectLst/>
              <a:latin typeface="+mn-lt"/>
              <a:ea typeface="+mn-ea"/>
              <a:cs typeface="+mn-cs"/>
            </a:rPr>
            <a:t> </a:t>
          </a:r>
        </a:p>
        <a:p>
          <a:endParaRPr lang="fi-FI" sz="1200" b="1" baseline="0">
            <a:solidFill>
              <a:sysClr val="windowText" lastClr="000000"/>
            </a:solidFill>
            <a:effectLst/>
            <a:latin typeface="+mn-lt"/>
            <a:ea typeface="+mn-ea"/>
            <a:cs typeface="+mn-cs"/>
          </a:endParaRPr>
        </a:p>
        <a:p>
          <a:pPr marL="0" indent="0"/>
          <a:r>
            <a:rPr lang="fi-FI" sz="1200" b="1" baseline="0">
              <a:solidFill>
                <a:sysClr val="windowText" lastClr="000000"/>
              </a:solidFill>
              <a:effectLst/>
              <a:latin typeface="+mn-lt"/>
              <a:ea typeface="+mn-ea"/>
              <a:cs typeface="+mn-cs"/>
            </a:rPr>
            <a:t>Yhteenveto</a:t>
          </a:r>
        </a:p>
        <a:p>
          <a:pPr marL="0" marR="0" indent="0" defTabSz="914400" eaLnBrk="1" fontAlgn="auto" latinLnBrk="0" hangingPunct="1">
            <a:lnSpc>
              <a:spcPct val="100000"/>
            </a:lnSpc>
            <a:spcBef>
              <a:spcPts val="0"/>
            </a:spcBef>
            <a:spcAft>
              <a:spcPts val="0"/>
            </a:spcAft>
            <a:buClrTx/>
            <a:buSzTx/>
            <a:buFontTx/>
            <a:buNone/>
            <a:tabLst/>
            <a:defRPr/>
          </a:pPr>
          <a:r>
            <a:rPr lang="fi-FI" sz="1200" baseline="0">
              <a:solidFill>
                <a:sysClr val="windowText" lastClr="000000"/>
              </a:solidFill>
              <a:effectLst/>
              <a:latin typeface="+mn-lt"/>
              <a:ea typeface="+mn-ea"/>
              <a:cs typeface="+mn-cs"/>
            </a:rPr>
            <a:t>Yhteenveto-taulukko on merkitty </a:t>
          </a:r>
          <a:r>
            <a:rPr lang="fi-FI" sz="1200" b="1" baseline="0">
              <a:solidFill>
                <a:schemeClr val="accent2">
                  <a:lumMod val="75000"/>
                </a:schemeClr>
              </a:solidFill>
              <a:effectLst/>
              <a:latin typeface="+mn-lt"/>
              <a:ea typeface="+mn-ea"/>
              <a:cs typeface="+mn-cs"/>
            </a:rPr>
            <a:t>punaisella </a:t>
          </a:r>
          <a:r>
            <a:rPr lang="fi-FI" sz="1200" baseline="0">
              <a:solidFill>
                <a:sysClr val="windowText" lastClr="000000"/>
              </a:solidFill>
              <a:effectLst/>
              <a:latin typeface="+mn-lt"/>
              <a:ea typeface="+mn-ea"/>
              <a:cs typeface="+mn-cs"/>
            </a:rPr>
            <a:t>taulukonvalitsimella. </a:t>
          </a:r>
          <a:r>
            <a:rPr lang="fi-FI" sz="1200" b="1" baseline="0">
              <a:solidFill>
                <a:srgbClr val="0070C0"/>
              </a:solidFill>
              <a:effectLst/>
              <a:latin typeface="+mn-lt"/>
              <a:ea typeface="+mn-ea"/>
              <a:cs typeface="+mn-cs"/>
            </a:rPr>
            <a:t>Sinisistä</a:t>
          </a:r>
          <a:r>
            <a:rPr lang="fi-FI" sz="1200" baseline="0">
              <a:solidFill>
                <a:srgbClr val="0070C0"/>
              </a:solidFill>
              <a:effectLst/>
              <a:latin typeface="+mn-lt"/>
              <a:ea typeface="+mn-ea"/>
              <a:cs typeface="+mn-cs"/>
            </a:rPr>
            <a:t> </a:t>
          </a:r>
          <a:r>
            <a:rPr lang="fi-FI" sz="1200" baseline="0">
              <a:solidFill>
                <a:sysClr val="windowText" lastClr="000000"/>
              </a:solidFill>
              <a:effectLst/>
              <a:latin typeface="+mn-lt"/>
              <a:ea typeface="+mn-ea"/>
              <a:cs typeface="+mn-cs"/>
            </a:rPr>
            <a:t>ja </a:t>
          </a:r>
          <a:r>
            <a:rPr lang="fi-FI" sz="1200" b="1" baseline="0">
              <a:solidFill>
                <a:srgbClr val="00B050"/>
              </a:solidFill>
              <a:effectLst/>
              <a:latin typeface="+mn-lt"/>
              <a:ea typeface="+mn-ea"/>
              <a:cs typeface="+mn-cs"/>
            </a:rPr>
            <a:t>vihreistä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taulukoista tiedot siirtyvät automaattisesti Yhteenveto-taulukon keltaisiin soluihin.</a:t>
          </a:r>
        </a:p>
        <a:p>
          <a:pPr>
            <a:lnSpc>
              <a:spcPts val="1400"/>
            </a:lnSpc>
          </a:pPr>
          <a:endParaRPr lang="fi-FI" sz="1200" baseline="0">
            <a:solidFill>
              <a:sysClr val="windowText" lastClr="000000"/>
            </a:solidFill>
            <a:effectLst/>
          </a:endParaRPr>
        </a:p>
        <a:p>
          <a:r>
            <a:rPr lang="fi-FI" sz="1200" b="1" baseline="0">
              <a:solidFill>
                <a:sysClr val="windowText" lastClr="000000"/>
              </a:solidFill>
              <a:effectLst/>
            </a:rPr>
            <a:t>Kunnan peruspalvelujen valtionosuus </a:t>
          </a:r>
        </a:p>
        <a:p>
          <a:r>
            <a:rPr lang="fi-FI" sz="1200" baseline="0">
              <a:solidFill>
                <a:sysClr val="windowText" lastClr="000000"/>
              </a:solidFill>
              <a:effectLst/>
              <a:latin typeface="+mn-lt"/>
              <a:ea typeface="+mn-ea"/>
              <a:cs typeface="+mn-cs"/>
            </a:rPr>
            <a:t>Kunnan peruspalvelujen valtionosuuteen sisältyvät taulukot on merkitty </a:t>
          </a:r>
          <a:r>
            <a:rPr lang="fi-FI" sz="1200" b="1" baseline="0">
              <a:solidFill>
                <a:srgbClr val="00B050"/>
              </a:solidFill>
              <a:effectLst/>
              <a:latin typeface="+mn-lt"/>
              <a:ea typeface="+mn-ea"/>
              <a:cs typeface="+mn-cs"/>
            </a:rPr>
            <a:t>vihreällä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taulukonvalitsimen pohjavärillä. Laskuri laskee ikärakenteen ja muiden tekijöiden perusteella määräytyvät</a:t>
          </a:r>
          <a:r>
            <a:rPr lang="fi-FI" sz="1200" baseline="0">
              <a:solidFill>
                <a:sysClr val="windowText" lastClr="000000"/>
              </a:solidFill>
              <a:effectLst/>
            </a:rPr>
            <a:t> laskennalliset kustannukset sekä lisäosat ja valtionosuuteen tehtävät vähennykset ja lisäykset, kun tarvittavat tiedot täytetään kunkin taulukon turkoosin värisiin soluihin.</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Kun laskuria käytetään tulevan varainhoitovuoden valtionosuusrahoituksen ennakointiin, on hyvä tarkistaa valtakunnallisten tietojen, esimerkiksi perushintojen oikeellisuus, sillä valtakunnalliset tiedot päivittyvät säännöllisesti laskennan edetessä ennen varainhoitovuoden alkua.</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Kotikuntakorvausten laskentaa varten ao. taulukkoon täytetään kotikuntakorvauskyselyssä 15.12. tilanteesta ilmoitetut tiedot muualla kuin omassa kotikunnassaan oppivelvollisuuttaan suorittavista 6-15-vuotiaista ikäryhmittäin. Vuoden 2015 alusta alkaen kotikuntakorvauksen perusosa on kaikille kunnille yhtä suuri. Kotikuntaa vailla olevien 6-15-vuotiaiden kotikuntakorvauksen maksaa valtio. </a:t>
          </a:r>
        </a:p>
        <a:p>
          <a:pPr>
            <a:lnSpc>
              <a:spcPts val="1400"/>
            </a:lnSpc>
          </a:pPr>
          <a:endParaRPr lang="fi-FI" sz="1200"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Opetus- ja kulttuuritoimen valtionosuus </a:t>
          </a:r>
        </a:p>
        <a:p>
          <a:pPr marL="0" marR="0" indent="0" defTabSz="914400" eaLnBrk="1" fontAlgn="auto" latinLnBrk="0" hangingPunct="1">
            <a:lnSpc>
              <a:spcPts val="14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Osa valtionosuusrahoituksesta myönnetään opetus- ja kulttuuritoimen rahoituksesta annettuun lakiin perustuen. Opetus- ja kulttuuritoimen valtionosuusrahoituksesta euromääräisesti suurin on toisen asteen koulutuksen ylläpitäjille maksettava yksikköhintarahoitus. Lukiokoulutuksessa ylläpitäjä on tyypillisesti kunta, kun taas valtaosa toisen asteen ammatillisen koulutuksen ylläpitäjistä on kuntayhtymiä tai yksityisiä opetuksen järjestäjiä. </a:t>
          </a:r>
        </a:p>
        <a:p>
          <a:pPr marL="0" marR="0" indent="0" defTabSz="914400" eaLnBrk="1" fontAlgn="auto" latinLnBrk="0" hangingPunct="1">
            <a:lnSpc>
              <a:spcPct val="100000"/>
            </a:lnSpc>
            <a:spcBef>
              <a:spcPts val="0"/>
            </a:spcBef>
            <a:spcAft>
              <a:spcPts val="0"/>
            </a:spcAft>
            <a:buClrTx/>
            <a:buSzTx/>
            <a:buFontTx/>
            <a:buNone/>
            <a:tabLst/>
            <a:defRPr/>
          </a:pPr>
          <a:endParaRPr lang="fi-FI" sz="1200" b="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Opetus- ja kulttuuritoimen valtionosuusrahoitukseen sisältyvät myös  esi- ja perusopetuksen oppilaskohtaisesti rahoitettavat lisät (mm.  vammais-, lisä- ja aineopetus) sekä muu opetus- ja kulttuuritoimen valtionosuusrahoitus, esimerkiksi valtionosuus aamu- ja iltapäivätoimintaan, liikuntaan, nuorisotyöhön,  museoille, teattereille ja orkestereille. Laskurin opetus- ja kulttuuritoimen valtionosuuteen liittyvät osat on merkitty </a:t>
          </a:r>
          <a:r>
            <a:rPr lang="fi-FI" sz="1200" b="1" baseline="0">
              <a:solidFill>
                <a:srgbClr val="0070C0"/>
              </a:solidFill>
              <a:effectLst/>
              <a:latin typeface="+mn-lt"/>
              <a:ea typeface="+mn-ea"/>
              <a:cs typeface="+mn-cs"/>
            </a:rPr>
            <a:t>sinisellä </a:t>
          </a:r>
          <a:r>
            <a:rPr lang="fi-FI" sz="1200" b="0" baseline="0">
              <a:solidFill>
                <a:sysClr val="windowText" lastClr="000000"/>
              </a:solidFill>
              <a:effectLst/>
              <a:latin typeface="+mn-lt"/>
              <a:ea typeface="+mn-ea"/>
              <a:cs typeface="+mn-cs"/>
            </a:rPr>
            <a:t>taulukonvalitsimella. Opetus- ja kulttuuriministeriön erikseen päättämät avustukset ja lisät eivät sisälly laskuriin. Näitä ovat esimerkiksi maakunta- ja keskuskirjastolisät ja erillisavustukset.</a:t>
          </a:r>
          <a:endParaRPr lang="fi-FI" sz="1200">
            <a:solidFill>
              <a:sysClr val="windowText" lastClr="000000"/>
            </a:solidFill>
            <a:effectLst/>
          </a:endParaRPr>
        </a:p>
        <a:p>
          <a:pPr marL="0" marR="0" indent="0" defTabSz="914400" eaLnBrk="1" fontAlgn="auto" latinLnBrk="0" hangingPunct="1">
            <a:lnSpc>
              <a:spcPts val="14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endParaRPr lang="fi-FI" b="0">
            <a:solidFill>
              <a:sysClr val="windowText" lastClr="000000"/>
            </a:solidFill>
            <a:effectLst/>
          </a:endParaRPr>
        </a:p>
        <a:p>
          <a:pPr>
            <a:lnSpc>
              <a:spcPts val="1000"/>
            </a:lnSpc>
          </a:pPr>
          <a:endParaRPr lang="fi-FI"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617394</xdr:colOff>
      <xdr:row>0</xdr:row>
      <xdr:rowOff>0</xdr:rowOff>
    </xdr:from>
    <xdr:to>
      <xdr:col>45</xdr:col>
      <xdr:colOff>379269</xdr:colOff>
      <xdr:row>35</xdr:row>
      <xdr:rowOff>151361</xdr:rowOff>
    </xdr:to>
    <xdr:graphicFrame macro="">
      <xdr:nvGraphicFramePr>
        <xdr:cNvPr id="2383" name="Kaavio 6">
          <a:extLst>
            <a:ext uri="{FF2B5EF4-FFF2-40B4-BE49-F238E27FC236}">
              <a16:creationId xmlns:a16="http://schemas.microsoft.com/office/drawing/2014/main" id="{37E72D28-3D3C-7677-60B5-EA98666FC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35</xdr:row>
      <xdr:rowOff>161059</xdr:rowOff>
    </xdr:from>
    <xdr:to>
      <xdr:col>45</xdr:col>
      <xdr:colOff>381000</xdr:colOff>
      <xdr:row>85</xdr:row>
      <xdr:rowOff>95077</xdr:rowOff>
    </xdr:to>
    <xdr:graphicFrame macro="">
      <xdr:nvGraphicFramePr>
        <xdr:cNvPr id="2384" name="Kaavio 6">
          <a:extLst>
            <a:ext uri="{FF2B5EF4-FFF2-40B4-BE49-F238E27FC236}">
              <a16:creationId xmlns:a16="http://schemas.microsoft.com/office/drawing/2014/main" id="{529F00A7-4CAD-356B-379E-C3D7205C9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7620</xdr:colOff>
      <xdr:row>7</xdr:row>
      <xdr:rowOff>133002</xdr:rowOff>
    </xdr:from>
    <xdr:to>
      <xdr:col>18</xdr:col>
      <xdr:colOff>614795</xdr:colOff>
      <xdr:row>17</xdr:row>
      <xdr:rowOff>30480</xdr:rowOff>
    </xdr:to>
    <xdr:sp macro="" textlink="">
      <xdr:nvSpPr>
        <xdr:cNvPr id="3" name="Kuvaselite: Nuoli oikealle 2">
          <a:extLst>
            <a:ext uri="{FF2B5EF4-FFF2-40B4-BE49-F238E27FC236}">
              <a16:creationId xmlns:a16="http://schemas.microsoft.com/office/drawing/2014/main" id="{566FDB29-7CBD-1EFD-7797-D11A20DFE893}"/>
            </a:ext>
          </a:extLst>
        </xdr:cNvPr>
        <xdr:cNvSpPr/>
      </xdr:nvSpPr>
      <xdr:spPr>
        <a:xfrm>
          <a:off x="7160029" y="1345275"/>
          <a:ext cx="2875857" cy="1655273"/>
        </a:xfrm>
        <a:prstGeom prst="rightArrowCallout">
          <a:avLst>
            <a:gd name="adj1" fmla="val 34100"/>
            <a:gd name="adj2" fmla="val 25626"/>
            <a:gd name="adj3" fmla="val 20035"/>
            <a:gd name="adj4" fmla="val 78258"/>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400" b="0">
              <a:solidFill>
                <a:schemeClr val="bg1"/>
              </a:solidFill>
            </a:rPr>
            <a:t>Huomaa kaaviot</a:t>
          </a:r>
          <a:r>
            <a:rPr lang="fi-FI" sz="1400" b="0" baseline="0">
              <a:solidFill>
                <a:schemeClr val="bg1"/>
              </a:solidFill>
            </a:rPr>
            <a:t> valtionosuuden muodostumisesta!</a:t>
          </a:r>
        </a:p>
        <a:p>
          <a:pPr algn="l"/>
          <a:endParaRPr lang="fi-FI" sz="1400" b="0" baseline="0">
            <a:solidFill>
              <a:schemeClr val="bg1"/>
            </a:solidFill>
          </a:endParaRPr>
        </a:p>
        <a:p>
          <a:pPr algn="l"/>
          <a:r>
            <a:rPr lang="fi-FI" sz="1400" b="0" baseline="0">
              <a:solidFill>
                <a:schemeClr val="bg1"/>
              </a:solidFill>
            </a:rPr>
            <a:t>Luvut sekä absoluuttisin euroin että alapuolella €/asukas!</a:t>
          </a:r>
          <a:endParaRPr lang="fi-FI" sz="14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4330</xdr:colOff>
      <xdr:row>4</xdr:row>
      <xdr:rowOff>14721</xdr:rowOff>
    </xdr:from>
    <xdr:to>
      <xdr:col>13</xdr:col>
      <xdr:colOff>3050560</xdr:colOff>
      <xdr:row>13</xdr:row>
      <xdr:rowOff>142875</xdr:rowOff>
    </xdr:to>
    <xdr:sp macro="" textlink="">
      <xdr:nvSpPr>
        <xdr:cNvPr id="4" name="Tekstiruutu 3">
          <a:extLst>
            <a:ext uri="{FF2B5EF4-FFF2-40B4-BE49-F238E27FC236}">
              <a16:creationId xmlns:a16="http://schemas.microsoft.com/office/drawing/2014/main" id="{25E154F0-880E-46FD-8742-F913C6AFCE25}"/>
            </a:ext>
          </a:extLst>
        </xdr:cNvPr>
        <xdr:cNvSpPr txBox="1"/>
      </xdr:nvSpPr>
      <xdr:spPr>
        <a:xfrm>
          <a:off x="5271655" y="929121"/>
          <a:ext cx="6456180" cy="1585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a:solidFill>
                <a:srgbClr val="FF0000"/>
              </a:solidFill>
              <a:effectLst/>
              <a:latin typeface="+mn-lt"/>
              <a:ea typeface="+mn-ea"/>
              <a:cs typeface="+mn-cs"/>
            </a:rPr>
            <a:t>Huomautus! </a:t>
          </a:r>
          <a:r>
            <a:rPr lang="fi-FI" sz="1100">
              <a:solidFill>
                <a:srgbClr val="FF0000"/>
              </a:solidFill>
              <a:effectLst/>
              <a:latin typeface="+mn-lt"/>
              <a:ea typeface="+mn-ea"/>
              <a:cs typeface="+mn-cs"/>
            </a:rPr>
            <a:t>Valtionosuusrahoituksen kokonaistason selvittämiseksi lukuihin pitää lisätä museoiden alueellisen vastuutehtävän ja valtakunnallisen kehittämistehtävän sekä esittävän taiteen korotettu rahoitus.  </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baseline="0">
              <a:solidFill>
                <a:srgbClr val="FF0000"/>
              </a:solidFill>
              <a:effectLst/>
              <a:latin typeface="+mn-lt"/>
              <a:ea typeface="+mn-ea"/>
              <a:cs typeface="+mn-cs"/>
            </a:rPr>
            <a:t>Perusopetuksen tutkintokoulutukseen valmentavan koulutuksen (TUVA) valtionosuus puuttuu laskurista. Valtionosuuden voi laskea 20.9.2023 oppilasmäärän ja yksikköhinnan perusteella kertoimella 1,22. </a:t>
          </a:r>
        </a:p>
        <a:p>
          <a:endParaRPr lang="fi-FI" sz="1100" b="0" i="0" u="none" strike="noStrike" baseline="0">
            <a:solidFill>
              <a:srgbClr val="FF0000"/>
            </a:solidFill>
            <a:effectLst/>
            <a:latin typeface="+mn-lt"/>
            <a:ea typeface="+mn-ea"/>
            <a:cs typeface="+mn-cs"/>
          </a:endParaRPr>
        </a:p>
        <a:p>
          <a:r>
            <a:rPr lang="fi-FI" sz="1100" b="0" i="0" u="none" strike="noStrike" baseline="0">
              <a:solidFill>
                <a:srgbClr val="FF0000"/>
              </a:solidFill>
              <a:effectLst/>
              <a:latin typeface="+mn-lt"/>
              <a:ea typeface="+mn-ea"/>
              <a:cs typeface="+mn-cs"/>
            </a:rPr>
            <a:t>Laskuri ei myöskään huomioi ammatillisen koulutuksen ml. ammatillisen koulutuksen tutkintokoulutukseen valmentavan koulutuksen valtionosuutta. Ammatillisen koulutuksen valtionosuutta ei lasketa yksikköhintaan perustuen.</a:t>
          </a:r>
          <a:endParaRPr lang="fi-FI" sz="1100" b="0" i="0" u="none" strike="noStrike">
            <a:solidFill>
              <a:srgbClr val="FF0000"/>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0</xdr:colOff>
      <xdr:row>4</xdr:row>
      <xdr:rowOff>139147</xdr:rowOff>
    </xdr:from>
    <xdr:ext cx="4326835" cy="1172817"/>
    <xdr:sp macro="" textlink="">
      <xdr:nvSpPr>
        <xdr:cNvPr id="2" name="Tekstiruutu 1">
          <a:extLst>
            <a:ext uri="{FF2B5EF4-FFF2-40B4-BE49-F238E27FC236}">
              <a16:creationId xmlns:a16="http://schemas.microsoft.com/office/drawing/2014/main" id="{3C306448-198F-1EF5-B3D4-CD8BAB272ECC}"/>
            </a:ext>
          </a:extLst>
        </xdr:cNvPr>
        <xdr:cNvSpPr txBox="1"/>
      </xdr:nvSpPr>
      <xdr:spPr>
        <a:xfrm>
          <a:off x="4651513" y="914399"/>
          <a:ext cx="4326835" cy="1172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0" i="0" u="none" strike="noStrike">
              <a:solidFill>
                <a:srgbClr val="FF0000"/>
              </a:solidFill>
              <a:effectLst/>
              <a:latin typeface="+mn-lt"/>
              <a:ea typeface="+mn-ea"/>
              <a:cs typeface="+mn-cs"/>
            </a:rPr>
            <a:t>Huom!</a:t>
          </a:r>
          <a:r>
            <a:rPr lang="fi-FI">
              <a:solidFill>
                <a:srgbClr val="FF0000"/>
              </a:solidFill>
            </a:rPr>
            <a:t> </a:t>
          </a:r>
        </a:p>
        <a:p>
          <a:r>
            <a:rPr lang="fi-FI" sz="1100" b="0" i="0" u="none" strike="noStrike">
              <a:solidFill>
                <a:srgbClr val="FF0000"/>
              </a:solidFill>
              <a:effectLst/>
              <a:latin typeface="+mn-lt"/>
              <a:ea typeface="+mn-ea"/>
              <a:cs typeface="+mn-cs"/>
            </a:rPr>
            <a:t>Laskuri ei sisällä lukiokoulutukseen valmistavaa koulutusta sekä 1.8.2022 lukien alkanutta lukiokoulutuksen järjestäjän </a:t>
          </a:r>
          <a:r>
            <a:rPr lang="fi-FI">
              <a:solidFill>
                <a:srgbClr val="FF0000"/>
              </a:solidFill>
            </a:rPr>
            <a:t> </a:t>
          </a:r>
          <a:r>
            <a:rPr lang="fi-FI" sz="1100" b="0" i="0" u="none" strike="noStrike">
              <a:solidFill>
                <a:srgbClr val="FF0000"/>
              </a:solidFill>
              <a:effectLst/>
              <a:latin typeface="+mn-lt"/>
              <a:ea typeface="+mn-ea"/>
              <a:cs typeface="+mn-cs"/>
            </a:rPr>
            <a:t>tutkintokoulutukseen valmentavaa koulutusta (TUVA), jonka opiskelijakohtaisen valtionosuuden voi laskea kertomalla </a:t>
          </a:r>
          <a:r>
            <a:rPr lang="fi-FI">
              <a:solidFill>
                <a:srgbClr val="FF0000"/>
              </a:solidFill>
            </a:rPr>
            <a:t> </a:t>
          </a:r>
          <a:r>
            <a:rPr lang="fi-FI" sz="1100" b="0" i="0" u="none" strike="noStrike">
              <a:solidFill>
                <a:srgbClr val="FF0000"/>
              </a:solidFill>
              <a:effectLst/>
              <a:latin typeface="+mn-lt"/>
              <a:ea typeface="+mn-ea"/>
              <a:cs typeface="+mn-cs"/>
            </a:rPr>
            <a:t>lukiokoulutuksen keskimääräisen yksikköhinnan kertoimella 1,22.</a:t>
          </a:r>
          <a:r>
            <a:rPr lang="fi-FI">
              <a:solidFill>
                <a:srgbClr val="FF0000"/>
              </a:solidFill>
            </a:rPr>
            <a:t> </a:t>
          </a:r>
          <a:endParaRPr lang="fi-FI" sz="1100">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kuntaliittofi-my.sharepoint.com/personal/olli_riikonen_kuntaliitto_fi/Documents/VOS-laskelmat%202024/Valtionosuuslaskuri2024_MANNER-SUOMI_26-09-2023.xlsx" TargetMode="External"/><Relationship Id="rId1" Type="http://schemas.openxmlformats.org/officeDocument/2006/relationships/externalLinkPath" Target="Valtionosuuslaskuri2024_MANNER-SUOMI_26-09-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etoa aineistosta"/>
      <sheetName val="1.Käyttöohjeet"/>
      <sheetName val="2.Yhteenveto"/>
      <sheetName val="3.Ikärakenne"/>
      <sheetName val="4.Muut lask. kustannukset"/>
      <sheetName val="5.Lisäosat"/>
      <sheetName val="6.Vähennykset ja lisäykset"/>
      <sheetName val="7.Tulopohjan tasaus"/>
      <sheetName val="7.Kotikuntakorvaukset"/>
      <sheetName val="tiedot"/>
      <sheetName val="8.Opetus ja kulttuuri, muu vos"/>
      <sheetName val="9.Lukio"/>
    </sheetNames>
    <sheetDataSet>
      <sheetData sheetId="0" refreshError="1"/>
      <sheetData sheetId="1" refreshError="1"/>
      <sheetData sheetId="2" refreshError="1"/>
      <sheetData sheetId="3"/>
      <sheetData sheetId="4" refreshError="1"/>
      <sheetData sheetId="5"/>
      <sheetData sheetId="6"/>
      <sheetData sheetId="7" refreshError="1"/>
      <sheetData sheetId="8"/>
      <sheetData sheetId="9">
        <row r="2">
          <cell r="C2">
            <v>5533611</v>
          </cell>
        </row>
      </sheetData>
      <sheetData sheetId="10"/>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Riikonen Olli" id="{3D2B84C5-322E-4DDB-9C55-F410F120C279}" userId="S::Olli.Riikonen@kuntaliitto.fi::cdc422a3-70a4-48f5-9102-df52d22bc0a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44" dT="2022-10-04T12:26:01.95" personId="{3D2B84C5-322E-4DDB-9C55-F410F120C279}" id="{634E958E-9C9E-4BD5-9441-BCE2D9C45837}">
    <text>Jos et täytä tietoja välilehdille 8 ja 9, laskuri näyttää vain kunnan omarahoitusosuuden ammatilliseen ja lukiokoulutukseen (miinusta) ja suoraan asukaslukuun perustuvan liikuntatoimen rahoituksen (plussaa).</text>
  </threadedComment>
  <threadedComment ref="L50" dT="2024-03-22T12:33:31.66" personId="{3D2B84C5-322E-4DDB-9C55-F410F120C279}" id="{BC7F5ED7-9B21-4EAC-B4EE-EC9D99F25C7D}">
    <text>VM:n kunnan peruspalvelujen valtionosuus 2024 + OKM:n opetus- ja kulttuuritoimen valtionosuus 2024</text>
  </threadedComment>
  <threadedComment ref="L51" dT="2022-10-04T12:35:45.41" personId="{3D2B84C5-322E-4DDB-9C55-F410F120C279}" id="{B82792A9-CC22-43C4-8017-1BD583FCCC58}">
    <text>Kunnan peruspalvelujen valtionosuus 2024 + opetus- ja kulttuuritoimen valtionosuus 2024 laskurilla lasketun kunnan oman arvion mukaan.</text>
  </threadedComment>
</ThreadedComments>
</file>

<file path=xl/threadedComments/threadedComment2.xml><?xml version="1.0" encoding="utf-8"?>
<ThreadedComments xmlns="http://schemas.microsoft.com/office/spreadsheetml/2018/threadedcomments" xmlns:x="http://schemas.openxmlformats.org/spreadsheetml/2006/main">
  <threadedComment ref="AG1" dT="2023-04-19T07:49:20.37" personId="{3D2B84C5-322E-4DDB-9C55-F410F120C279}" id="{6C62A457-A048-406C-85B2-247B3836C0F3}">
    <text>Työttömät</text>
  </threadedComment>
  <threadedComment ref="AH1" dT="2023-04-19T07:49:34.17" personId="{3D2B84C5-322E-4DDB-9C55-F410F120C279}" id="{E66EA1A3-73C0-4C40-A09C-391D74965D13}">
    <text xml:space="preserve">Työvoima
</text>
  </threadedComment>
  <threadedComment ref="AJ1" dT="2023-04-19T07:49:49.03" personId="{3D2B84C5-322E-4DDB-9C55-F410F120C279}" id="{F407CC6C-019C-4F68-B785-7D8B6E4B526B}">
    <text>Vieraskieliset</text>
  </threadedComment>
  <threadedComment ref="AM1" dT="2023-04-19T07:50:25.65" personId="{3D2B84C5-322E-4DDB-9C55-F410F120C279}" id="{F45F152C-6F24-4658-8880-379A2F74AF13}">
    <text>Onko kunta kaksikielinen? (0, 1, 2, 3)</text>
  </threadedComment>
  <threadedComment ref="AN1" dT="2023-04-19T07:51:29.25" personId="{3D2B84C5-322E-4DDB-9C55-F410F120C279}" id="{A5C05178-D7A5-4221-AE59-C5064ECFAE70}">
    <text>Ruotsinkielisten määrä</text>
  </threadedComment>
  <threadedComment ref="AP1" dT="2023-04-19T07:51:52.00" personId="{3D2B84C5-322E-4DDB-9C55-F410F120C279}" id="{3E4305A0-6529-4CC0-BCA3-A2C84F851FF6}">
    <text>Onko kunta saaristokunta? (0, 1, 2, 3)</text>
  </threadedComment>
  <threadedComment ref="AQ1" dT="2023-04-19T07:52:22.98" personId="{3D2B84C5-322E-4DDB-9C55-F410F120C279}" id="{87BD8024-6CD3-4D62-BD7F-D538274A99E9}">
    <text>Väestö kunnan saaristo-osissa</text>
  </threadedComment>
  <threadedComment ref="AR1" dT="2023-04-19T07:52:55.40" personId="{3D2B84C5-322E-4DDB-9C55-F410F120C279}" id="{2F579C02-07ED-4B9B-803A-CE3C1C26ADE9}">
    <text>Maapinta-ala</text>
  </threadedComment>
  <threadedComment ref="AU1" dT="2023-04-19T07:53:27.47" personId="{3D2B84C5-322E-4DDB-9C55-F410F120C279}" id="{B621CC9B-A3F0-4BF1-9C8F-797545BCC877}">
    <text>Ilman perusasteen jälkeistä tutkintoa olevat 30–54-vuotiaat</text>
  </threadedComment>
  <threadedComment ref="AV1" dT="2023-04-19T07:54:15.81" personId="{3D2B84C5-322E-4DDB-9C55-F410F120C279}" id="{2E416031-FD43-4B9F-B1C7-82AE6C7A366E}">
    <text>30-54-vuotiaat</text>
  </threadedComment>
  <threadedComment ref="AY1" dT="2023-04-19T07:26:09.19" personId="{3D2B84C5-322E-4DDB-9C55-F410F120C279}" id="{D7E0439B-EC31-477F-8070-55D740680FDE}">
    <text xml:space="preserve">Syrjäisyysluku
</text>
  </threadedComment>
  <threadedComment ref="AZ1" dT="2023-04-19T07:26:45.46" personId="{3D2B84C5-322E-4DDB-9C55-F410F120C279}" id="{D6B9A141-B885-45E9-BE2E-92A20BEB06A6}">
    <text>Alueella työssäkäyvät (työpaikat)</text>
  </threadedComment>
  <threadedComment ref="BA1" dT="2023-04-19T07:27:11.96" personId="{3D2B84C5-322E-4DDB-9C55-F410F120C279}" id="{23A14694-6394-4584-881D-950EA4795EA0}">
    <text>Työlliset</text>
  </threadedComment>
  <threadedComment ref="BC1" dT="2023-04-19T07:29:15.20" personId="{3D2B84C5-322E-4DDB-9C55-F410F120C279}" id="{3654172A-A3C8-45D8-9612-CF09A5239F02}">
    <text>Asukasmäärän kasvu, kerroin</text>
  </threadedComment>
  <threadedComment ref="BD1" dT="2023-04-19T07:27:51.08" personId="{3D2B84C5-322E-4DDB-9C55-F410F120C279}" id="{30859F37-4E52-4090-A7B9-F9455B6971D6}">
    <text>Onko kunta saamelaisten kotiseutualueen kunta?</text>
  </threadedComment>
  <threadedComment ref="BE1" dT="2023-04-19T07:30:49.51" personId="{3D2B84C5-322E-4DDB-9C55-F410F120C279}" id="{90898923-5FC4-494C-B610-7165B32003F1}">
    <text>Saamenkieliset</text>
  </threadedComment>
  <threadedComment ref="BF1" dT="2023-04-19T07:34:30.33" personId="{3D2B84C5-322E-4DDB-9C55-F410F120C279}" id="{906D6F86-9519-41E4-B7B7-1B95FDEF7F94}">
    <text>Perustoimeentulotuen vähennys</text>
  </threadedComment>
  <threadedComment ref="CH1" dT="2023-04-19T07:45:36.29" personId="{3D2B84C5-322E-4DDB-9C55-F410F120C279}" id="{E59E5334-F82F-4D25-8DAC-F90FC4728571}">
    <text>Veroperustemuutoksista johtuvien veromenetysten korvaus</text>
  </threadedComment>
  <threadedComment ref="CJ1" dT="2023-04-19T07:45:10.72" personId="{3D2B84C5-322E-4DDB-9C55-F410F120C279}" id="{2166ED3B-5EC7-454E-B3FD-174CB0517582}">
    <text>Verotuloihin perustuva valtionosuuden tasaus</text>
  </threadedComment>
  <threadedComment ref="CO1" dT="2023-04-19T07:40:51.46" personId="{3D2B84C5-322E-4DDB-9C55-F410F120C279}" id="{C3D1696C-F941-4AFC-B203-B3F191388207}">
    <text>Muutosrajoitin</text>
  </threadedComment>
  <threadedComment ref="CP1" dT="2023-04-19T07:41:03.70" personId="{3D2B84C5-322E-4DDB-9C55-F410F120C279}" id="{1AA21601-6CE0-4E80-858D-1E613A023510}">
    <text xml:space="preserve">Järjestelmämuutoksen tasaus
</text>
  </threadedComment>
  <threadedComment ref="CQ1" dT="2023-10-11T13:31:04.24" personId="{3D2B84C5-322E-4DDB-9C55-F410F120C279}" id="{FB346A8B-71C4-4027-91F5-5BF75B00ED1A}">
    <text>Jälkikäteistarkistuksesta johtuva valtionosuuden lisäsiirtotarve</text>
  </threadedComment>
  <threadedComment ref="CR1" dT="2023-10-11T13:31:49.45" personId="{3D2B84C5-322E-4DDB-9C55-F410F120C279}" id="{7675B1FD-A00A-4215-AB90-A3A96559185C}">
    <text>Määräaikainen 192 miljoonan euron lisäys</text>
  </threadedComment>
</ThreadedComments>
</file>

<file path=xl/threadedComments/threadedComment3.xml><?xml version="1.0" encoding="utf-8"?>
<ThreadedComments xmlns="http://schemas.microsoft.com/office/spreadsheetml/2018/threadedcomments" xmlns:x="http://schemas.openxmlformats.org/spreadsheetml/2006/main">
  <threadedComment ref="I49" dT="2022-10-04T11:18:07.05" personId="{3D2B84C5-322E-4DDB-9C55-F410F120C279}" id="{F4C4686C-54C9-4C7B-B894-F5CD0B695150}">
    <text>Tässä tarkoitetaan pidennetyn oppivelvollisuuden piirissä olevien esiopetuksen oppilaita, jotka täyttävät viisi vuotta esiopetuksen alkamisvuonna.</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udjetti.vm.fi/indox/sisalto.jsp?year=2024&amp;lang=fi&amp;maindoc=/2024/tae/valtiovarainministerionKanta/valtiovarainministerionKanta.xml&amp;opennode=0:1:251:541:657:659:"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FD2B-07CA-4810-AD7E-37DC858B668F}">
  <dimension ref="A1:M19"/>
  <sheetViews>
    <sheetView workbookViewId="0">
      <selection activeCell="B7" sqref="B7"/>
    </sheetView>
  </sheetViews>
  <sheetFormatPr defaultRowHeight="12.75" x14ac:dyDescent="0.2"/>
  <sheetData>
    <row r="1" spans="1:13" x14ac:dyDescent="0.2">
      <c r="A1" s="364"/>
      <c r="B1" s="364"/>
      <c r="C1" s="364"/>
      <c r="D1" s="364"/>
      <c r="E1" s="364"/>
      <c r="F1" s="364"/>
      <c r="G1" s="364"/>
      <c r="H1" s="364"/>
      <c r="I1" s="364"/>
      <c r="J1" s="364"/>
      <c r="K1" s="364"/>
      <c r="L1" s="364"/>
      <c r="M1" s="364"/>
    </row>
    <row r="2" spans="1:13" x14ac:dyDescent="0.2">
      <c r="A2" s="364"/>
      <c r="B2" s="364"/>
      <c r="C2" s="364"/>
      <c r="D2" s="364"/>
      <c r="E2" s="364"/>
      <c r="F2" s="364"/>
      <c r="G2" s="364"/>
      <c r="H2" s="364"/>
      <c r="I2" s="364"/>
      <c r="J2" s="364"/>
      <c r="K2" s="364"/>
      <c r="L2" s="364"/>
      <c r="M2" s="364"/>
    </row>
    <row r="3" spans="1:13" x14ac:dyDescent="0.2">
      <c r="A3" s="364"/>
      <c r="B3" s="364"/>
      <c r="C3" s="364"/>
      <c r="D3" s="364"/>
      <c r="E3" s="364"/>
      <c r="F3" s="364"/>
      <c r="G3" s="364"/>
      <c r="H3" s="364"/>
      <c r="I3" s="364"/>
      <c r="J3" s="364"/>
      <c r="K3" s="364"/>
      <c r="L3" s="364"/>
      <c r="M3" s="364"/>
    </row>
    <row r="4" spans="1:13" ht="15" x14ac:dyDescent="0.2">
      <c r="A4" s="364"/>
      <c r="B4" s="365" t="s">
        <v>705</v>
      </c>
      <c r="C4" s="364"/>
      <c r="D4" s="364"/>
      <c r="E4" s="364"/>
      <c r="F4" s="364"/>
      <c r="G4" s="364"/>
      <c r="H4" s="364"/>
      <c r="I4" s="364"/>
      <c r="J4" s="364"/>
      <c r="K4" s="364"/>
      <c r="L4" s="364"/>
      <c r="M4" s="364"/>
    </row>
    <row r="5" spans="1:13" ht="15" x14ac:dyDescent="0.2">
      <c r="A5" s="364"/>
      <c r="B5" s="365" t="s">
        <v>0</v>
      </c>
      <c r="C5" s="364"/>
      <c r="D5" s="364"/>
      <c r="E5" s="364"/>
      <c r="F5" s="364"/>
      <c r="G5" s="364"/>
      <c r="H5" s="364"/>
      <c r="I5" s="364"/>
      <c r="J5" s="364"/>
      <c r="K5" s="364"/>
      <c r="L5" s="364"/>
      <c r="M5" s="364"/>
    </row>
    <row r="6" spans="1:13" ht="15" x14ac:dyDescent="0.2">
      <c r="A6" s="364"/>
      <c r="B6" s="365" t="s">
        <v>735</v>
      </c>
      <c r="C6" s="364"/>
      <c r="D6" s="364"/>
      <c r="E6" s="364"/>
      <c r="F6" s="364"/>
      <c r="G6" s="364"/>
      <c r="H6" s="364"/>
      <c r="I6" s="364"/>
      <c r="J6" s="364"/>
      <c r="K6" s="364"/>
      <c r="L6" s="364"/>
      <c r="M6" s="364"/>
    </row>
    <row r="7" spans="1:13" ht="15" x14ac:dyDescent="0.2">
      <c r="A7" s="364"/>
      <c r="B7" s="365" t="s">
        <v>1</v>
      </c>
      <c r="C7" s="364"/>
      <c r="D7" s="364"/>
      <c r="E7" s="364"/>
      <c r="F7" s="364"/>
      <c r="G7" s="364"/>
      <c r="H7" s="364"/>
      <c r="I7" s="364"/>
      <c r="J7" s="364"/>
      <c r="K7" s="364"/>
      <c r="L7" s="364"/>
      <c r="M7" s="364"/>
    </row>
    <row r="8" spans="1:13" ht="15" x14ac:dyDescent="0.2">
      <c r="A8" s="364"/>
      <c r="B8" s="365" t="s">
        <v>734</v>
      </c>
      <c r="C8" s="364"/>
      <c r="D8" s="364"/>
      <c r="E8" s="364"/>
      <c r="F8" s="364"/>
      <c r="G8" s="364"/>
      <c r="H8" s="364"/>
      <c r="I8" s="364"/>
      <c r="J8" s="364"/>
      <c r="K8" s="364"/>
      <c r="L8" s="364"/>
      <c r="M8" s="364"/>
    </row>
    <row r="9" spans="1:13" ht="15" x14ac:dyDescent="0.2">
      <c r="A9" s="364"/>
      <c r="B9" s="365" t="s">
        <v>2</v>
      </c>
      <c r="C9" s="364"/>
      <c r="D9" s="364"/>
      <c r="E9" s="364"/>
      <c r="F9" s="364"/>
      <c r="G9" s="364"/>
      <c r="H9" s="364"/>
      <c r="I9" s="364"/>
      <c r="J9" s="364"/>
      <c r="K9" s="364"/>
      <c r="L9" s="364"/>
      <c r="M9" s="364"/>
    </row>
    <row r="10" spans="1:13" ht="21" thickBot="1" x14ac:dyDescent="0.35">
      <c r="A10" s="364"/>
      <c r="B10" s="366" t="s">
        <v>3</v>
      </c>
      <c r="C10" s="367"/>
      <c r="D10" s="367"/>
      <c r="E10" s="367"/>
      <c r="F10" s="367"/>
      <c r="G10" s="367"/>
      <c r="H10" s="367"/>
      <c r="I10" s="367"/>
      <c r="J10" s="367"/>
      <c r="K10" s="364"/>
      <c r="L10" s="364"/>
      <c r="M10" s="364"/>
    </row>
    <row r="11" spans="1:13" ht="15" x14ac:dyDescent="0.25">
      <c r="A11" s="364"/>
      <c r="B11" s="364"/>
      <c r="C11" s="364"/>
      <c r="D11" s="368" t="s">
        <v>4</v>
      </c>
      <c r="E11" s="364"/>
      <c r="F11" s="364"/>
      <c r="G11" s="364"/>
      <c r="H11" s="364"/>
      <c r="I11" s="364"/>
      <c r="J11" s="364"/>
      <c r="K11" s="364"/>
      <c r="L11" s="364"/>
      <c r="M11" s="364"/>
    </row>
    <row r="12" spans="1:13" x14ac:dyDescent="0.2">
      <c r="A12" s="364"/>
      <c r="B12" s="364"/>
      <c r="C12" s="364"/>
      <c r="D12" s="364" t="s">
        <v>5</v>
      </c>
      <c r="E12" s="364"/>
      <c r="F12" s="364"/>
      <c r="G12" s="364"/>
      <c r="H12" s="364"/>
      <c r="I12" s="364"/>
      <c r="J12" s="364"/>
      <c r="K12" s="364"/>
      <c r="L12" s="364"/>
      <c r="M12" s="364"/>
    </row>
    <row r="13" spans="1:13" ht="21" thickBot="1" x14ac:dyDescent="0.35">
      <c r="A13" s="364"/>
      <c r="B13" s="369" t="s">
        <v>6</v>
      </c>
      <c r="C13" s="370"/>
      <c r="D13" s="370"/>
      <c r="E13" s="370"/>
      <c r="F13" s="370"/>
      <c r="G13" s="370"/>
      <c r="H13" s="370"/>
      <c r="I13" s="370"/>
      <c r="J13" s="370"/>
      <c r="K13" s="364"/>
      <c r="L13" s="364"/>
      <c r="M13" s="364"/>
    </row>
    <row r="14" spans="1:13" ht="15" x14ac:dyDescent="0.25">
      <c r="A14" s="364"/>
      <c r="B14" s="364"/>
      <c r="C14" s="364"/>
      <c r="D14" s="368" t="s">
        <v>7</v>
      </c>
      <c r="E14" s="364"/>
      <c r="F14" s="364"/>
      <c r="G14" s="364"/>
      <c r="H14" s="364"/>
      <c r="I14" s="364"/>
      <c r="J14" s="364"/>
      <c r="K14" s="364"/>
      <c r="L14" s="364"/>
      <c r="M14" s="364"/>
    </row>
    <row r="15" spans="1:13" x14ac:dyDescent="0.2">
      <c r="A15" s="364"/>
      <c r="B15" s="364"/>
      <c r="C15" s="364"/>
      <c r="D15" s="364" t="s">
        <v>8</v>
      </c>
      <c r="E15" s="364"/>
      <c r="F15" s="364"/>
      <c r="G15" s="364"/>
      <c r="H15" s="364"/>
      <c r="I15" s="364"/>
      <c r="J15" s="364"/>
      <c r="K15" s="364"/>
      <c r="L15" s="364"/>
      <c r="M15" s="364"/>
    </row>
    <row r="16" spans="1:13" x14ac:dyDescent="0.2">
      <c r="A16" s="364"/>
      <c r="B16" s="364"/>
      <c r="C16" s="364"/>
      <c r="D16" s="364"/>
      <c r="E16" s="364"/>
      <c r="F16" s="364"/>
      <c r="G16" s="364"/>
      <c r="H16" s="364"/>
      <c r="I16" s="364"/>
      <c r="J16" s="364"/>
      <c r="K16" s="364"/>
      <c r="L16" s="364"/>
      <c r="M16" s="364"/>
    </row>
    <row r="17" spans="1:13" x14ac:dyDescent="0.2">
      <c r="A17" s="364"/>
      <c r="B17" s="364"/>
      <c r="C17" s="364"/>
      <c r="D17" s="364"/>
      <c r="E17" s="364"/>
      <c r="F17" s="364"/>
      <c r="G17" s="364"/>
      <c r="H17" s="364"/>
      <c r="I17" s="364"/>
      <c r="J17" s="364"/>
      <c r="K17" s="364"/>
      <c r="L17" s="364"/>
      <c r="M17" s="364"/>
    </row>
    <row r="18" spans="1:13" x14ac:dyDescent="0.2">
      <c r="A18" s="364"/>
      <c r="B18" s="364"/>
      <c r="C18" s="364"/>
      <c r="D18" s="364"/>
      <c r="E18" s="364"/>
      <c r="F18" s="364"/>
      <c r="G18" s="364"/>
      <c r="H18" s="364"/>
      <c r="I18" s="364"/>
      <c r="J18" s="364"/>
      <c r="K18" s="364"/>
      <c r="L18" s="364"/>
      <c r="M18" s="364"/>
    </row>
    <row r="19" spans="1:13" x14ac:dyDescent="0.2">
      <c r="A19" s="364"/>
      <c r="B19" s="364"/>
      <c r="C19" s="364"/>
      <c r="D19" s="364"/>
      <c r="E19" s="364"/>
      <c r="F19" s="364"/>
      <c r="G19" s="364"/>
      <c r="H19" s="364"/>
      <c r="I19" s="364"/>
      <c r="J19" s="364"/>
      <c r="K19" s="364"/>
      <c r="L19" s="364"/>
      <c r="M19" s="36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S296"/>
  <sheetViews>
    <sheetView zoomScale="120" zoomScaleNormal="120" workbookViewId="0">
      <pane xSplit="3" ySplit="1" topLeftCell="CC2" activePane="bottomRight" state="frozen"/>
      <selection pane="topRight" activeCell="D1" sqref="D1"/>
      <selection pane="bottomLeft" activeCell="A2" sqref="A2"/>
      <selection pane="bottomRight" activeCell="CH1" sqref="CH1"/>
    </sheetView>
  </sheetViews>
  <sheetFormatPr defaultColWidth="6" defaultRowHeight="11.25" x14ac:dyDescent="0.2"/>
  <cols>
    <col min="1" max="1" width="7" style="88" bestFit="1" customWidth="1"/>
    <col min="2" max="2" width="13.42578125" style="88" bestFit="1" customWidth="1"/>
    <col min="3" max="3" width="7.7109375" style="88" bestFit="1" customWidth="1"/>
    <col min="4" max="4" width="11.7109375" style="256" hidden="1" customWidth="1"/>
    <col min="5" max="6" width="10.7109375" style="256" hidden="1" customWidth="1"/>
    <col min="7" max="7" width="11.7109375" style="256" hidden="1" customWidth="1"/>
    <col min="8" max="8" width="7.7109375" style="88" hidden="1" customWidth="1"/>
    <col min="9" max="9" width="11.7109375" style="256" hidden="1" customWidth="1"/>
    <col min="10" max="10" width="10.7109375" style="256" hidden="1" customWidth="1"/>
    <col min="11" max="11" width="10.5703125" style="256" hidden="1" customWidth="1"/>
    <col min="12" max="13" width="11.28515625" style="256" hidden="1" customWidth="1"/>
    <col min="14" max="14" width="10.7109375" style="256" hidden="1" customWidth="1"/>
    <col min="15" max="16" width="11.28515625" style="256" hidden="1" customWidth="1"/>
    <col min="17" max="21" width="7.7109375" style="88" bestFit="1" customWidth="1"/>
    <col min="22" max="25" width="7.7109375" style="88" hidden="1" customWidth="1"/>
    <col min="26" max="28" width="7.7109375" style="256" hidden="1" customWidth="1"/>
    <col min="29" max="29" width="8.28515625" style="256" hidden="1" customWidth="1"/>
    <col min="30" max="30" width="7.7109375" style="256" hidden="1" customWidth="1"/>
    <col min="31" max="31" width="7.7109375" style="397" customWidth="1"/>
    <col min="32" max="32" width="9.28515625" style="88" customWidth="1"/>
    <col min="33" max="34" width="7.7109375" style="88" bestFit="1" customWidth="1"/>
    <col min="35" max="35" width="10.5703125" style="256" bestFit="1" customWidth="1"/>
    <col min="36" max="36" width="7.7109375" style="88" bestFit="1" customWidth="1"/>
    <col min="37" max="37" width="10.5703125" style="88" bestFit="1" customWidth="1"/>
    <col min="38" max="38" width="10.5703125" style="256" bestFit="1" customWidth="1"/>
    <col min="39" max="40" width="7.7109375" style="88" bestFit="1" customWidth="1"/>
    <col min="41" max="41" width="7.7109375" style="256" bestFit="1" customWidth="1"/>
    <col min="42" max="42" width="8.28515625" style="88" bestFit="1" customWidth="1"/>
    <col min="43" max="43" width="8.28515625" style="399" customWidth="1"/>
    <col min="44" max="44" width="8.42578125" style="88" bestFit="1" customWidth="1"/>
    <col min="45" max="46" width="10.7109375" style="256" bestFit="1" customWidth="1"/>
    <col min="47" max="48" width="8.42578125" style="399" bestFit="1" customWidth="1"/>
    <col min="49" max="49" width="10.7109375" style="88" bestFit="1" customWidth="1"/>
    <col min="50" max="50" width="10.7109375" style="256" bestFit="1" customWidth="1"/>
    <col min="51" max="51" width="10.7109375" style="88" bestFit="1" customWidth="1"/>
    <col min="52" max="53" width="8.28515625" style="399" bestFit="1" customWidth="1"/>
    <col min="54" max="55" width="10.7109375" style="88" bestFit="1" customWidth="1"/>
    <col min="56" max="57" width="7.85546875" style="88" bestFit="1" customWidth="1"/>
    <col min="58" max="59" width="10.5703125" style="88" bestFit="1" customWidth="1"/>
    <col min="60" max="60" width="9.7109375" style="256" bestFit="1" customWidth="1"/>
    <col min="61" max="61" width="9.7109375" style="88" bestFit="1" customWidth="1"/>
    <col min="62" max="62" width="10.5703125" style="256" bestFit="1" customWidth="1"/>
    <col min="63" max="63" width="8.7109375" style="88" bestFit="1" customWidth="1"/>
    <col min="64" max="64" width="8.42578125" style="88" bestFit="1" customWidth="1"/>
    <col min="65" max="65" width="9.85546875" style="88" customWidth="1"/>
    <col min="66" max="66" width="7.7109375" style="256" customWidth="1"/>
    <col min="67" max="67" width="11.42578125" style="88" bestFit="1" customWidth="1"/>
    <col min="68" max="69" width="10" style="88" bestFit="1" customWidth="1"/>
    <col min="70" max="70" width="10.7109375" style="88" bestFit="1" customWidth="1"/>
    <col min="71" max="73" width="11.42578125" style="88" bestFit="1" customWidth="1"/>
    <col min="74" max="77" width="11.28515625" style="88" customWidth="1"/>
    <col min="78" max="78" width="8.42578125" style="256" bestFit="1" customWidth="1"/>
    <col min="79" max="79" width="11.42578125" style="88" bestFit="1" customWidth="1"/>
    <col min="80" max="81" width="11.42578125" style="256" bestFit="1" customWidth="1"/>
    <col min="82" max="82" width="11.28515625" style="256" customWidth="1"/>
    <col min="83" max="86" width="11.28515625" style="88" customWidth="1"/>
    <col min="87" max="87" width="9.28515625" style="256" customWidth="1"/>
    <col min="88" max="88" width="10.7109375" style="88" customWidth="1"/>
    <col min="89" max="89" width="9.85546875" style="88" customWidth="1"/>
    <col min="90" max="90" width="8.5703125" style="88" customWidth="1"/>
    <col min="91" max="91" width="12.5703125" style="88" customWidth="1"/>
    <col min="92" max="92" width="9.85546875" style="88" customWidth="1"/>
    <col min="93" max="93" width="11.85546875" style="88" bestFit="1" customWidth="1"/>
    <col min="94" max="94" width="12.42578125" style="88" bestFit="1" customWidth="1"/>
    <col min="95" max="96" width="12.28515625" style="88" customWidth="1"/>
    <col min="97" max="97" width="9.7109375" style="256" bestFit="1" customWidth="1"/>
    <col min="98" max="16384" width="6" style="88"/>
  </cols>
  <sheetData>
    <row r="1" spans="1:97" s="401" customFormat="1" ht="22.5" customHeight="1" x14ac:dyDescent="0.2">
      <c r="A1" s="401" t="s">
        <v>217</v>
      </c>
      <c r="B1" s="401" t="s">
        <v>218</v>
      </c>
      <c r="C1" s="401" t="s">
        <v>219</v>
      </c>
      <c r="D1" s="402" t="s">
        <v>220</v>
      </c>
      <c r="E1" s="402" t="s">
        <v>221</v>
      </c>
      <c r="F1" s="402" t="s">
        <v>222</v>
      </c>
      <c r="G1" s="402" t="s">
        <v>223</v>
      </c>
      <c r="H1" s="401" t="s">
        <v>224</v>
      </c>
      <c r="I1" s="402" t="s">
        <v>225</v>
      </c>
      <c r="J1" s="402" t="s">
        <v>226</v>
      </c>
      <c r="K1" s="402" t="s">
        <v>227</v>
      </c>
      <c r="L1" s="402" t="s">
        <v>228</v>
      </c>
      <c r="M1" s="402" t="s">
        <v>229</v>
      </c>
      <c r="N1" s="402" t="s">
        <v>230</v>
      </c>
      <c r="O1" s="402" t="s">
        <v>231</v>
      </c>
      <c r="P1" s="402" t="s">
        <v>232</v>
      </c>
      <c r="Q1" s="401" t="s">
        <v>233</v>
      </c>
      <c r="R1" s="401" t="s">
        <v>234</v>
      </c>
      <c r="S1" s="401" t="s">
        <v>235</v>
      </c>
      <c r="T1" s="401" t="s">
        <v>236</v>
      </c>
      <c r="U1" s="401" t="s">
        <v>237</v>
      </c>
      <c r="V1" s="401" t="s">
        <v>238</v>
      </c>
      <c r="W1" s="401" t="s">
        <v>239</v>
      </c>
      <c r="X1" s="401" t="s">
        <v>240</v>
      </c>
      <c r="Y1" s="401" t="s">
        <v>241</v>
      </c>
      <c r="Z1" s="402" t="s">
        <v>242</v>
      </c>
      <c r="AA1" s="402" t="s">
        <v>243</v>
      </c>
      <c r="AB1" s="402" t="s">
        <v>244</v>
      </c>
      <c r="AC1" s="402" t="s">
        <v>245</v>
      </c>
      <c r="AD1" s="402" t="s">
        <v>246</v>
      </c>
      <c r="AE1" s="401" t="s">
        <v>247</v>
      </c>
      <c r="AG1" s="401" t="s">
        <v>248</v>
      </c>
      <c r="AH1" s="401" t="s">
        <v>249</v>
      </c>
      <c r="AI1" s="402" t="s">
        <v>250</v>
      </c>
      <c r="AJ1" s="401" t="s">
        <v>251</v>
      </c>
      <c r="AK1" s="401" t="s">
        <v>252</v>
      </c>
      <c r="AL1" s="402" t="s">
        <v>253</v>
      </c>
      <c r="AM1" s="401" t="s">
        <v>254</v>
      </c>
      <c r="AN1" s="401" t="s">
        <v>255</v>
      </c>
      <c r="AO1" s="402" t="s">
        <v>256</v>
      </c>
      <c r="AP1" s="401" t="s">
        <v>257</v>
      </c>
      <c r="AQ1" s="403" t="s">
        <v>258</v>
      </c>
      <c r="AR1" s="401" t="s">
        <v>259</v>
      </c>
      <c r="AS1" s="402" t="s">
        <v>260</v>
      </c>
      <c r="AT1" s="402" t="s">
        <v>261</v>
      </c>
      <c r="AU1" s="403" t="s">
        <v>262</v>
      </c>
      <c r="AV1" s="403" t="s">
        <v>263</v>
      </c>
      <c r="AW1" s="401" t="s">
        <v>264</v>
      </c>
      <c r="AX1" s="402" t="s">
        <v>265</v>
      </c>
      <c r="AY1" s="401" t="s">
        <v>266</v>
      </c>
      <c r="AZ1" s="403" t="s">
        <v>267</v>
      </c>
      <c r="BA1" s="403" t="s">
        <v>268</v>
      </c>
      <c r="BB1" s="401" t="s">
        <v>269</v>
      </c>
      <c r="BC1" s="401" t="s">
        <v>270</v>
      </c>
      <c r="BD1" s="401" t="s">
        <v>271</v>
      </c>
      <c r="BE1" s="401" t="s">
        <v>272</v>
      </c>
      <c r="BF1" s="401" t="s">
        <v>273</v>
      </c>
      <c r="BG1" s="401" t="s">
        <v>274</v>
      </c>
      <c r="BH1" s="402" t="s">
        <v>275</v>
      </c>
      <c r="BI1" s="401" t="s">
        <v>276</v>
      </c>
      <c r="BJ1" s="402" t="s">
        <v>277</v>
      </c>
      <c r="BK1" s="401" t="s">
        <v>278</v>
      </c>
      <c r="BL1" s="401" t="s">
        <v>279</v>
      </c>
      <c r="BM1" s="401" t="s">
        <v>280</v>
      </c>
      <c r="BN1" s="402" t="s">
        <v>281</v>
      </c>
      <c r="BO1" s="401" t="s">
        <v>282</v>
      </c>
      <c r="BP1" s="401" t="s">
        <v>283</v>
      </c>
      <c r="BQ1" s="401" t="s">
        <v>284</v>
      </c>
      <c r="BR1" s="401" t="s">
        <v>285</v>
      </c>
      <c r="BS1" s="401" t="s">
        <v>286</v>
      </c>
      <c r="BT1" s="401" t="s">
        <v>287</v>
      </c>
      <c r="BU1" s="401" t="s">
        <v>288</v>
      </c>
      <c r="BV1" s="401" t="s">
        <v>289</v>
      </c>
      <c r="BW1" s="401" t="s">
        <v>290</v>
      </c>
      <c r="BX1" s="401" t="s">
        <v>291</v>
      </c>
      <c r="BY1" s="401" t="s">
        <v>292</v>
      </c>
      <c r="BZ1" s="402" t="s">
        <v>293</v>
      </c>
      <c r="CA1" s="401" t="s">
        <v>294</v>
      </c>
      <c r="CB1" s="402" t="s">
        <v>295</v>
      </c>
      <c r="CC1" s="402" t="s">
        <v>296</v>
      </c>
      <c r="CD1" s="402" t="s">
        <v>297</v>
      </c>
      <c r="CE1" s="401" t="s">
        <v>298</v>
      </c>
      <c r="CF1" s="401" t="s">
        <v>299</v>
      </c>
      <c r="CG1" s="401" t="s">
        <v>300</v>
      </c>
      <c r="CH1" s="401" t="s">
        <v>301</v>
      </c>
      <c r="CI1" s="402" t="s">
        <v>302</v>
      </c>
      <c r="CJ1" s="401" t="s">
        <v>303</v>
      </c>
      <c r="CK1" s="401" t="s">
        <v>304</v>
      </c>
      <c r="CL1" s="401" t="s">
        <v>305</v>
      </c>
      <c r="CM1" s="401" t="s">
        <v>306</v>
      </c>
      <c r="CN1" s="401" t="s">
        <v>307</v>
      </c>
      <c r="CO1" s="401" t="s">
        <v>308</v>
      </c>
      <c r="CP1" s="401" t="s">
        <v>309</v>
      </c>
      <c r="CQ1" s="401" t="s">
        <v>310</v>
      </c>
      <c r="CR1" s="401" t="s">
        <v>311</v>
      </c>
      <c r="CS1" s="402" t="s">
        <v>312</v>
      </c>
    </row>
    <row r="2" spans="1:97" x14ac:dyDescent="0.2">
      <c r="A2" s="100">
        <v>20</v>
      </c>
      <c r="B2" s="100" t="s">
        <v>30</v>
      </c>
      <c r="C2" s="100">
        <v>16473</v>
      </c>
      <c r="D2" s="257"/>
      <c r="E2" s="257"/>
      <c r="F2" s="257"/>
      <c r="G2" s="257"/>
      <c r="H2" s="325"/>
      <c r="I2" s="257"/>
      <c r="J2" s="257"/>
      <c r="K2" s="257"/>
      <c r="L2" s="257"/>
      <c r="M2" s="257"/>
      <c r="N2" s="257"/>
      <c r="O2" s="257"/>
      <c r="P2" s="257"/>
      <c r="Q2" s="100">
        <v>782</v>
      </c>
      <c r="R2" s="100">
        <v>154</v>
      </c>
      <c r="S2" s="100">
        <v>1222</v>
      </c>
      <c r="T2" s="100">
        <v>664</v>
      </c>
      <c r="U2" s="100">
        <v>13651</v>
      </c>
      <c r="V2" s="100"/>
      <c r="W2" s="100"/>
      <c r="X2" s="100"/>
      <c r="Y2" s="100"/>
      <c r="Z2" s="257"/>
      <c r="AA2" s="257"/>
      <c r="AB2" s="257"/>
      <c r="AC2" s="257"/>
      <c r="AD2" s="257"/>
      <c r="AE2" s="258">
        <v>0.81783971744737971</v>
      </c>
      <c r="AG2" s="441">
        <v>600.91666666666663</v>
      </c>
      <c r="AH2" s="443">
        <v>7532</v>
      </c>
      <c r="AJ2" s="88">
        <v>469</v>
      </c>
      <c r="AM2" s="88">
        <v>0</v>
      </c>
      <c r="AN2" s="88">
        <v>25</v>
      </c>
      <c r="AP2" s="88">
        <v>0</v>
      </c>
      <c r="AQ2" s="399">
        <v>0</v>
      </c>
      <c r="AR2" s="88">
        <v>293.26</v>
      </c>
      <c r="AU2" s="399">
        <v>632</v>
      </c>
      <c r="AV2" s="399">
        <v>5302</v>
      </c>
      <c r="AY2" s="88">
        <v>0</v>
      </c>
      <c r="AZ2" s="432">
        <v>4786</v>
      </c>
      <c r="BA2" s="440">
        <v>6937</v>
      </c>
      <c r="BC2" s="439">
        <v>0</v>
      </c>
      <c r="BD2" s="88">
        <v>0</v>
      </c>
      <c r="BE2" s="88">
        <v>0</v>
      </c>
      <c r="BF2" s="434">
        <v>-809306.14</v>
      </c>
      <c r="BG2" s="100">
        <v>-314871.11</v>
      </c>
      <c r="BH2" s="257"/>
      <c r="BI2" s="100"/>
      <c r="BJ2" s="257"/>
      <c r="BK2" s="100"/>
      <c r="BL2" s="100"/>
      <c r="BM2" s="100"/>
      <c r="BN2" s="257"/>
      <c r="BO2" s="100"/>
      <c r="BP2" s="100">
        <v>1334279</v>
      </c>
      <c r="BQ2" s="100">
        <v>410543</v>
      </c>
      <c r="BR2" s="100">
        <v>897394.9424826249</v>
      </c>
      <c r="BS2" s="100">
        <v>27428.68789498369</v>
      </c>
      <c r="BT2" s="100">
        <v>125948.33979683967</v>
      </c>
      <c r="BU2" s="100">
        <v>413526.2233831386</v>
      </c>
      <c r="BV2" s="100">
        <v>833777.01560758299</v>
      </c>
      <c r="BW2" s="100">
        <v>1346679.5531167898</v>
      </c>
      <c r="BX2" s="100">
        <v>355892.24723762769</v>
      </c>
      <c r="BY2" s="100">
        <v>697081.55747567234</v>
      </c>
      <c r="BZ2" s="257"/>
      <c r="CA2" s="100"/>
      <c r="CB2" s="257"/>
      <c r="CC2" s="257"/>
      <c r="CD2" s="257"/>
      <c r="CE2" s="100">
        <v>881263.90259031765</v>
      </c>
      <c r="CF2" s="100">
        <v>552531.84865490615</v>
      </c>
      <c r="CG2" s="100">
        <v>530525.10292458325</v>
      </c>
      <c r="CH2" s="100">
        <v>2687797.7412677575</v>
      </c>
      <c r="CI2" s="257"/>
      <c r="CJ2" s="437">
        <v>7090798.5108171748</v>
      </c>
      <c r="CK2" s="404">
        <v>-2441149</v>
      </c>
      <c r="CL2" s="404"/>
      <c r="CM2" s="437">
        <v>-585670.47299999988</v>
      </c>
      <c r="CO2" s="434">
        <v>-2787357.7915534563</v>
      </c>
      <c r="CP2" s="437">
        <v>-2346290.6684623654</v>
      </c>
      <c r="CQ2" s="437">
        <v>-1490311.5726760752</v>
      </c>
      <c r="CR2" s="437">
        <v>571564.5714886717</v>
      </c>
      <c r="CS2" s="257"/>
    </row>
    <row r="3" spans="1:97" x14ac:dyDescent="0.2">
      <c r="A3" s="100">
        <v>5</v>
      </c>
      <c r="B3" s="100" t="s">
        <v>313</v>
      </c>
      <c r="C3" s="100">
        <v>9183</v>
      </c>
      <c r="D3" s="257"/>
      <c r="E3" s="257"/>
      <c r="F3" s="257"/>
      <c r="G3" s="257"/>
      <c r="H3" s="325"/>
      <c r="I3" s="257"/>
      <c r="J3" s="257"/>
      <c r="K3" s="257"/>
      <c r="L3" s="257"/>
      <c r="M3" s="257"/>
      <c r="N3" s="257"/>
      <c r="O3" s="257"/>
      <c r="P3" s="257"/>
      <c r="Q3" s="100">
        <v>473</v>
      </c>
      <c r="R3" s="100">
        <v>95</v>
      </c>
      <c r="S3" s="100">
        <v>692</v>
      </c>
      <c r="T3" s="100">
        <v>390</v>
      </c>
      <c r="U3" s="100">
        <v>7533</v>
      </c>
      <c r="V3" s="100"/>
      <c r="W3" s="100"/>
      <c r="X3" s="100"/>
      <c r="Y3" s="100"/>
      <c r="Z3" s="257"/>
      <c r="AA3" s="257"/>
      <c r="AB3" s="257"/>
      <c r="AC3" s="257"/>
      <c r="AD3" s="257"/>
      <c r="AE3" s="258">
        <v>0.77147553574362149</v>
      </c>
      <c r="AG3" s="441">
        <v>246.16666666666666</v>
      </c>
      <c r="AH3" s="443">
        <v>3757</v>
      </c>
      <c r="AJ3" s="88">
        <v>311</v>
      </c>
      <c r="AM3" s="88">
        <v>0</v>
      </c>
      <c r="AN3" s="88">
        <v>12</v>
      </c>
      <c r="AP3" s="88">
        <v>0</v>
      </c>
      <c r="AQ3" s="399">
        <v>0</v>
      </c>
      <c r="AR3" s="88">
        <v>1008.77</v>
      </c>
      <c r="AU3" s="399">
        <v>274</v>
      </c>
      <c r="AV3" s="399">
        <v>2276</v>
      </c>
      <c r="AY3" s="88">
        <v>0.6011333333333333</v>
      </c>
      <c r="AZ3" s="432">
        <v>3430</v>
      </c>
      <c r="BA3" s="440">
        <v>3393</v>
      </c>
      <c r="BC3" s="439">
        <v>0</v>
      </c>
      <c r="BD3" s="88">
        <v>0</v>
      </c>
      <c r="BE3" s="88">
        <v>0</v>
      </c>
      <c r="BF3" s="434">
        <v>-299538.38</v>
      </c>
      <c r="BG3" s="100">
        <v>-180938.99000000002</v>
      </c>
      <c r="BH3" s="257"/>
      <c r="BI3" s="100"/>
      <c r="BJ3" s="257"/>
      <c r="BK3" s="100"/>
      <c r="BL3" s="100"/>
      <c r="BM3" s="100"/>
      <c r="BN3" s="257"/>
      <c r="BO3" s="100"/>
      <c r="BP3" s="100">
        <v>982443</v>
      </c>
      <c r="BQ3" s="100">
        <v>316760</v>
      </c>
      <c r="BR3" s="100">
        <v>854672.97116156155</v>
      </c>
      <c r="BS3" s="100">
        <v>45846.997350827412</v>
      </c>
      <c r="BT3" s="100">
        <v>104017.12567895393</v>
      </c>
      <c r="BU3" s="100">
        <v>405909.55986633711</v>
      </c>
      <c r="BV3" s="100">
        <v>595879.92461751495</v>
      </c>
      <c r="BW3" s="100">
        <v>855777.19931543048</v>
      </c>
      <c r="BX3" s="100">
        <v>259567.6986035869</v>
      </c>
      <c r="BY3" s="100">
        <v>482826.74172792077</v>
      </c>
      <c r="BZ3" s="257"/>
      <c r="CA3" s="100"/>
      <c r="CB3" s="257"/>
      <c r="CC3" s="257"/>
      <c r="CD3" s="257"/>
      <c r="CE3" s="100">
        <v>672045.29585116694</v>
      </c>
      <c r="CF3" s="100">
        <v>355929.39023934794</v>
      </c>
      <c r="CG3" s="100">
        <v>347445.00546323962</v>
      </c>
      <c r="CH3" s="100">
        <v>1998836.7833538039</v>
      </c>
      <c r="CI3" s="257"/>
      <c r="CJ3" s="437">
        <v>5328311.2382792467</v>
      </c>
      <c r="CK3" s="404">
        <v>1317165</v>
      </c>
      <c r="CL3" s="404"/>
      <c r="CM3" s="437">
        <v>2028438.6079999993</v>
      </c>
      <c r="CO3" s="434">
        <v>1107790.4369840571</v>
      </c>
      <c r="CP3" s="437">
        <v>4515.1564391095244</v>
      </c>
      <c r="CQ3" s="437">
        <v>-830785.59897313174</v>
      </c>
      <c r="CR3" s="437">
        <v>318623.04740972939</v>
      </c>
      <c r="CS3" s="257"/>
    </row>
    <row r="4" spans="1:97" x14ac:dyDescent="0.2">
      <c r="A4" s="100">
        <v>9</v>
      </c>
      <c r="B4" s="100" t="s">
        <v>314</v>
      </c>
      <c r="C4" s="100">
        <v>2447</v>
      </c>
      <c r="D4" s="257"/>
      <c r="E4" s="257"/>
      <c r="F4" s="257"/>
      <c r="G4" s="257"/>
      <c r="H4" s="325"/>
      <c r="I4" s="257"/>
      <c r="J4" s="257"/>
      <c r="K4" s="257"/>
      <c r="L4" s="257"/>
      <c r="M4" s="257"/>
      <c r="N4" s="257"/>
      <c r="O4" s="257"/>
      <c r="P4" s="257"/>
      <c r="Q4" s="100">
        <v>140</v>
      </c>
      <c r="R4" s="100">
        <v>23</v>
      </c>
      <c r="S4" s="100">
        <v>222</v>
      </c>
      <c r="T4" s="100">
        <v>114</v>
      </c>
      <c r="U4" s="100">
        <v>1948</v>
      </c>
      <c r="V4" s="100"/>
      <c r="W4" s="100"/>
      <c r="X4" s="100"/>
      <c r="Y4" s="100"/>
      <c r="Z4" s="257"/>
      <c r="AA4" s="257"/>
      <c r="AB4" s="257"/>
      <c r="AC4" s="257"/>
      <c r="AD4" s="257"/>
      <c r="AE4" s="258">
        <v>0.89783867207434642</v>
      </c>
      <c r="AG4" s="441">
        <v>76.5</v>
      </c>
      <c r="AH4" s="443">
        <v>1100</v>
      </c>
      <c r="AJ4" s="88">
        <v>22</v>
      </c>
      <c r="AM4" s="88">
        <v>0</v>
      </c>
      <c r="AN4" s="88">
        <v>4</v>
      </c>
      <c r="AP4" s="88">
        <v>0</v>
      </c>
      <c r="AQ4" s="399">
        <v>0</v>
      </c>
      <c r="AR4" s="88">
        <v>251.5</v>
      </c>
      <c r="AU4" s="399">
        <v>82</v>
      </c>
      <c r="AV4" s="399">
        <v>626</v>
      </c>
      <c r="AY4" s="88">
        <v>2.8199999999999999E-2</v>
      </c>
      <c r="AZ4" s="432">
        <v>696</v>
      </c>
      <c r="BA4" s="440">
        <v>981</v>
      </c>
      <c r="BC4" s="439">
        <v>0</v>
      </c>
      <c r="BD4" s="88">
        <v>0</v>
      </c>
      <c r="BE4" s="88">
        <v>0</v>
      </c>
      <c r="BF4" s="434">
        <v>-42537.025000000001</v>
      </c>
      <c r="BG4" s="100">
        <v>-48351.57</v>
      </c>
      <c r="BH4" s="257"/>
      <c r="BI4" s="100"/>
      <c r="BJ4" s="257"/>
      <c r="BK4" s="100"/>
      <c r="BL4" s="100"/>
      <c r="BM4" s="100"/>
      <c r="BN4" s="257"/>
      <c r="BO4" s="100"/>
      <c r="BP4" s="100">
        <v>269616</v>
      </c>
      <c r="BQ4" s="100">
        <v>76861</v>
      </c>
      <c r="BR4" s="100">
        <v>208942.05469652946</v>
      </c>
      <c r="BS4" s="100">
        <v>11331.876123504489</v>
      </c>
      <c r="BT4" s="100">
        <v>20677.758179640379</v>
      </c>
      <c r="BU4" s="100">
        <v>98339.24119116721</v>
      </c>
      <c r="BV4" s="100">
        <v>155628.8025438553</v>
      </c>
      <c r="BW4" s="100">
        <v>249305.43506665138</v>
      </c>
      <c r="BX4" s="100">
        <v>62436.342574807924</v>
      </c>
      <c r="BY4" s="100">
        <v>126039.71635671791</v>
      </c>
      <c r="BZ4" s="257"/>
      <c r="CA4" s="100"/>
      <c r="CB4" s="257"/>
      <c r="CC4" s="257"/>
      <c r="CD4" s="257"/>
      <c r="CE4" s="100">
        <v>175698.08871728778</v>
      </c>
      <c r="CF4" s="100">
        <v>100722.98439812243</v>
      </c>
      <c r="CG4" s="100">
        <v>90861.784267180352</v>
      </c>
      <c r="CH4" s="100">
        <v>524718.77367367654</v>
      </c>
      <c r="CI4" s="257"/>
      <c r="CJ4" s="437">
        <v>1701923.5138172619</v>
      </c>
      <c r="CK4" s="404">
        <v>-473784</v>
      </c>
      <c r="CL4" s="404"/>
      <c r="CM4" s="437">
        <v>83543.599999999977</v>
      </c>
      <c r="CO4" s="434">
        <v>507476.23555039527</v>
      </c>
      <c r="CP4" s="437">
        <v>45935.127276895844</v>
      </c>
      <c r="CQ4" s="437">
        <v>-221379.98047340231</v>
      </c>
      <c r="CR4" s="437">
        <v>84903.691278624392</v>
      </c>
      <c r="CS4" s="257"/>
    </row>
    <row r="5" spans="1:97" x14ac:dyDescent="0.2">
      <c r="A5" s="100">
        <v>10</v>
      </c>
      <c r="B5" s="100" t="s">
        <v>315</v>
      </c>
      <c r="C5" s="100">
        <v>11102</v>
      </c>
      <c r="D5" s="257"/>
      <c r="E5" s="257"/>
      <c r="F5" s="257"/>
      <c r="G5" s="257"/>
      <c r="H5" s="325"/>
      <c r="I5" s="257"/>
      <c r="J5" s="257"/>
      <c r="K5" s="257"/>
      <c r="L5" s="257"/>
      <c r="M5" s="257"/>
      <c r="N5" s="257"/>
      <c r="O5" s="257"/>
      <c r="P5" s="257"/>
      <c r="Q5" s="100">
        <v>605</v>
      </c>
      <c r="R5" s="100">
        <v>124</v>
      </c>
      <c r="S5" s="100">
        <v>787</v>
      </c>
      <c r="T5" s="100">
        <v>411</v>
      </c>
      <c r="U5" s="100">
        <v>9175</v>
      </c>
      <c r="V5" s="100"/>
      <c r="W5" s="100"/>
      <c r="X5" s="100"/>
      <c r="Y5" s="100"/>
      <c r="Z5" s="257"/>
      <c r="AA5" s="257"/>
      <c r="AB5" s="257"/>
      <c r="AC5" s="257"/>
      <c r="AD5" s="257"/>
      <c r="AE5" s="258">
        <v>0.86661528225638074</v>
      </c>
      <c r="AG5" s="441">
        <v>277.5</v>
      </c>
      <c r="AH5" s="443">
        <v>4658</v>
      </c>
      <c r="AJ5" s="88">
        <v>239</v>
      </c>
      <c r="AM5" s="88">
        <v>0</v>
      </c>
      <c r="AN5" s="88">
        <v>7</v>
      </c>
      <c r="AP5" s="88">
        <v>0</v>
      </c>
      <c r="AQ5" s="399">
        <v>0</v>
      </c>
      <c r="AR5" s="88">
        <v>1087.23</v>
      </c>
      <c r="AU5" s="399">
        <v>390</v>
      </c>
      <c r="AV5" s="399">
        <v>2873</v>
      </c>
      <c r="AY5" s="88">
        <v>0.54486666666666661</v>
      </c>
      <c r="AZ5" s="432">
        <v>4154</v>
      </c>
      <c r="BA5" s="440">
        <v>4215</v>
      </c>
      <c r="BC5" s="439">
        <v>0</v>
      </c>
      <c r="BD5" s="88">
        <v>0</v>
      </c>
      <c r="BE5" s="88">
        <v>1</v>
      </c>
      <c r="BF5" s="434">
        <v>-365271.8725</v>
      </c>
      <c r="BG5" s="100">
        <v>-217687.72</v>
      </c>
      <c r="BH5" s="257"/>
      <c r="BI5" s="100"/>
      <c r="BJ5" s="257"/>
      <c r="BK5" s="100"/>
      <c r="BL5" s="100"/>
      <c r="BM5" s="100"/>
      <c r="BN5" s="257"/>
      <c r="BO5" s="100"/>
      <c r="BP5" s="100">
        <v>1196258</v>
      </c>
      <c r="BQ5" s="100">
        <v>389828</v>
      </c>
      <c r="BR5" s="100">
        <v>994223.94052324235</v>
      </c>
      <c r="BS5" s="100">
        <v>46805.493257466267</v>
      </c>
      <c r="BT5" s="100">
        <v>102562.06916084253</v>
      </c>
      <c r="BU5" s="100">
        <v>466334.08575838123</v>
      </c>
      <c r="BV5" s="100">
        <v>749068.49356819619</v>
      </c>
      <c r="BW5" s="100">
        <v>1066515.1689976272</v>
      </c>
      <c r="BX5" s="100">
        <v>322351.75372613425</v>
      </c>
      <c r="BY5" s="100">
        <v>594111.29516849422</v>
      </c>
      <c r="BZ5" s="257"/>
      <c r="CA5" s="100"/>
      <c r="CB5" s="257"/>
      <c r="CC5" s="257"/>
      <c r="CD5" s="257"/>
      <c r="CE5" s="100">
        <v>803688.23112984188</v>
      </c>
      <c r="CF5" s="100">
        <v>455921.26399358484</v>
      </c>
      <c r="CG5" s="100">
        <v>449334.63492346107</v>
      </c>
      <c r="CH5" s="100">
        <v>2446371.1142968205</v>
      </c>
      <c r="CI5" s="257"/>
      <c r="CJ5" s="437">
        <v>6432598.827244279</v>
      </c>
      <c r="CK5" s="404">
        <v>-307675</v>
      </c>
      <c r="CL5" s="404"/>
      <c r="CM5" s="437">
        <v>-46321.942500000005</v>
      </c>
      <c r="CO5" s="434">
        <v>-340479.36541170999</v>
      </c>
      <c r="CP5" s="437">
        <v>-1010240.0924459173</v>
      </c>
      <c r="CQ5" s="437">
        <v>-1004397.4430795719</v>
      </c>
      <c r="CR5" s="437">
        <v>385206.69414601062</v>
      </c>
      <c r="CS5" s="257"/>
    </row>
    <row r="6" spans="1:97" x14ac:dyDescent="0.2">
      <c r="A6" s="100">
        <v>16</v>
      </c>
      <c r="B6" s="100" t="s">
        <v>316</v>
      </c>
      <c r="C6" s="100">
        <v>8014</v>
      </c>
      <c r="D6" s="257"/>
      <c r="E6" s="257"/>
      <c r="F6" s="257"/>
      <c r="G6" s="257"/>
      <c r="H6" s="325"/>
      <c r="I6" s="257"/>
      <c r="J6" s="257"/>
      <c r="K6" s="257"/>
      <c r="L6" s="257"/>
      <c r="M6" s="257"/>
      <c r="N6" s="257"/>
      <c r="O6" s="257"/>
      <c r="P6" s="257"/>
      <c r="Q6" s="100">
        <v>315</v>
      </c>
      <c r="R6" s="100">
        <v>63</v>
      </c>
      <c r="S6" s="100">
        <v>458</v>
      </c>
      <c r="T6" s="100">
        <v>291</v>
      </c>
      <c r="U6" s="100">
        <v>6887</v>
      </c>
      <c r="V6" s="100"/>
      <c r="W6" s="100"/>
      <c r="X6" s="100"/>
      <c r="Y6" s="100"/>
      <c r="Z6" s="257"/>
      <c r="AA6" s="257"/>
      <c r="AB6" s="257"/>
      <c r="AC6" s="257"/>
      <c r="AD6" s="257"/>
      <c r="AE6" s="258">
        <v>0.97509918048161826</v>
      </c>
      <c r="AG6" s="441">
        <v>272.41666666666669</v>
      </c>
      <c r="AH6" s="443">
        <v>3269</v>
      </c>
      <c r="AJ6" s="88">
        <v>210</v>
      </c>
      <c r="AM6" s="88">
        <v>0</v>
      </c>
      <c r="AN6" s="88">
        <v>12</v>
      </c>
      <c r="AP6" s="88">
        <v>3</v>
      </c>
      <c r="AQ6" s="399">
        <v>485</v>
      </c>
      <c r="AR6" s="88">
        <v>563.39</v>
      </c>
      <c r="AU6" s="399">
        <v>316</v>
      </c>
      <c r="AV6" s="399">
        <v>2127</v>
      </c>
      <c r="AY6" s="88">
        <v>0</v>
      </c>
      <c r="AZ6" s="432">
        <v>2334</v>
      </c>
      <c r="BA6" s="440">
        <v>2925</v>
      </c>
      <c r="BC6" s="439">
        <v>0</v>
      </c>
      <c r="BD6" s="88">
        <v>0</v>
      </c>
      <c r="BE6" s="88">
        <v>3</v>
      </c>
      <c r="BF6" s="434">
        <v>-252791.92</v>
      </c>
      <c r="BG6" s="100">
        <v>-154813.39000000001</v>
      </c>
      <c r="BH6" s="257"/>
      <c r="BI6" s="100"/>
      <c r="BJ6" s="257"/>
      <c r="BK6" s="100"/>
      <c r="BL6" s="100"/>
      <c r="BM6" s="100"/>
      <c r="BN6" s="257"/>
      <c r="BO6" s="100"/>
      <c r="BP6" s="100">
        <v>734044</v>
      </c>
      <c r="BQ6" s="100">
        <v>234966</v>
      </c>
      <c r="BR6" s="100">
        <v>499428.03132371634</v>
      </c>
      <c r="BS6" s="100">
        <v>23164.14885330807</v>
      </c>
      <c r="BT6" s="100">
        <v>5375.0268597214126</v>
      </c>
      <c r="BU6" s="100">
        <v>239081.0739268699</v>
      </c>
      <c r="BV6" s="100">
        <v>418755.6805136163</v>
      </c>
      <c r="BW6" s="100">
        <v>701338.61270651082</v>
      </c>
      <c r="BX6" s="100">
        <v>207166.79425464023</v>
      </c>
      <c r="BY6" s="100">
        <v>358437.56081256393</v>
      </c>
      <c r="BZ6" s="257"/>
      <c r="CA6" s="100"/>
      <c r="CB6" s="257"/>
      <c r="CC6" s="257"/>
      <c r="CD6" s="257"/>
      <c r="CE6" s="100">
        <v>467110.22599580581</v>
      </c>
      <c r="CF6" s="100">
        <v>270454.40685041237</v>
      </c>
      <c r="CG6" s="100">
        <v>267259.18032797187</v>
      </c>
      <c r="CH6" s="100">
        <v>1380381.6988638802</v>
      </c>
      <c r="CI6" s="257"/>
      <c r="CJ6" s="437">
        <v>2368648.8969992241</v>
      </c>
      <c r="CK6" s="404">
        <v>-448670</v>
      </c>
      <c r="CL6" s="404"/>
      <c r="CM6" s="437">
        <v>548329.46750000003</v>
      </c>
      <c r="CO6" s="434">
        <v>2192505.7711044662</v>
      </c>
      <c r="CP6" s="437">
        <v>1999051.0483130058</v>
      </c>
      <c r="CQ6" s="437">
        <v>-725026.22129703558</v>
      </c>
      <c r="CR6" s="437">
        <v>278062.1912165492</v>
      </c>
      <c r="CS6" s="257"/>
    </row>
    <row r="7" spans="1:97" x14ac:dyDescent="0.2">
      <c r="A7" s="100">
        <v>18</v>
      </c>
      <c r="B7" s="100" t="s">
        <v>317</v>
      </c>
      <c r="C7" s="100">
        <v>4763</v>
      </c>
      <c r="D7" s="257"/>
      <c r="E7" s="257"/>
      <c r="F7" s="257"/>
      <c r="G7" s="257"/>
      <c r="H7" s="325"/>
      <c r="I7" s="257"/>
      <c r="J7" s="257"/>
      <c r="K7" s="257"/>
      <c r="L7" s="257"/>
      <c r="M7" s="257"/>
      <c r="N7" s="257"/>
      <c r="O7" s="257"/>
      <c r="P7" s="257"/>
      <c r="Q7" s="100">
        <v>244</v>
      </c>
      <c r="R7" s="100">
        <v>58</v>
      </c>
      <c r="S7" s="100">
        <v>401</v>
      </c>
      <c r="T7" s="100">
        <v>208</v>
      </c>
      <c r="U7" s="100">
        <v>3852</v>
      </c>
      <c r="V7" s="100"/>
      <c r="W7" s="100"/>
      <c r="X7" s="100"/>
      <c r="Y7" s="100"/>
      <c r="Z7" s="257"/>
      <c r="AA7" s="257"/>
      <c r="AB7" s="257"/>
      <c r="AC7" s="257"/>
      <c r="AD7" s="257"/>
      <c r="AE7" s="258">
        <v>0.75593301888703579</v>
      </c>
      <c r="AG7" s="441">
        <v>162.25</v>
      </c>
      <c r="AH7" s="443">
        <v>2411</v>
      </c>
      <c r="AJ7" s="88">
        <v>164</v>
      </c>
      <c r="AM7" s="88">
        <v>0</v>
      </c>
      <c r="AN7" s="88">
        <v>186</v>
      </c>
      <c r="AP7" s="88">
        <v>0</v>
      </c>
      <c r="AQ7" s="399">
        <v>0</v>
      </c>
      <c r="AR7" s="88">
        <v>212.44</v>
      </c>
      <c r="AU7" s="399">
        <v>219</v>
      </c>
      <c r="AV7" s="399">
        <v>1555</v>
      </c>
      <c r="AY7" s="88">
        <v>0</v>
      </c>
      <c r="AZ7" s="432">
        <v>1352</v>
      </c>
      <c r="BA7" s="440">
        <v>2198</v>
      </c>
      <c r="BC7" s="439">
        <v>0</v>
      </c>
      <c r="BD7" s="88">
        <v>0</v>
      </c>
      <c r="BE7" s="88">
        <v>0</v>
      </c>
      <c r="BF7" s="434">
        <v>-83519.604999999996</v>
      </c>
      <c r="BG7" s="100">
        <v>-93706.38</v>
      </c>
      <c r="BH7" s="257"/>
      <c r="BI7" s="100"/>
      <c r="BJ7" s="257"/>
      <c r="BK7" s="100"/>
      <c r="BL7" s="100"/>
      <c r="BM7" s="100"/>
      <c r="BN7" s="257"/>
      <c r="BO7" s="100"/>
      <c r="BP7" s="100">
        <v>390010</v>
      </c>
      <c r="BQ7" s="100">
        <v>130963</v>
      </c>
      <c r="BR7" s="100">
        <v>277568.86861187575</v>
      </c>
      <c r="BS7" s="100">
        <v>5685.5331348501413</v>
      </c>
      <c r="BT7" s="100">
        <v>18260.159979551037</v>
      </c>
      <c r="BU7" s="100">
        <v>78444.940512162895</v>
      </c>
      <c r="BV7" s="100">
        <v>268579.92814660154</v>
      </c>
      <c r="BW7" s="100">
        <v>394468.01675735629</v>
      </c>
      <c r="BX7" s="100">
        <v>106452.60858936342</v>
      </c>
      <c r="BY7" s="100">
        <v>194995.58547290025</v>
      </c>
      <c r="BZ7" s="257"/>
      <c r="CA7" s="100"/>
      <c r="CB7" s="257"/>
      <c r="CC7" s="257"/>
      <c r="CD7" s="257"/>
      <c r="CE7" s="100">
        <v>257965.48290369249</v>
      </c>
      <c r="CF7" s="100">
        <v>159699.93272014483</v>
      </c>
      <c r="CG7" s="100">
        <v>164960.4218772765</v>
      </c>
      <c r="CH7" s="100">
        <v>810544.9492311714</v>
      </c>
      <c r="CI7" s="257"/>
      <c r="CJ7" s="437">
        <v>1202177.5160080274</v>
      </c>
      <c r="CK7" s="404">
        <v>-127457</v>
      </c>
      <c r="CL7" s="404"/>
      <c r="CM7" s="437">
        <v>393162.14900000003</v>
      </c>
      <c r="CO7" s="434">
        <v>-456244.78357754328</v>
      </c>
      <c r="CP7" s="437">
        <v>-277510.64894222573</v>
      </c>
      <c r="CQ7" s="437">
        <v>-430908.39681030455</v>
      </c>
      <c r="CR7" s="437">
        <v>165262.06847572047</v>
      </c>
      <c r="CS7" s="257"/>
    </row>
    <row r="8" spans="1:97" x14ac:dyDescent="0.2">
      <c r="A8" s="100">
        <v>19</v>
      </c>
      <c r="B8" s="100" t="s">
        <v>318</v>
      </c>
      <c r="C8" s="100">
        <v>3965</v>
      </c>
      <c r="D8" s="257"/>
      <c r="E8" s="257"/>
      <c r="F8" s="257"/>
      <c r="G8" s="257"/>
      <c r="H8" s="325"/>
      <c r="I8" s="257"/>
      <c r="J8" s="257"/>
      <c r="K8" s="257"/>
      <c r="L8" s="257"/>
      <c r="M8" s="257"/>
      <c r="N8" s="257"/>
      <c r="O8" s="257"/>
      <c r="P8" s="257"/>
      <c r="Q8" s="100">
        <v>280</v>
      </c>
      <c r="R8" s="100">
        <v>42</v>
      </c>
      <c r="S8" s="100">
        <v>324</v>
      </c>
      <c r="T8" s="100">
        <v>146</v>
      </c>
      <c r="U8" s="100">
        <v>3173</v>
      </c>
      <c r="V8" s="100"/>
      <c r="W8" s="100"/>
      <c r="X8" s="100"/>
      <c r="Y8" s="100"/>
      <c r="Z8" s="257"/>
      <c r="AA8" s="257"/>
      <c r="AB8" s="257"/>
      <c r="AC8" s="257"/>
      <c r="AD8" s="257"/>
      <c r="AE8" s="258">
        <v>0.64565959137279516</v>
      </c>
      <c r="AG8" s="441">
        <v>104.91666666666667</v>
      </c>
      <c r="AH8" s="443">
        <v>1955</v>
      </c>
      <c r="AJ8" s="88">
        <v>101</v>
      </c>
      <c r="AM8" s="88">
        <v>0</v>
      </c>
      <c r="AN8" s="88">
        <v>25</v>
      </c>
      <c r="AP8" s="88">
        <v>0</v>
      </c>
      <c r="AQ8" s="399">
        <v>0</v>
      </c>
      <c r="AR8" s="88">
        <v>95.01</v>
      </c>
      <c r="AU8" s="399">
        <v>181</v>
      </c>
      <c r="AV8" s="399">
        <v>1288</v>
      </c>
      <c r="AY8" s="88">
        <v>0</v>
      </c>
      <c r="AZ8" s="432">
        <v>1165</v>
      </c>
      <c r="BA8" s="440">
        <v>1793</v>
      </c>
      <c r="BC8" s="439">
        <v>0.2</v>
      </c>
      <c r="BD8" s="88">
        <v>0</v>
      </c>
      <c r="BE8" s="88">
        <v>0</v>
      </c>
      <c r="BF8" s="434">
        <v>-109875.01</v>
      </c>
      <c r="BG8" s="100">
        <v>-76052.39</v>
      </c>
      <c r="BH8" s="257"/>
      <c r="BI8" s="100"/>
      <c r="BJ8" s="257"/>
      <c r="BK8" s="100"/>
      <c r="BL8" s="100"/>
      <c r="BM8" s="100"/>
      <c r="BN8" s="257"/>
      <c r="BO8" s="100"/>
      <c r="BP8" s="100">
        <v>304849</v>
      </c>
      <c r="BQ8" s="100">
        <v>99381</v>
      </c>
      <c r="BR8" s="100">
        <v>201671.6672826829</v>
      </c>
      <c r="BS8" s="100">
        <v>3174.9392171713553</v>
      </c>
      <c r="BT8" s="100">
        <v>16950.500800257825</v>
      </c>
      <c r="BU8" s="100">
        <v>78918.645847082007</v>
      </c>
      <c r="BV8" s="100">
        <v>205320.91818612782</v>
      </c>
      <c r="BW8" s="100">
        <v>357272.23991055088</v>
      </c>
      <c r="BX8" s="100">
        <v>93136.486716833999</v>
      </c>
      <c r="BY8" s="100">
        <v>166118.60393671633</v>
      </c>
      <c r="BZ8" s="257"/>
      <c r="CA8" s="100"/>
      <c r="CB8" s="257"/>
      <c r="CC8" s="257"/>
      <c r="CD8" s="257"/>
      <c r="CE8" s="100">
        <v>224982.56761189338</v>
      </c>
      <c r="CF8" s="100">
        <v>141266.33328408713</v>
      </c>
      <c r="CG8" s="100">
        <v>142400.07218985789</v>
      </c>
      <c r="CH8" s="100">
        <v>635350.01221102325</v>
      </c>
      <c r="CI8" s="257"/>
      <c r="CJ8" s="437">
        <v>1578060.6176425968</v>
      </c>
      <c r="CK8" s="404">
        <v>-973121</v>
      </c>
      <c r="CL8" s="404"/>
      <c r="CM8" s="437">
        <v>40279.949999999983</v>
      </c>
      <c r="CO8" s="434">
        <v>-363674.33562044165</v>
      </c>
      <c r="CP8" s="437">
        <v>-504090.2831676738</v>
      </c>
      <c r="CQ8" s="437">
        <v>-358713.37252841855</v>
      </c>
      <c r="CR8" s="437">
        <v>137573.81933786094</v>
      </c>
      <c r="CS8" s="257"/>
    </row>
    <row r="9" spans="1:97" x14ac:dyDescent="0.2">
      <c r="A9" s="100">
        <v>46</v>
      </c>
      <c r="B9" s="100" t="s">
        <v>319</v>
      </c>
      <c r="C9" s="100">
        <v>1341</v>
      </c>
      <c r="D9" s="257"/>
      <c r="E9" s="257"/>
      <c r="F9" s="257"/>
      <c r="G9" s="257"/>
      <c r="H9" s="325"/>
      <c r="I9" s="257"/>
      <c r="J9" s="257"/>
      <c r="K9" s="257"/>
      <c r="L9" s="257"/>
      <c r="M9" s="257"/>
      <c r="N9" s="257"/>
      <c r="O9" s="257"/>
      <c r="P9" s="257"/>
      <c r="Q9" s="100">
        <v>56</v>
      </c>
      <c r="R9" s="100">
        <v>13</v>
      </c>
      <c r="S9" s="100">
        <v>84</v>
      </c>
      <c r="T9" s="100">
        <v>27</v>
      </c>
      <c r="U9" s="100">
        <v>1161</v>
      </c>
      <c r="V9" s="100"/>
      <c r="W9" s="100"/>
      <c r="X9" s="100"/>
      <c r="Y9" s="100"/>
      <c r="Z9" s="257"/>
      <c r="AA9" s="257"/>
      <c r="AB9" s="257"/>
      <c r="AC9" s="257"/>
      <c r="AD9" s="257"/>
      <c r="AE9" s="258">
        <v>0.79312422308375707</v>
      </c>
      <c r="AG9" s="441">
        <v>49.5</v>
      </c>
      <c r="AH9" s="443">
        <v>546</v>
      </c>
      <c r="AJ9" s="88">
        <v>50</v>
      </c>
      <c r="AM9" s="88">
        <v>0</v>
      </c>
      <c r="AN9" s="88">
        <v>2</v>
      </c>
      <c r="AP9" s="88">
        <v>1</v>
      </c>
      <c r="AQ9" s="399">
        <v>0</v>
      </c>
      <c r="AR9" s="88">
        <v>305.58</v>
      </c>
      <c r="AU9" s="399">
        <v>46</v>
      </c>
      <c r="AV9" s="399">
        <v>315</v>
      </c>
      <c r="AY9" s="88">
        <v>1.2921</v>
      </c>
      <c r="AZ9" s="432">
        <v>380</v>
      </c>
      <c r="BA9" s="440">
        <v>466</v>
      </c>
      <c r="BC9" s="439">
        <v>0</v>
      </c>
      <c r="BD9" s="88">
        <v>0</v>
      </c>
      <c r="BE9" s="88">
        <v>0</v>
      </c>
      <c r="BF9" s="434">
        <v>-52194.39</v>
      </c>
      <c r="BG9" s="100">
        <v>-26298.49</v>
      </c>
      <c r="BH9" s="257"/>
      <c r="BI9" s="100"/>
      <c r="BJ9" s="257"/>
      <c r="BK9" s="100"/>
      <c r="BL9" s="100"/>
      <c r="BM9" s="100"/>
      <c r="BN9" s="257"/>
      <c r="BO9" s="100"/>
      <c r="BP9" s="100">
        <v>170795</v>
      </c>
      <c r="BQ9" s="100">
        <v>51004</v>
      </c>
      <c r="BR9" s="100">
        <v>132057.32919923117</v>
      </c>
      <c r="BS9" s="100">
        <v>6623.6324419357716</v>
      </c>
      <c r="BT9" s="100">
        <v>5672.3970182429675</v>
      </c>
      <c r="BU9" s="100">
        <v>61209.447183882701</v>
      </c>
      <c r="BV9" s="100">
        <v>88357.190793127505</v>
      </c>
      <c r="BW9" s="100">
        <v>132007.98019348277</v>
      </c>
      <c r="BX9" s="100">
        <v>36934.000312073003</v>
      </c>
      <c r="BY9" s="100">
        <v>69106.637919562403</v>
      </c>
      <c r="BZ9" s="257"/>
      <c r="CA9" s="100"/>
      <c r="CB9" s="257"/>
      <c r="CC9" s="257"/>
      <c r="CD9" s="257"/>
      <c r="CE9" s="100">
        <v>99245.466101418511</v>
      </c>
      <c r="CF9" s="100">
        <v>51260.450162341367</v>
      </c>
      <c r="CG9" s="100">
        <v>45809.394795116204</v>
      </c>
      <c r="CH9" s="100">
        <v>298198.75810749142</v>
      </c>
      <c r="CI9" s="257"/>
      <c r="CJ9" s="437">
        <v>557740.1019090804</v>
      </c>
      <c r="CK9" s="404">
        <v>-378389</v>
      </c>
      <c r="CL9" s="404"/>
      <c r="CM9" s="437">
        <v>292551.78500000003</v>
      </c>
      <c r="CO9" s="434">
        <v>386280.54903308325</v>
      </c>
      <c r="CP9" s="437">
        <v>291033.13751801522</v>
      </c>
      <c r="CQ9" s="437">
        <v>-121320.20997745504</v>
      </c>
      <c r="CR9" s="437">
        <v>46528.749491064693</v>
      </c>
      <c r="CS9" s="257"/>
    </row>
    <row r="10" spans="1:97" x14ac:dyDescent="0.2">
      <c r="A10" s="100">
        <v>47</v>
      </c>
      <c r="B10" s="100" t="s">
        <v>320</v>
      </c>
      <c r="C10" s="100">
        <v>1811</v>
      </c>
      <c r="D10" s="257"/>
      <c r="E10" s="257"/>
      <c r="F10" s="257"/>
      <c r="G10" s="257"/>
      <c r="H10" s="325"/>
      <c r="I10" s="257"/>
      <c r="J10" s="257"/>
      <c r="K10" s="257"/>
      <c r="L10" s="257"/>
      <c r="M10" s="257"/>
      <c r="N10" s="257"/>
      <c r="O10" s="257"/>
      <c r="P10" s="257"/>
      <c r="Q10" s="100">
        <v>57</v>
      </c>
      <c r="R10" s="100">
        <v>15</v>
      </c>
      <c r="S10" s="100">
        <v>102</v>
      </c>
      <c r="T10" s="100">
        <v>57</v>
      </c>
      <c r="U10" s="100">
        <v>1580</v>
      </c>
      <c r="V10" s="100"/>
      <c r="W10" s="100"/>
      <c r="X10" s="100"/>
      <c r="Y10" s="100"/>
      <c r="Z10" s="257"/>
      <c r="AA10" s="257"/>
      <c r="AB10" s="257"/>
      <c r="AC10" s="257"/>
      <c r="AD10" s="257"/>
      <c r="AE10" s="258">
        <v>0.61605131673313929</v>
      </c>
      <c r="AG10" s="441">
        <v>111.41666666666667</v>
      </c>
      <c r="AH10" s="443">
        <v>862</v>
      </c>
      <c r="AJ10" s="88">
        <v>60</v>
      </c>
      <c r="AM10" s="88">
        <v>0</v>
      </c>
      <c r="AN10" s="88">
        <v>15</v>
      </c>
      <c r="AP10" s="88">
        <v>0</v>
      </c>
      <c r="AQ10" s="399">
        <v>0</v>
      </c>
      <c r="AR10" s="88">
        <v>7953.42</v>
      </c>
      <c r="AU10" s="399">
        <v>74</v>
      </c>
      <c r="AV10" s="399">
        <v>539</v>
      </c>
      <c r="AY10" s="88">
        <v>1.9494500000000001</v>
      </c>
      <c r="AZ10" s="432">
        <v>643</v>
      </c>
      <c r="BA10" s="440">
        <v>741</v>
      </c>
      <c r="BC10" s="439">
        <v>0</v>
      </c>
      <c r="BD10" s="88">
        <v>1</v>
      </c>
      <c r="BE10" s="88">
        <v>182</v>
      </c>
      <c r="BF10" s="434">
        <v>-42339.05</v>
      </c>
      <c r="BG10" s="100">
        <v>-34731.68</v>
      </c>
      <c r="BH10" s="257"/>
      <c r="BI10" s="100"/>
      <c r="BJ10" s="257"/>
      <c r="BK10" s="100"/>
      <c r="BL10" s="100"/>
      <c r="BM10" s="100"/>
      <c r="BN10" s="257"/>
      <c r="BO10" s="100"/>
      <c r="BP10" s="100">
        <v>173397</v>
      </c>
      <c r="BQ10" s="100">
        <v>59946</v>
      </c>
      <c r="BR10" s="100">
        <v>172394.94870718927</v>
      </c>
      <c r="BS10" s="100">
        <v>9669.3629249829883</v>
      </c>
      <c r="BT10" s="100">
        <v>17796.731132926219</v>
      </c>
      <c r="BU10" s="100">
        <v>66470.258459410979</v>
      </c>
      <c r="BV10" s="100">
        <v>120347.25272450408</v>
      </c>
      <c r="BW10" s="100">
        <v>149976.14331376436</v>
      </c>
      <c r="BX10" s="100">
        <v>66511.291980302587</v>
      </c>
      <c r="BY10" s="100">
        <v>106033.8413544209</v>
      </c>
      <c r="BZ10" s="257"/>
      <c r="CA10" s="100"/>
      <c r="CB10" s="257"/>
      <c r="CC10" s="257"/>
      <c r="CD10" s="257"/>
      <c r="CE10" s="100">
        <v>134198.86573402371</v>
      </c>
      <c r="CF10" s="100">
        <v>74342.400905223913</v>
      </c>
      <c r="CG10" s="100">
        <v>77409.016853123612</v>
      </c>
      <c r="CH10" s="100">
        <v>388828.50457805779</v>
      </c>
      <c r="CI10" s="257"/>
      <c r="CJ10" s="437">
        <v>492549.8208036701</v>
      </c>
      <c r="CK10" s="404">
        <v>-18014</v>
      </c>
      <c r="CL10" s="404"/>
      <c r="CM10" s="437">
        <v>-50722.9</v>
      </c>
      <c r="CO10" s="434">
        <v>-128150.09762661636</v>
      </c>
      <c r="CP10" s="437">
        <v>575797.05134395172</v>
      </c>
      <c r="CQ10" s="437">
        <v>-163841.0889404706</v>
      </c>
      <c r="CR10" s="437">
        <v>62836.364898074695</v>
      </c>
      <c r="CS10" s="257"/>
    </row>
    <row r="11" spans="1:97" x14ac:dyDescent="0.2">
      <c r="A11" s="100">
        <v>49</v>
      </c>
      <c r="B11" s="100" t="s">
        <v>321</v>
      </c>
      <c r="C11" s="100">
        <v>305274</v>
      </c>
      <c r="D11" s="257"/>
      <c r="E11" s="257"/>
      <c r="F11" s="257"/>
      <c r="G11" s="257"/>
      <c r="H11" s="325"/>
      <c r="I11" s="257"/>
      <c r="J11" s="257"/>
      <c r="K11" s="257"/>
      <c r="L11" s="257"/>
      <c r="M11" s="257"/>
      <c r="N11" s="257"/>
      <c r="O11" s="257"/>
      <c r="P11" s="257"/>
      <c r="Q11" s="100">
        <v>20225</v>
      </c>
      <c r="R11" s="100">
        <v>3656</v>
      </c>
      <c r="S11" s="100">
        <v>23651</v>
      </c>
      <c r="T11" s="100">
        <v>11565</v>
      </c>
      <c r="U11" s="100">
        <v>246177</v>
      </c>
      <c r="V11" s="100"/>
      <c r="W11" s="100"/>
      <c r="X11" s="100"/>
      <c r="Y11" s="100"/>
      <c r="Z11" s="257"/>
      <c r="AA11" s="257"/>
      <c r="AB11" s="257"/>
      <c r="AC11" s="257"/>
      <c r="AD11" s="257"/>
      <c r="AE11" s="258">
        <v>1.0652800940004012</v>
      </c>
      <c r="AG11" s="441">
        <v>12892.75</v>
      </c>
      <c r="AH11" s="443">
        <v>150575</v>
      </c>
      <c r="AJ11" s="88">
        <v>66730</v>
      </c>
      <c r="AM11" s="88">
        <v>1</v>
      </c>
      <c r="AN11" s="88">
        <v>20136</v>
      </c>
      <c r="AP11" s="88">
        <v>3</v>
      </c>
      <c r="AQ11" s="399">
        <v>632</v>
      </c>
      <c r="AR11" s="88">
        <v>312.35000000000002</v>
      </c>
      <c r="AU11" s="399">
        <v>20729</v>
      </c>
      <c r="AV11" s="399">
        <v>112425</v>
      </c>
      <c r="AY11" s="88">
        <v>0</v>
      </c>
      <c r="AZ11" s="432">
        <v>129657</v>
      </c>
      <c r="BA11" s="440">
        <v>140042</v>
      </c>
      <c r="BC11" s="439">
        <v>1.76</v>
      </c>
      <c r="BD11" s="88">
        <v>0</v>
      </c>
      <c r="BE11" s="88">
        <v>16</v>
      </c>
      <c r="BF11" s="434">
        <v>-21772122.239349999</v>
      </c>
      <c r="BG11" s="100">
        <v>-5624611.1600000001</v>
      </c>
      <c r="BH11" s="257"/>
      <c r="BI11" s="100"/>
      <c r="BJ11" s="257"/>
      <c r="BK11" s="100"/>
      <c r="BL11" s="100"/>
      <c r="BM11" s="100"/>
      <c r="BN11" s="257"/>
      <c r="BO11" s="100"/>
      <c r="BP11" s="100">
        <v>12227998</v>
      </c>
      <c r="BQ11" s="100">
        <v>4741059</v>
      </c>
      <c r="BR11" s="100">
        <v>9930861.5407071169</v>
      </c>
      <c r="BS11" s="100">
        <v>158476.05074123334</v>
      </c>
      <c r="BT11" s="100">
        <v>-3216643.8105507209</v>
      </c>
      <c r="BU11" s="100">
        <v>3590217.8977544284</v>
      </c>
      <c r="BV11" s="100">
        <v>10354449.592781734</v>
      </c>
      <c r="BW11" s="100">
        <v>14030211.993497528</v>
      </c>
      <c r="BX11" s="100">
        <v>5368588.6363894185</v>
      </c>
      <c r="BY11" s="100">
        <v>8687348.3061443325</v>
      </c>
      <c r="BZ11" s="257"/>
      <c r="CA11" s="100"/>
      <c r="CB11" s="257"/>
      <c r="CC11" s="257"/>
      <c r="CD11" s="257"/>
      <c r="CE11" s="100">
        <v>12313128.11738625</v>
      </c>
      <c r="CF11" s="100">
        <v>7930571.9403886963</v>
      </c>
      <c r="CG11" s="100">
        <v>7553945.7048655963</v>
      </c>
      <c r="CH11" s="100">
        <v>30849901.272778347</v>
      </c>
      <c r="CI11" s="257"/>
      <c r="CJ11" s="437">
        <v>-24543140.663064256</v>
      </c>
      <c r="CK11" s="404">
        <v>-5611271</v>
      </c>
      <c r="CL11" s="404"/>
      <c r="CM11" s="437">
        <v>-14808746.087350003</v>
      </c>
      <c r="CO11" s="434">
        <v>116356663.43116146</v>
      </c>
      <c r="CP11" s="437">
        <v>45333897.028711274</v>
      </c>
      <c r="CQ11" s="437">
        <v>-27618125.116075773</v>
      </c>
      <c r="CR11" s="437">
        <v>10592108.48033951</v>
      </c>
      <c r="CS11" s="257"/>
    </row>
    <row r="12" spans="1:97" x14ac:dyDescent="0.2">
      <c r="A12" s="100">
        <v>50</v>
      </c>
      <c r="B12" s="100" t="s">
        <v>322</v>
      </c>
      <c r="C12" s="100">
        <v>11276</v>
      </c>
      <c r="D12" s="257"/>
      <c r="E12" s="257"/>
      <c r="F12" s="257"/>
      <c r="G12" s="257"/>
      <c r="H12" s="325"/>
      <c r="I12" s="257"/>
      <c r="J12" s="257"/>
      <c r="K12" s="257"/>
      <c r="L12" s="257"/>
      <c r="M12" s="257"/>
      <c r="N12" s="257"/>
      <c r="O12" s="257"/>
      <c r="P12" s="257"/>
      <c r="Q12" s="100">
        <v>497</v>
      </c>
      <c r="R12" s="100">
        <v>136</v>
      </c>
      <c r="S12" s="100">
        <v>748</v>
      </c>
      <c r="T12" s="100">
        <v>390</v>
      </c>
      <c r="U12" s="100">
        <v>9505</v>
      </c>
      <c r="V12" s="100"/>
      <c r="W12" s="100"/>
      <c r="X12" s="100"/>
      <c r="Y12" s="100"/>
      <c r="Z12" s="257"/>
      <c r="AA12" s="257"/>
      <c r="AB12" s="257"/>
      <c r="AC12" s="257"/>
      <c r="AD12" s="257"/>
      <c r="AE12" s="258">
        <v>0.63096672413480226</v>
      </c>
      <c r="AG12" s="441">
        <v>331.91666666666669</v>
      </c>
      <c r="AH12" s="443">
        <v>5165</v>
      </c>
      <c r="AJ12" s="88">
        <v>446</v>
      </c>
      <c r="AM12" s="88">
        <v>0</v>
      </c>
      <c r="AN12" s="88">
        <v>21</v>
      </c>
      <c r="AP12" s="88">
        <v>0</v>
      </c>
      <c r="AQ12" s="399">
        <v>0</v>
      </c>
      <c r="AR12" s="88">
        <v>578.88</v>
      </c>
      <c r="AU12" s="399">
        <v>530</v>
      </c>
      <c r="AV12" s="399">
        <v>3231</v>
      </c>
      <c r="AY12" s="88">
        <v>0</v>
      </c>
      <c r="AZ12" s="432">
        <v>4011</v>
      </c>
      <c r="BA12" s="440">
        <v>4732</v>
      </c>
      <c r="BC12" s="439">
        <v>0</v>
      </c>
      <c r="BD12" s="88">
        <v>0</v>
      </c>
      <c r="BE12" s="88">
        <v>0</v>
      </c>
      <c r="BF12" s="434">
        <v>-232281.91500000001</v>
      </c>
      <c r="BG12" s="100">
        <v>-220588.43000000002</v>
      </c>
      <c r="BH12" s="257"/>
      <c r="BI12" s="100"/>
      <c r="BJ12" s="257"/>
      <c r="BK12" s="100"/>
      <c r="BL12" s="100"/>
      <c r="BM12" s="100"/>
      <c r="BN12" s="257"/>
      <c r="BO12" s="100"/>
      <c r="BP12" s="100">
        <v>930471</v>
      </c>
      <c r="BQ12" s="100">
        <v>326226</v>
      </c>
      <c r="BR12" s="100">
        <v>755979.69918184658</v>
      </c>
      <c r="BS12" s="100">
        <v>35805.378420700079</v>
      </c>
      <c r="BT12" s="100">
        <v>118088.13599981995</v>
      </c>
      <c r="BU12" s="100">
        <v>359583.83389071794</v>
      </c>
      <c r="BV12" s="100">
        <v>592840.14091513911</v>
      </c>
      <c r="BW12" s="100">
        <v>1045132.1657653033</v>
      </c>
      <c r="BX12" s="100">
        <v>278567.27786175744</v>
      </c>
      <c r="BY12" s="100">
        <v>485946.37589173508</v>
      </c>
      <c r="BZ12" s="257"/>
      <c r="CA12" s="100"/>
      <c r="CB12" s="257"/>
      <c r="CC12" s="257"/>
      <c r="CD12" s="257"/>
      <c r="CE12" s="100">
        <v>624197.38728321716</v>
      </c>
      <c r="CF12" s="100">
        <v>381138.54144046252</v>
      </c>
      <c r="CG12" s="100">
        <v>380383.598102558</v>
      </c>
      <c r="CH12" s="100">
        <v>2048835.1354750555</v>
      </c>
      <c r="CI12" s="257"/>
      <c r="CJ12" s="437">
        <v>3606541.4339591502</v>
      </c>
      <c r="CK12" s="404">
        <v>-890316</v>
      </c>
      <c r="CL12" s="404"/>
      <c r="CM12" s="437">
        <v>198416.04999999996</v>
      </c>
      <c r="CO12" s="434">
        <v>-903367.0680322363</v>
      </c>
      <c r="CP12" s="437">
        <v>-481369.68432328844</v>
      </c>
      <c r="CQ12" s="437">
        <v>-1020139.2152914117</v>
      </c>
      <c r="CR12" s="437">
        <v>391243.98155201005</v>
      </c>
      <c r="CS12" s="257"/>
    </row>
    <row r="13" spans="1:97" x14ac:dyDescent="0.2">
      <c r="A13" s="100">
        <v>51</v>
      </c>
      <c r="B13" s="100" t="s">
        <v>323</v>
      </c>
      <c r="C13" s="100">
        <v>9211</v>
      </c>
      <c r="D13" s="257"/>
      <c r="E13" s="257"/>
      <c r="F13" s="257"/>
      <c r="G13" s="257"/>
      <c r="H13" s="325"/>
      <c r="I13" s="257"/>
      <c r="J13" s="257"/>
      <c r="K13" s="257"/>
      <c r="L13" s="257"/>
      <c r="M13" s="257"/>
      <c r="N13" s="257"/>
      <c r="O13" s="257"/>
      <c r="P13" s="257"/>
      <c r="Q13" s="100">
        <v>459</v>
      </c>
      <c r="R13" s="100">
        <v>102</v>
      </c>
      <c r="S13" s="100">
        <v>662</v>
      </c>
      <c r="T13" s="100">
        <v>394</v>
      </c>
      <c r="U13" s="100">
        <v>7594</v>
      </c>
      <c r="V13" s="100"/>
      <c r="W13" s="100"/>
      <c r="X13" s="100"/>
      <c r="Y13" s="100"/>
      <c r="Z13" s="257"/>
      <c r="AA13" s="257"/>
      <c r="AB13" s="257"/>
      <c r="AC13" s="257"/>
      <c r="AD13" s="257"/>
      <c r="AE13" s="258">
        <v>0.91886583416128098</v>
      </c>
      <c r="AG13" s="441">
        <v>255.25</v>
      </c>
      <c r="AH13" s="443">
        <v>4248</v>
      </c>
      <c r="AJ13" s="88">
        <v>314</v>
      </c>
      <c r="AM13" s="88">
        <v>0</v>
      </c>
      <c r="AN13" s="88">
        <v>29</v>
      </c>
      <c r="AP13" s="88">
        <v>0</v>
      </c>
      <c r="AQ13" s="399">
        <v>0</v>
      </c>
      <c r="AR13" s="88">
        <v>514.99</v>
      </c>
      <c r="AU13" s="399">
        <v>369</v>
      </c>
      <c r="AV13" s="399">
        <v>2818</v>
      </c>
      <c r="AY13" s="88">
        <v>0</v>
      </c>
      <c r="AZ13" s="432">
        <v>3833</v>
      </c>
      <c r="BA13" s="440">
        <v>3885</v>
      </c>
      <c r="BC13" s="439">
        <v>0</v>
      </c>
      <c r="BD13" s="88">
        <v>0</v>
      </c>
      <c r="BE13" s="88">
        <v>0</v>
      </c>
      <c r="BF13" s="434">
        <v>-161363.73000000001</v>
      </c>
      <c r="BG13" s="100">
        <v>-181572.92</v>
      </c>
      <c r="BH13" s="257"/>
      <c r="BI13" s="100"/>
      <c r="BJ13" s="257"/>
      <c r="BK13" s="100"/>
      <c r="BL13" s="100"/>
      <c r="BM13" s="100"/>
      <c r="BN13" s="257"/>
      <c r="BO13" s="100"/>
      <c r="BP13" s="100">
        <v>825213</v>
      </c>
      <c r="BQ13" s="100">
        <v>332930</v>
      </c>
      <c r="BR13" s="100">
        <v>852349.38387434487</v>
      </c>
      <c r="BS13" s="100">
        <v>38149.057097675279</v>
      </c>
      <c r="BT13" s="100">
        <v>81094.721681168565</v>
      </c>
      <c r="BU13" s="100">
        <v>261660.24010085664</v>
      </c>
      <c r="BV13" s="100">
        <v>497056.58265767223</v>
      </c>
      <c r="BW13" s="100">
        <v>700972.90430789872</v>
      </c>
      <c r="BX13" s="100">
        <v>275408.68621278135</v>
      </c>
      <c r="BY13" s="100">
        <v>436241.25232088531</v>
      </c>
      <c r="BZ13" s="257"/>
      <c r="CA13" s="100"/>
      <c r="CB13" s="257"/>
      <c r="CC13" s="257"/>
      <c r="CD13" s="257"/>
      <c r="CE13" s="100">
        <v>594485.72247653292</v>
      </c>
      <c r="CF13" s="100">
        <v>300086.711958742</v>
      </c>
      <c r="CG13" s="100">
        <v>370571.31240835798</v>
      </c>
      <c r="CH13" s="100">
        <v>1783372.0840898198</v>
      </c>
      <c r="CI13" s="257"/>
      <c r="CJ13" s="437">
        <v>-172948.8332569873</v>
      </c>
      <c r="CK13" s="404">
        <v>-754153</v>
      </c>
      <c r="CL13" s="404"/>
      <c r="CM13" s="437">
        <v>-140114.55199999997</v>
      </c>
      <c r="CO13" s="434">
        <v>-4095494.1901258212</v>
      </c>
      <c r="CP13" s="434">
        <v>-4459592.3990222514</v>
      </c>
      <c r="CQ13" s="434">
        <v>-833318.7577198646</v>
      </c>
      <c r="CR13" s="434">
        <v>319594.56492333848</v>
      </c>
      <c r="CS13" s="257"/>
    </row>
    <row r="14" spans="1:97" x14ac:dyDescent="0.2">
      <c r="A14" s="100">
        <v>52</v>
      </c>
      <c r="B14" s="100" t="s">
        <v>324</v>
      </c>
      <c r="C14" s="100">
        <v>2346</v>
      </c>
      <c r="D14" s="257"/>
      <c r="E14" s="257"/>
      <c r="F14" s="257"/>
      <c r="G14" s="257"/>
      <c r="H14" s="325"/>
      <c r="I14" s="257"/>
      <c r="J14" s="257"/>
      <c r="K14" s="257"/>
      <c r="L14" s="257"/>
      <c r="M14" s="257"/>
      <c r="N14" s="257"/>
      <c r="O14" s="257"/>
      <c r="P14" s="257"/>
      <c r="Q14" s="100">
        <v>122</v>
      </c>
      <c r="R14" s="100">
        <v>23</v>
      </c>
      <c r="S14" s="100">
        <v>174</v>
      </c>
      <c r="T14" s="100">
        <v>88</v>
      </c>
      <c r="U14" s="100">
        <v>1939</v>
      </c>
      <c r="V14" s="100"/>
      <c r="W14" s="100"/>
      <c r="X14" s="100"/>
      <c r="Y14" s="100"/>
      <c r="Z14" s="257"/>
      <c r="AA14" s="257"/>
      <c r="AB14" s="257"/>
      <c r="AC14" s="257"/>
      <c r="AD14" s="257"/>
      <c r="AE14" s="258">
        <v>0.78314747200910306</v>
      </c>
      <c r="AG14" s="441">
        <v>46.583333333333336</v>
      </c>
      <c r="AH14" s="443">
        <v>1013</v>
      </c>
      <c r="AJ14" s="88">
        <v>93</v>
      </c>
      <c r="AM14" s="88">
        <v>0</v>
      </c>
      <c r="AN14" s="88">
        <v>46</v>
      </c>
      <c r="AP14" s="88">
        <v>0</v>
      </c>
      <c r="AQ14" s="399">
        <v>0</v>
      </c>
      <c r="AR14" s="88">
        <v>354.15</v>
      </c>
      <c r="AU14" s="399">
        <v>84</v>
      </c>
      <c r="AV14" s="399">
        <v>653</v>
      </c>
      <c r="AY14" s="88">
        <v>0.77395000000000003</v>
      </c>
      <c r="AZ14" s="432">
        <v>822</v>
      </c>
      <c r="BA14" s="440">
        <v>952</v>
      </c>
      <c r="BC14" s="439">
        <v>0</v>
      </c>
      <c r="BD14" s="88">
        <v>0</v>
      </c>
      <c r="BE14" s="88">
        <v>0</v>
      </c>
      <c r="BF14" s="434">
        <v>-33506.92</v>
      </c>
      <c r="BG14" s="100">
        <v>-46257.68</v>
      </c>
      <c r="BH14" s="257"/>
      <c r="BI14" s="100"/>
      <c r="BJ14" s="257"/>
      <c r="BK14" s="100"/>
      <c r="BL14" s="100"/>
      <c r="BM14" s="100"/>
      <c r="BN14" s="257"/>
      <c r="BO14" s="100"/>
      <c r="BP14" s="100">
        <v>268330</v>
      </c>
      <c r="BQ14" s="100">
        <v>90507</v>
      </c>
      <c r="BR14" s="100">
        <v>236019.70943163981</v>
      </c>
      <c r="BS14" s="100">
        <v>12785.587300546524</v>
      </c>
      <c r="BT14" s="100">
        <v>13972.667475937424</v>
      </c>
      <c r="BU14" s="100">
        <v>91029.97670731465</v>
      </c>
      <c r="BV14" s="100">
        <v>159125.99451754062</v>
      </c>
      <c r="BW14" s="100">
        <v>262773.80227346922</v>
      </c>
      <c r="BX14" s="100">
        <v>75899.244029665453</v>
      </c>
      <c r="BY14" s="100">
        <v>127170.54683329606</v>
      </c>
      <c r="BZ14" s="257"/>
      <c r="CA14" s="100"/>
      <c r="CB14" s="257"/>
      <c r="CC14" s="257"/>
      <c r="CD14" s="257"/>
      <c r="CE14" s="100">
        <v>179164.50400443864</v>
      </c>
      <c r="CF14" s="100">
        <v>98257.606979727556</v>
      </c>
      <c r="CG14" s="100">
        <v>98230.694777270488</v>
      </c>
      <c r="CH14" s="100">
        <v>546078.89423253492</v>
      </c>
      <c r="CI14" s="257"/>
      <c r="CJ14" s="437">
        <v>1220596.9903446012</v>
      </c>
      <c r="CK14" s="404">
        <v>249479</v>
      </c>
      <c r="CL14" s="404"/>
      <c r="CM14" s="437">
        <v>19394.050000000003</v>
      </c>
      <c r="CO14" s="434">
        <v>435594.01967066969</v>
      </c>
      <c r="CP14" s="437">
        <v>147543.38829195814</v>
      </c>
      <c r="CQ14" s="437">
        <v>-212242.51499411598</v>
      </c>
      <c r="CR14" s="437">
        <v>81399.288818820118</v>
      </c>
      <c r="CS14" s="257"/>
    </row>
    <row r="15" spans="1:97" x14ac:dyDescent="0.2">
      <c r="A15" s="100">
        <v>61</v>
      </c>
      <c r="B15" s="100" t="s">
        <v>325</v>
      </c>
      <c r="C15" s="100">
        <v>16459</v>
      </c>
      <c r="D15" s="257"/>
      <c r="E15" s="257"/>
      <c r="F15" s="257"/>
      <c r="G15" s="257"/>
      <c r="H15" s="325"/>
      <c r="I15" s="257"/>
      <c r="J15" s="257"/>
      <c r="K15" s="257"/>
      <c r="L15" s="257"/>
      <c r="M15" s="257"/>
      <c r="N15" s="257"/>
      <c r="O15" s="257"/>
      <c r="P15" s="257"/>
      <c r="Q15" s="100">
        <v>620</v>
      </c>
      <c r="R15" s="100">
        <v>124</v>
      </c>
      <c r="S15" s="100">
        <v>793</v>
      </c>
      <c r="T15" s="100">
        <v>504</v>
      </c>
      <c r="U15" s="100">
        <v>14418</v>
      </c>
      <c r="V15" s="100"/>
      <c r="W15" s="100"/>
      <c r="X15" s="100"/>
      <c r="Y15" s="100"/>
      <c r="Z15" s="257"/>
      <c r="AA15" s="257"/>
      <c r="AB15" s="257"/>
      <c r="AC15" s="257"/>
      <c r="AD15" s="257"/>
      <c r="AE15" s="258">
        <v>0.85528391558196748</v>
      </c>
      <c r="AG15" s="441">
        <v>715.75</v>
      </c>
      <c r="AH15" s="443">
        <v>7069</v>
      </c>
      <c r="AJ15" s="88">
        <v>1040</v>
      </c>
      <c r="AM15" s="88">
        <v>0</v>
      </c>
      <c r="AN15" s="88">
        <v>49</v>
      </c>
      <c r="AP15" s="88">
        <v>0</v>
      </c>
      <c r="AQ15" s="399">
        <v>0</v>
      </c>
      <c r="AR15" s="88">
        <v>248.84</v>
      </c>
      <c r="AU15" s="399">
        <v>859</v>
      </c>
      <c r="AV15" s="399">
        <v>4422</v>
      </c>
      <c r="AY15" s="88">
        <v>0</v>
      </c>
      <c r="AZ15" s="432">
        <v>7918</v>
      </c>
      <c r="BA15" s="440">
        <v>6224</v>
      </c>
      <c r="BC15" s="439">
        <v>0</v>
      </c>
      <c r="BD15" s="88">
        <v>0</v>
      </c>
      <c r="BE15" s="88">
        <v>0</v>
      </c>
      <c r="BF15" s="434">
        <v>-1147912.4750000001</v>
      </c>
      <c r="BG15" s="100">
        <v>-322728</v>
      </c>
      <c r="BH15" s="257"/>
      <c r="BI15" s="100"/>
      <c r="BJ15" s="257"/>
      <c r="BK15" s="100"/>
      <c r="BL15" s="100"/>
      <c r="BM15" s="100"/>
      <c r="BN15" s="257"/>
      <c r="BO15" s="100"/>
      <c r="BP15" s="100">
        <v>1410670</v>
      </c>
      <c r="BQ15" s="100">
        <v>454609</v>
      </c>
      <c r="BR15" s="100">
        <v>1074037.5054858311</v>
      </c>
      <c r="BS15" s="100">
        <v>51148.733290947057</v>
      </c>
      <c r="BT15" s="100">
        <v>150656.35952867911</v>
      </c>
      <c r="BU15" s="100">
        <v>556585.70542332984</v>
      </c>
      <c r="BV15" s="100">
        <v>915212.89595261158</v>
      </c>
      <c r="BW15" s="100">
        <v>1382738.1902656096</v>
      </c>
      <c r="BX15" s="100">
        <v>451111.42767178488</v>
      </c>
      <c r="BY15" s="100">
        <v>771945.66948383301</v>
      </c>
      <c r="BZ15" s="257"/>
      <c r="CA15" s="100"/>
      <c r="CB15" s="257"/>
      <c r="CC15" s="257"/>
      <c r="CD15" s="257"/>
      <c r="CE15" s="100">
        <v>964068.33568610845</v>
      </c>
      <c r="CF15" s="100">
        <v>573716.44538628263</v>
      </c>
      <c r="CG15" s="100">
        <v>591028.18060480023</v>
      </c>
      <c r="CH15" s="100">
        <v>3027628.6186531498</v>
      </c>
      <c r="CI15" s="257"/>
      <c r="CJ15" s="437">
        <v>5522321.8735863203</v>
      </c>
      <c r="CK15" s="404">
        <v>1276797</v>
      </c>
      <c r="CL15" s="404"/>
      <c r="CM15" s="437">
        <v>209246.88100000017</v>
      </c>
      <c r="CO15" s="434">
        <v>677835.01980745117</v>
      </c>
      <c r="CP15" s="437">
        <v>1238470.3747545516</v>
      </c>
      <c r="CQ15" s="437">
        <v>-1489044.993302709</v>
      </c>
      <c r="CR15" s="437">
        <v>571078.81273186707</v>
      </c>
      <c r="CS15" s="257"/>
    </row>
    <row r="16" spans="1:97" x14ac:dyDescent="0.2">
      <c r="A16" s="100">
        <v>69</v>
      </c>
      <c r="B16" s="100" t="s">
        <v>326</v>
      </c>
      <c r="C16" s="100">
        <v>6687</v>
      </c>
      <c r="D16" s="257"/>
      <c r="E16" s="257"/>
      <c r="F16" s="257"/>
      <c r="G16" s="257"/>
      <c r="H16" s="325"/>
      <c r="I16" s="257"/>
      <c r="J16" s="257"/>
      <c r="K16" s="257"/>
      <c r="L16" s="257"/>
      <c r="M16" s="257"/>
      <c r="N16" s="257"/>
      <c r="O16" s="257"/>
      <c r="P16" s="257"/>
      <c r="Q16" s="100">
        <v>381</v>
      </c>
      <c r="R16" s="100">
        <v>78</v>
      </c>
      <c r="S16" s="100">
        <v>500</v>
      </c>
      <c r="T16" s="100">
        <v>287</v>
      </c>
      <c r="U16" s="100">
        <v>5441</v>
      </c>
      <c r="V16" s="100"/>
      <c r="W16" s="100"/>
      <c r="X16" s="100"/>
      <c r="Y16" s="100"/>
      <c r="Z16" s="257"/>
      <c r="AA16" s="257"/>
      <c r="AB16" s="257"/>
      <c r="AC16" s="257"/>
      <c r="AD16" s="257"/>
      <c r="AE16" s="258">
        <v>0.85758809487709364</v>
      </c>
      <c r="AG16" s="441">
        <v>220.16666666666666</v>
      </c>
      <c r="AH16" s="443">
        <v>2909</v>
      </c>
      <c r="AJ16" s="88">
        <v>122</v>
      </c>
      <c r="AM16" s="88">
        <v>0</v>
      </c>
      <c r="AN16" s="88">
        <v>4</v>
      </c>
      <c r="AP16" s="88">
        <v>0</v>
      </c>
      <c r="AQ16" s="399">
        <v>0</v>
      </c>
      <c r="AR16" s="88">
        <v>766.45</v>
      </c>
      <c r="AU16" s="399">
        <v>236</v>
      </c>
      <c r="AV16" s="399">
        <v>1731</v>
      </c>
      <c r="AY16" s="88">
        <v>0.78915000000000002</v>
      </c>
      <c r="AZ16" s="432">
        <v>2716</v>
      </c>
      <c r="BA16" s="440">
        <v>2638</v>
      </c>
      <c r="BC16" s="439">
        <v>0</v>
      </c>
      <c r="BD16" s="88">
        <v>0</v>
      </c>
      <c r="BE16" s="88">
        <v>0</v>
      </c>
      <c r="BF16" s="434">
        <v>-182621.70250000001</v>
      </c>
      <c r="BG16" s="100">
        <v>-132472.16</v>
      </c>
      <c r="BH16" s="257"/>
      <c r="BI16" s="100"/>
      <c r="BJ16" s="257"/>
      <c r="BK16" s="100"/>
      <c r="BL16" s="100"/>
      <c r="BM16" s="100"/>
      <c r="BN16" s="257"/>
      <c r="BO16" s="100"/>
      <c r="BP16" s="100">
        <v>673244</v>
      </c>
      <c r="BQ16" s="100">
        <v>206380</v>
      </c>
      <c r="BR16" s="100">
        <v>508460.57217527012</v>
      </c>
      <c r="BS16" s="100">
        <v>25606.347000850088</v>
      </c>
      <c r="BT16" s="100">
        <v>17551.090417277032</v>
      </c>
      <c r="BU16" s="100">
        <v>266734.25175784319</v>
      </c>
      <c r="BV16" s="100">
        <v>405559.0589041466</v>
      </c>
      <c r="BW16" s="100">
        <v>652159.70367587113</v>
      </c>
      <c r="BX16" s="100">
        <v>173760.49404454909</v>
      </c>
      <c r="BY16" s="100">
        <v>335303.73636287078</v>
      </c>
      <c r="BZ16" s="257"/>
      <c r="CA16" s="100"/>
      <c r="CB16" s="257"/>
      <c r="CC16" s="257"/>
      <c r="CD16" s="257"/>
      <c r="CE16" s="100">
        <v>468130.4467721238</v>
      </c>
      <c r="CF16" s="100">
        <v>254387.78599422338</v>
      </c>
      <c r="CG16" s="100">
        <v>254131.6329499706</v>
      </c>
      <c r="CH16" s="100">
        <v>1360710.0577640531</v>
      </c>
      <c r="CI16" s="257"/>
      <c r="CJ16" s="437">
        <v>3728067.2994639766</v>
      </c>
      <c r="CK16" s="404">
        <v>499610</v>
      </c>
      <c r="CL16" s="404"/>
      <c r="CM16" s="437">
        <v>67774.745500000019</v>
      </c>
      <c r="CO16" s="434">
        <v>-1820380.5706583743</v>
      </c>
      <c r="CP16" s="437">
        <v>-1862664.3574852932</v>
      </c>
      <c r="CQ16" s="437">
        <v>-604972.59069294692</v>
      </c>
      <c r="CR16" s="437">
        <v>232019.20048228904</v>
      </c>
      <c r="CS16" s="257"/>
    </row>
    <row r="17" spans="1:97" x14ac:dyDescent="0.2">
      <c r="A17" s="100">
        <v>71</v>
      </c>
      <c r="B17" s="100" t="s">
        <v>327</v>
      </c>
      <c r="C17" s="100">
        <v>6591</v>
      </c>
      <c r="D17" s="257"/>
      <c r="E17" s="257"/>
      <c r="F17" s="257"/>
      <c r="G17" s="257"/>
      <c r="H17" s="325"/>
      <c r="I17" s="257"/>
      <c r="J17" s="257"/>
      <c r="K17" s="257"/>
      <c r="L17" s="257"/>
      <c r="M17" s="257"/>
      <c r="N17" s="257"/>
      <c r="O17" s="257"/>
      <c r="P17" s="257"/>
      <c r="Q17" s="100">
        <v>400</v>
      </c>
      <c r="R17" s="100">
        <v>87</v>
      </c>
      <c r="S17" s="100">
        <v>587</v>
      </c>
      <c r="T17" s="100">
        <v>291</v>
      </c>
      <c r="U17" s="100">
        <v>5226</v>
      </c>
      <c r="V17" s="100"/>
      <c r="W17" s="100"/>
      <c r="X17" s="100"/>
      <c r="Y17" s="100"/>
      <c r="Z17" s="257"/>
      <c r="AA17" s="257"/>
      <c r="AB17" s="257"/>
      <c r="AC17" s="257"/>
      <c r="AD17" s="257"/>
      <c r="AE17" s="258">
        <v>0.68802018792218067</v>
      </c>
      <c r="AG17" s="441">
        <v>203</v>
      </c>
      <c r="AH17" s="443">
        <v>2747</v>
      </c>
      <c r="AJ17" s="88">
        <v>183</v>
      </c>
      <c r="AM17" s="88">
        <v>0</v>
      </c>
      <c r="AN17" s="88">
        <v>4</v>
      </c>
      <c r="AP17" s="88">
        <v>0</v>
      </c>
      <c r="AQ17" s="399">
        <v>0</v>
      </c>
      <c r="AR17" s="88">
        <v>1050.47</v>
      </c>
      <c r="AU17" s="399">
        <v>237</v>
      </c>
      <c r="AV17" s="399">
        <v>1831</v>
      </c>
      <c r="AY17" s="88">
        <v>0.6731166666666667</v>
      </c>
      <c r="AZ17" s="432">
        <v>2614</v>
      </c>
      <c r="BA17" s="440">
        <v>2518</v>
      </c>
      <c r="BC17" s="439">
        <v>0</v>
      </c>
      <c r="BD17" s="88">
        <v>0</v>
      </c>
      <c r="BE17" s="88">
        <v>2</v>
      </c>
      <c r="BF17" s="434">
        <v>-174024.14499999999</v>
      </c>
      <c r="BG17" s="100">
        <v>-128073.07</v>
      </c>
      <c r="BH17" s="257"/>
      <c r="BI17" s="100"/>
      <c r="BJ17" s="257"/>
      <c r="BK17" s="100"/>
      <c r="BL17" s="100"/>
      <c r="BM17" s="100"/>
      <c r="BN17" s="257"/>
      <c r="BO17" s="100"/>
      <c r="BP17" s="100">
        <v>634501</v>
      </c>
      <c r="BQ17" s="100">
        <v>212191</v>
      </c>
      <c r="BR17" s="100">
        <v>544020.76422999613</v>
      </c>
      <c r="BS17" s="100">
        <v>27631.808707770178</v>
      </c>
      <c r="BT17" s="100">
        <v>55173.665135595591</v>
      </c>
      <c r="BU17" s="100">
        <v>266304.36825041671</v>
      </c>
      <c r="BV17" s="100">
        <v>385249.7227873716</v>
      </c>
      <c r="BW17" s="100">
        <v>604374.39857710327</v>
      </c>
      <c r="BX17" s="100">
        <v>179116.97758029238</v>
      </c>
      <c r="BY17" s="100">
        <v>325294.08349442657</v>
      </c>
      <c r="BZ17" s="257"/>
      <c r="CA17" s="100"/>
      <c r="CB17" s="257"/>
      <c r="CC17" s="257"/>
      <c r="CD17" s="257"/>
      <c r="CE17" s="100">
        <v>434772.68273360416</v>
      </c>
      <c r="CF17" s="100">
        <v>245458.02541090563</v>
      </c>
      <c r="CG17" s="100">
        <v>257574.95154858736</v>
      </c>
      <c r="CH17" s="100">
        <v>1382873.4984998675</v>
      </c>
      <c r="CI17" s="257"/>
      <c r="CJ17" s="437">
        <v>3898124.8037349805</v>
      </c>
      <c r="CK17" s="404">
        <v>563748</v>
      </c>
      <c r="CL17" s="404"/>
      <c r="CM17" s="437">
        <v>-71757.984999999957</v>
      </c>
      <c r="CO17" s="434">
        <v>-307620.71360068896</v>
      </c>
      <c r="CP17" s="437">
        <v>-781631.85218535585</v>
      </c>
      <c r="CQ17" s="437">
        <v>-596287.47498986288</v>
      </c>
      <c r="CR17" s="437">
        <v>228688.2832927721</v>
      </c>
      <c r="CS17" s="257"/>
    </row>
    <row r="18" spans="1:97" x14ac:dyDescent="0.2">
      <c r="A18" s="100">
        <v>72</v>
      </c>
      <c r="B18" s="100" t="s">
        <v>328</v>
      </c>
      <c r="C18" s="100">
        <v>960</v>
      </c>
      <c r="D18" s="257"/>
      <c r="E18" s="257"/>
      <c r="F18" s="257"/>
      <c r="G18" s="257"/>
      <c r="H18" s="325"/>
      <c r="I18" s="257"/>
      <c r="J18" s="257"/>
      <c r="K18" s="257"/>
      <c r="L18" s="257"/>
      <c r="M18" s="257"/>
      <c r="N18" s="257"/>
      <c r="O18" s="257"/>
      <c r="P18" s="257"/>
      <c r="Q18" s="100">
        <v>36</v>
      </c>
      <c r="R18" s="100">
        <v>6</v>
      </c>
      <c r="S18" s="100">
        <v>57</v>
      </c>
      <c r="T18" s="100">
        <v>28</v>
      </c>
      <c r="U18" s="100">
        <v>833</v>
      </c>
      <c r="V18" s="100"/>
      <c r="W18" s="100"/>
      <c r="X18" s="100"/>
      <c r="Y18" s="100"/>
      <c r="Z18" s="257"/>
      <c r="AA18" s="257"/>
      <c r="AB18" s="257"/>
      <c r="AC18" s="257"/>
      <c r="AD18" s="257"/>
      <c r="AE18" s="258">
        <v>0.87485174785807351</v>
      </c>
      <c r="AG18" s="441">
        <v>29.833333333333332</v>
      </c>
      <c r="AH18" s="443">
        <v>368</v>
      </c>
      <c r="AJ18" s="88">
        <v>18</v>
      </c>
      <c r="AM18" s="88">
        <v>0</v>
      </c>
      <c r="AN18" s="88">
        <v>0</v>
      </c>
      <c r="AP18" s="88">
        <v>2</v>
      </c>
      <c r="AQ18" s="399">
        <v>0</v>
      </c>
      <c r="AR18" s="88">
        <v>205.65</v>
      </c>
      <c r="AU18" s="399">
        <v>17</v>
      </c>
      <c r="AV18" s="399">
        <v>220</v>
      </c>
      <c r="AY18" s="88">
        <v>0.99881666666666669</v>
      </c>
      <c r="AZ18" s="432">
        <v>248</v>
      </c>
      <c r="BA18" s="440">
        <v>338</v>
      </c>
      <c r="BC18" s="439">
        <v>0.04</v>
      </c>
      <c r="BD18" s="88">
        <v>0</v>
      </c>
      <c r="BE18" s="88">
        <v>0</v>
      </c>
      <c r="BF18" s="434">
        <v>-17828.625</v>
      </c>
      <c r="BG18" s="100">
        <v>-18230.29</v>
      </c>
      <c r="BH18" s="257"/>
      <c r="BI18" s="100"/>
      <c r="BJ18" s="257"/>
      <c r="BK18" s="100"/>
      <c r="BL18" s="100"/>
      <c r="BM18" s="100"/>
      <c r="BN18" s="257"/>
      <c r="BO18" s="100"/>
      <c r="BP18" s="100">
        <v>91944</v>
      </c>
      <c r="BQ18" s="100">
        <v>29110</v>
      </c>
      <c r="BR18" s="100">
        <v>64666.662457567494</v>
      </c>
      <c r="BS18" s="100">
        <v>2692.481337280261</v>
      </c>
      <c r="BT18" s="100">
        <v>2749.036578336676</v>
      </c>
      <c r="BU18" s="100">
        <v>30690.449531896869</v>
      </c>
      <c r="BV18" s="100">
        <v>42842.845988063753</v>
      </c>
      <c r="BW18" s="100">
        <v>82798.027355151367</v>
      </c>
      <c r="BX18" s="100">
        <v>22645.889351010537</v>
      </c>
      <c r="BY18" s="100">
        <v>41418.594941364499</v>
      </c>
      <c r="BZ18" s="257"/>
      <c r="CA18" s="100"/>
      <c r="CB18" s="257"/>
      <c r="CC18" s="257"/>
      <c r="CD18" s="257"/>
      <c r="CE18" s="100">
        <v>52973.785680424393</v>
      </c>
      <c r="CF18" s="100">
        <v>29630.671407607097</v>
      </c>
      <c r="CG18" s="100">
        <v>30540.788916576785</v>
      </c>
      <c r="CH18" s="100">
        <v>170637.816848054</v>
      </c>
      <c r="CI18" s="257"/>
      <c r="CJ18" s="437">
        <v>296991.75196522468</v>
      </c>
      <c r="CK18" s="404">
        <v>-253303</v>
      </c>
      <c r="CL18" s="404"/>
      <c r="CM18" s="437">
        <v>4475.5500000000011</v>
      </c>
      <c r="CO18" s="434">
        <v>-171773.41307830706</v>
      </c>
      <c r="CP18" s="437">
        <v>-71496.771190601896</v>
      </c>
      <c r="CQ18" s="437">
        <v>-86851.157030840302</v>
      </c>
      <c r="CR18" s="437">
        <v>33309.171895169355</v>
      </c>
      <c r="CS18" s="257"/>
    </row>
    <row r="19" spans="1:97" x14ac:dyDescent="0.2">
      <c r="A19" s="100">
        <v>74</v>
      </c>
      <c r="B19" s="100" t="s">
        <v>329</v>
      </c>
      <c r="C19" s="100">
        <v>1052</v>
      </c>
      <c r="D19" s="257"/>
      <c r="E19" s="257"/>
      <c r="F19" s="257"/>
      <c r="G19" s="257"/>
      <c r="H19" s="325"/>
      <c r="I19" s="257"/>
      <c r="J19" s="257"/>
      <c r="K19" s="257"/>
      <c r="L19" s="257"/>
      <c r="M19" s="257"/>
      <c r="N19" s="257"/>
      <c r="O19" s="257"/>
      <c r="P19" s="257"/>
      <c r="Q19" s="100">
        <v>49</v>
      </c>
      <c r="R19" s="100">
        <v>4</v>
      </c>
      <c r="S19" s="100">
        <v>71</v>
      </c>
      <c r="T19" s="100">
        <v>30</v>
      </c>
      <c r="U19" s="100">
        <v>898</v>
      </c>
      <c r="V19" s="100"/>
      <c r="W19" s="100"/>
      <c r="X19" s="100"/>
      <c r="Y19" s="100"/>
      <c r="Z19" s="257"/>
      <c r="AA19" s="257"/>
      <c r="AB19" s="257"/>
      <c r="AC19" s="257"/>
      <c r="AD19" s="257"/>
      <c r="AE19" s="258">
        <v>0.41416924510301589</v>
      </c>
      <c r="AG19" s="441">
        <v>33.083333333333336</v>
      </c>
      <c r="AH19" s="443">
        <v>451</v>
      </c>
      <c r="AJ19" s="88">
        <v>45</v>
      </c>
      <c r="AM19" s="88">
        <v>0</v>
      </c>
      <c r="AN19" s="88">
        <v>6</v>
      </c>
      <c r="AP19" s="88">
        <v>0</v>
      </c>
      <c r="AQ19" s="399">
        <v>0</v>
      </c>
      <c r="AR19" s="88">
        <v>413.01</v>
      </c>
      <c r="AU19" s="399">
        <v>44</v>
      </c>
      <c r="AV19" s="399">
        <v>258</v>
      </c>
      <c r="AY19" s="88">
        <v>1.4803000000000002</v>
      </c>
      <c r="AZ19" s="432">
        <v>341</v>
      </c>
      <c r="BA19" s="440">
        <v>397</v>
      </c>
      <c r="BC19" s="439">
        <v>0</v>
      </c>
      <c r="BD19" s="88">
        <v>0</v>
      </c>
      <c r="BE19" s="88">
        <v>0</v>
      </c>
      <c r="BF19" s="434">
        <v>-22748.035</v>
      </c>
      <c r="BG19" s="100">
        <v>-21188.63</v>
      </c>
      <c r="BH19" s="257"/>
      <c r="BI19" s="100"/>
      <c r="BJ19" s="257"/>
      <c r="BK19" s="100"/>
      <c r="BL19" s="100"/>
      <c r="BM19" s="100"/>
      <c r="BN19" s="257"/>
      <c r="BO19" s="100"/>
      <c r="BP19" s="100">
        <v>134532</v>
      </c>
      <c r="BQ19" s="100">
        <v>43901</v>
      </c>
      <c r="BR19" s="100">
        <v>113348.03837721006</v>
      </c>
      <c r="BS19" s="100">
        <v>6717.396987965677</v>
      </c>
      <c r="BT19" s="100">
        <v>-22207.792950525472</v>
      </c>
      <c r="BU19" s="100">
        <v>47988.048405878326</v>
      </c>
      <c r="BV19" s="100">
        <v>78960.370391012984</v>
      </c>
      <c r="BW19" s="100">
        <v>126139.30799040805</v>
      </c>
      <c r="BX19" s="100">
        <v>43112.166293934511</v>
      </c>
      <c r="BY19" s="100">
        <v>69397.433189061107</v>
      </c>
      <c r="BZ19" s="257"/>
      <c r="CA19" s="100"/>
      <c r="CB19" s="257"/>
      <c r="CC19" s="257"/>
      <c r="CD19" s="257"/>
      <c r="CE19" s="100">
        <v>98139.994782873342</v>
      </c>
      <c r="CF19" s="100">
        <v>51502.066333405135</v>
      </c>
      <c r="CG19" s="100">
        <v>51166.238959678856</v>
      </c>
      <c r="CH19" s="100">
        <v>287820.22960673127</v>
      </c>
      <c r="CI19" s="257"/>
      <c r="CJ19" s="437">
        <v>517380.09010282316</v>
      </c>
      <c r="CK19" s="404">
        <v>-300800</v>
      </c>
      <c r="CL19" s="404"/>
      <c r="CM19" s="437">
        <v>49231.05</v>
      </c>
      <c r="CO19" s="434">
        <v>202125.60453249869</v>
      </c>
      <c r="CP19" s="437">
        <v>59409.741366240771</v>
      </c>
      <c r="CQ19" s="437">
        <v>-95174.392912962488</v>
      </c>
      <c r="CR19" s="437">
        <v>36501.300868456419</v>
      </c>
      <c r="CS19" s="257"/>
    </row>
    <row r="20" spans="1:97" x14ac:dyDescent="0.2">
      <c r="A20" s="100">
        <v>75</v>
      </c>
      <c r="B20" s="100" t="s">
        <v>330</v>
      </c>
      <c r="C20" s="100">
        <v>19549</v>
      </c>
      <c r="D20" s="257"/>
      <c r="E20" s="257"/>
      <c r="F20" s="257"/>
      <c r="G20" s="257"/>
      <c r="H20" s="325"/>
      <c r="I20" s="257"/>
      <c r="J20" s="257"/>
      <c r="K20" s="257"/>
      <c r="L20" s="257"/>
      <c r="M20" s="257"/>
      <c r="N20" s="257"/>
      <c r="O20" s="257"/>
      <c r="P20" s="257"/>
      <c r="Q20" s="100">
        <v>740</v>
      </c>
      <c r="R20" s="100">
        <v>161</v>
      </c>
      <c r="S20" s="100">
        <v>1127</v>
      </c>
      <c r="T20" s="100">
        <v>640</v>
      </c>
      <c r="U20" s="100">
        <v>16881</v>
      </c>
      <c r="V20" s="100"/>
      <c r="W20" s="100"/>
      <c r="X20" s="100"/>
      <c r="Y20" s="100"/>
      <c r="Z20" s="257"/>
      <c r="AA20" s="257"/>
      <c r="AB20" s="257"/>
      <c r="AC20" s="257"/>
      <c r="AD20" s="257"/>
      <c r="AE20" s="258">
        <v>0.99640332929186448</v>
      </c>
      <c r="AG20" s="441">
        <v>924.41666666666663</v>
      </c>
      <c r="AH20" s="443">
        <v>8733</v>
      </c>
      <c r="AJ20" s="88">
        <v>1364</v>
      </c>
      <c r="AM20" s="88">
        <v>0</v>
      </c>
      <c r="AN20" s="88">
        <v>61</v>
      </c>
      <c r="AP20" s="88">
        <v>0</v>
      </c>
      <c r="AQ20" s="399">
        <v>0</v>
      </c>
      <c r="AR20" s="88">
        <v>609.89</v>
      </c>
      <c r="AU20" s="399">
        <v>803</v>
      </c>
      <c r="AV20" s="399">
        <v>5522</v>
      </c>
      <c r="AY20" s="88">
        <v>0</v>
      </c>
      <c r="AZ20" s="432">
        <v>6122</v>
      </c>
      <c r="BA20" s="440">
        <v>7547</v>
      </c>
      <c r="BC20" s="439">
        <v>0</v>
      </c>
      <c r="BD20" s="88">
        <v>0</v>
      </c>
      <c r="BE20" s="88">
        <v>0</v>
      </c>
      <c r="BF20" s="434">
        <v>-724766.32050000003</v>
      </c>
      <c r="BG20" s="100">
        <v>-381837.17000000004</v>
      </c>
      <c r="BH20" s="257"/>
      <c r="BI20" s="100"/>
      <c r="BJ20" s="257"/>
      <c r="BK20" s="100"/>
      <c r="BL20" s="100"/>
      <c r="BM20" s="100"/>
      <c r="BN20" s="257"/>
      <c r="BO20" s="100"/>
      <c r="BP20" s="100">
        <v>1568738</v>
      </c>
      <c r="BQ20" s="100">
        <v>487407</v>
      </c>
      <c r="BR20" s="100">
        <v>1128575.9968275034</v>
      </c>
      <c r="BS20" s="100">
        <v>45002.871815550367</v>
      </c>
      <c r="BT20" s="100">
        <v>86422.872236925497</v>
      </c>
      <c r="BU20" s="100">
        <v>566255.61063643033</v>
      </c>
      <c r="BV20" s="100">
        <v>942635.96400923165</v>
      </c>
      <c r="BW20" s="100">
        <v>1584026.0242622562</v>
      </c>
      <c r="BX20" s="100">
        <v>445115.16092382168</v>
      </c>
      <c r="BY20" s="100">
        <v>809673.04183295241</v>
      </c>
      <c r="BZ20" s="257"/>
      <c r="CA20" s="100"/>
      <c r="CB20" s="257"/>
      <c r="CC20" s="257"/>
      <c r="CD20" s="257"/>
      <c r="CE20" s="100">
        <v>1070608.4244448629</v>
      </c>
      <c r="CF20" s="100">
        <v>628165.48406565958</v>
      </c>
      <c r="CG20" s="100">
        <v>610169.34424649051</v>
      </c>
      <c r="CH20" s="100">
        <v>3174876.1896728883</v>
      </c>
      <c r="CI20" s="257"/>
      <c r="CJ20" s="437">
        <v>-475828.35206105874</v>
      </c>
      <c r="CK20" s="404">
        <v>-1880091</v>
      </c>
      <c r="CL20" s="404"/>
      <c r="CM20" s="437">
        <v>-20404.032450000057</v>
      </c>
      <c r="CO20" s="434">
        <v>-4038028.9144222634</v>
      </c>
      <c r="CP20" s="437">
        <v>-817447.97822874249</v>
      </c>
      <c r="CQ20" s="437">
        <v>-1768597.154995726</v>
      </c>
      <c r="CR20" s="437">
        <v>678292.70976944349</v>
      </c>
      <c r="CS20" s="257"/>
    </row>
    <row r="21" spans="1:97" x14ac:dyDescent="0.2">
      <c r="A21" s="100">
        <v>77</v>
      </c>
      <c r="B21" s="100" t="s">
        <v>331</v>
      </c>
      <c r="C21" s="100">
        <v>4601</v>
      </c>
      <c r="D21" s="257"/>
      <c r="E21" s="257"/>
      <c r="F21" s="257"/>
      <c r="G21" s="257"/>
      <c r="H21" s="325"/>
      <c r="I21" s="257"/>
      <c r="J21" s="257"/>
      <c r="K21" s="257"/>
      <c r="L21" s="257"/>
      <c r="M21" s="257"/>
      <c r="N21" s="257"/>
      <c r="O21" s="257"/>
      <c r="P21" s="257"/>
      <c r="Q21" s="100">
        <v>152</v>
      </c>
      <c r="R21" s="100">
        <v>40</v>
      </c>
      <c r="S21" s="100">
        <v>303</v>
      </c>
      <c r="T21" s="100">
        <v>176</v>
      </c>
      <c r="U21" s="100">
        <v>3930</v>
      </c>
      <c r="V21" s="100"/>
      <c r="W21" s="100"/>
      <c r="X21" s="100"/>
      <c r="Y21" s="100"/>
      <c r="Z21" s="257"/>
      <c r="AA21" s="257"/>
      <c r="AB21" s="257"/>
      <c r="AC21" s="257"/>
      <c r="AD21" s="257"/>
      <c r="AE21" s="258">
        <v>0.83282560258272831</v>
      </c>
      <c r="AG21" s="441">
        <v>195.91666666666666</v>
      </c>
      <c r="AH21" s="443">
        <v>1937</v>
      </c>
      <c r="AJ21" s="88">
        <v>76</v>
      </c>
      <c r="AM21" s="88">
        <v>0</v>
      </c>
      <c r="AN21" s="88">
        <v>11</v>
      </c>
      <c r="AP21" s="88">
        <v>0</v>
      </c>
      <c r="AQ21" s="399">
        <v>0</v>
      </c>
      <c r="AR21" s="88">
        <v>571.70000000000005</v>
      </c>
      <c r="AU21" s="399">
        <v>166</v>
      </c>
      <c r="AV21" s="399">
        <v>1225</v>
      </c>
      <c r="AY21" s="88">
        <v>0.66818333333333335</v>
      </c>
      <c r="AZ21" s="432">
        <v>1306</v>
      </c>
      <c r="BA21" s="440">
        <v>1630</v>
      </c>
      <c r="BC21" s="439">
        <v>0</v>
      </c>
      <c r="BD21" s="88">
        <v>0</v>
      </c>
      <c r="BE21" s="88">
        <v>0</v>
      </c>
      <c r="BF21" s="434">
        <v>-164366</v>
      </c>
      <c r="BG21" s="100">
        <v>-91862.22</v>
      </c>
      <c r="BH21" s="257"/>
      <c r="BI21" s="100"/>
      <c r="BJ21" s="257"/>
      <c r="BK21" s="100"/>
      <c r="BL21" s="100"/>
      <c r="BM21" s="100"/>
      <c r="BN21" s="257"/>
      <c r="BO21" s="100"/>
      <c r="BP21" s="100">
        <v>567639</v>
      </c>
      <c r="BQ21" s="100">
        <v>165760</v>
      </c>
      <c r="BR21" s="100">
        <v>418313.4407374764</v>
      </c>
      <c r="BS21" s="100">
        <v>22899.471769744072</v>
      </c>
      <c r="BT21" s="100">
        <v>68329.264290983934</v>
      </c>
      <c r="BU21" s="100">
        <v>205003.42725285116</v>
      </c>
      <c r="BV21" s="100">
        <v>305523.60822933528</v>
      </c>
      <c r="BW21" s="100">
        <v>467407.96175449586</v>
      </c>
      <c r="BX21" s="100">
        <v>130242.03157009084</v>
      </c>
      <c r="BY21" s="100">
        <v>244524.13581577002</v>
      </c>
      <c r="BZ21" s="257"/>
      <c r="CA21" s="100"/>
      <c r="CB21" s="257"/>
      <c r="CC21" s="257"/>
      <c r="CD21" s="257"/>
      <c r="CE21" s="100">
        <v>341996.24236710666</v>
      </c>
      <c r="CF21" s="100">
        <v>180970.83999240884</v>
      </c>
      <c r="CG21" s="100">
        <v>175690.10818550273</v>
      </c>
      <c r="CH21" s="100">
        <v>1047105.7362009127</v>
      </c>
      <c r="CI21" s="257"/>
      <c r="CJ21" s="437">
        <v>2664698.4176582657</v>
      </c>
      <c r="CK21" s="404">
        <v>114509</v>
      </c>
      <c r="CL21" s="404"/>
      <c r="CM21" s="437">
        <v>47008.193499999994</v>
      </c>
      <c r="CO21" s="434">
        <v>-412512.11004750372</v>
      </c>
      <c r="CP21" s="437">
        <v>-222933.14482392531</v>
      </c>
      <c r="CQ21" s="437">
        <v>-416252.2640613502</v>
      </c>
      <c r="CR21" s="437">
        <v>159641.14571841064</v>
      </c>
      <c r="CS21" s="257"/>
    </row>
    <row r="22" spans="1:97" x14ac:dyDescent="0.2">
      <c r="A22" s="100">
        <v>78</v>
      </c>
      <c r="B22" s="100" t="s">
        <v>332</v>
      </c>
      <c r="C22" s="100">
        <v>7832</v>
      </c>
      <c r="D22" s="257"/>
      <c r="E22" s="257"/>
      <c r="F22" s="257"/>
      <c r="G22" s="257"/>
      <c r="H22" s="325"/>
      <c r="I22" s="257"/>
      <c r="J22" s="257"/>
      <c r="K22" s="257"/>
      <c r="L22" s="257"/>
      <c r="M22" s="257"/>
      <c r="N22" s="257"/>
      <c r="O22" s="257"/>
      <c r="P22" s="257"/>
      <c r="Q22" s="100">
        <v>261</v>
      </c>
      <c r="R22" s="100">
        <v>63</v>
      </c>
      <c r="S22" s="100">
        <v>396</v>
      </c>
      <c r="T22" s="100">
        <v>257</v>
      </c>
      <c r="U22" s="100">
        <v>6855</v>
      </c>
      <c r="V22" s="100"/>
      <c r="W22" s="100"/>
      <c r="X22" s="100"/>
      <c r="Y22" s="100"/>
      <c r="Z22" s="257"/>
      <c r="AA22" s="257"/>
      <c r="AB22" s="257"/>
      <c r="AC22" s="257"/>
      <c r="AD22" s="257"/>
      <c r="AE22" s="258">
        <v>0.87913709670520546</v>
      </c>
      <c r="AG22" s="441">
        <v>340.75</v>
      </c>
      <c r="AH22" s="443">
        <v>3510</v>
      </c>
      <c r="AJ22" s="88">
        <v>359</v>
      </c>
      <c r="AM22" s="88">
        <v>1</v>
      </c>
      <c r="AN22" s="88">
        <v>3350</v>
      </c>
      <c r="AP22" s="88">
        <v>0</v>
      </c>
      <c r="AQ22" s="399">
        <v>0</v>
      </c>
      <c r="AR22" s="88">
        <v>117.44</v>
      </c>
      <c r="AU22" s="399">
        <v>474</v>
      </c>
      <c r="AV22" s="399">
        <v>2169</v>
      </c>
      <c r="AY22" s="88">
        <v>0.99443333333333328</v>
      </c>
      <c r="AZ22" s="432">
        <v>3444</v>
      </c>
      <c r="BA22" s="440">
        <v>3109</v>
      </c>
      <c r="BC22" s="439">
        <v>0</v>
      </c>
      <c r="BD22" s="88">
        <v>0</v>
      </c>
      <c r="BE22" s="88">
        <v>1</v>
      </c>
      <c r="BF22" s="434">
        <v>-349831.39500000002</v>
      </c>
      <c r="BG22" s="100">
        <v>-154486.82</v>
      </c>
      <c r="BH22" s="257"/>
      <c r="BI22" s="100"/>
      <c r="BJ22" s="257"/>
      <c r="BK22" s="100"/>
      <c r="BL22" s="100"/>
      <c r="BM22" s="100"/>
      <c r="BN22" s="257"/>
      <c r="BO22" s="100"/>
      <c r="BP22" s="100">
        <v>656636</v>
      </c>
      <c r="BQ22" s="100">
        <v>215300</v>
      </c>
      <c r="BR22" s="100">
        <v>400984.06915408489</v>
      </c>
      <c r="BS22" s="100">
        <v>7536.817691286501</v>
      </c>
      <c r="BT22" s="100">
        <v>13723.005639968009</v>
      </c>
      <c r="BU22" s="100">
        <v>240221.42672180056</v>
      </c>
      <c r="BV22" s="100">
        <v>317595.93887166877</v>
      </c>
      <c r="BW22" s="100">
        <v>682918.9141502562</v>
      </c>
      <c r="BX22" s="100">
        <v>171481.58869629769</v>
      </c>
      <c r="BY22" s="100">
        <v>327290.64397453348</v>
      </c>
      <c r="BZ22" s="257"/>
      <c r="CA22" s="100"/>
      <c r="CB22" s="257"/>
      <c r="CC22" s="257"/>
      <c r="CD22" s="257"/>
      <c r="CE22" s="100">
        <v>366094.69911858143</v>
      </c>
      <c r="CF22" s="100">
        <v>237484.32543443629</v>
      </c>
      <c r="CG22" s="100">
        <v>239931.20157628579</v>
      </c>
      <c r="CH22" s="100">
        <v>1242815.293543437</v>
      </c>
      <c r="CI22" s="257"/>
      <c r="CJ22" s="437">
        <v>-107199.07430915257</v>
      </c>
      <c r="CK22" s="404">
        <v>-540207</v>
      </c>
      <c r="CL22" s="404"/>
      <c r="CM22" s="437">
        <v>7981.397500000021</v>
      </c>
      <c r="CO22" s="434">
        <v>-2270991.3412674079</v>
      </c>
      <c r="CP22" s="437">
        <v>-748132.42286193522</v>
      </c>
      <c r="CQ22" s="437">
        <v>-708560.68944327207</v>
      </c>
      <c r="CR22" s="437">
        <v>271747.32737809001</v>
      </c>
      <c r="CS22" s="257"/>
    </row>
    <row r="23" spans="1:97" x14ac:dyDescent="0.2">
      <c r="A23" s="100">
        <v>79</v>
      </c>
      <c r="B23" s="100" t="s">
        <v>333</v>
      </c>
      <c r="C23" s="100">
        <v>6753</v>
      </c>
      <c r="D23" s="257"/>
      <c r="E23" s="257"/>
      <c r="F23" s="257"/>
      <c r="G23" s="257"/>
      <c r="H23" s="325"/>
      <c r="I23" s="257"/>
      <c r="J23" s="257"/>
      <c r="K23" s="257"/>
      <c r="L23" s="257"/>
      <c r="M23" s="257"/>
      <c r="N23" s="257"/>
      <c r="O23" s="257"/>
      <c r="P23" s="257"/>
      <c r="Q23" s="100">
        <v>303</v>
      </c>
      <c r="R23" s="100">
        <v>53</v>
      </c>
      <c r="S23" s="100">
        <v>434</v>
      </c>
      <c r="T23" s="100">
        <v>184</v>
      </c>
      <c r="U23" s="100">
        <v>5779</v>
      </c>
      <c r="V23" s="100"/>
      <c r="W23" s="100"/>
      <c r="X23" s="100"/>
      <c r="Y23" s="100"/>
      <c r="Z23" s="257"/>
      <c r="AA23" s="257"/>
      <c r="AB23" s="257"/>
      <c r="AC23" s="257"/>
      <c r="AD23" s="257"/>
      <c r="AE23" s="258">
        <v>0.80180809692443245</v>
      </c>
      <c r="AG23" s="441">
        <v>266.08333333333331</v>
      </c>
      <c r="AH23" s="443">
        <v>2825</v>
      </c>
      <c r="AJ23" s="88">
        <v>280</v>
      </c>
      <c r="AM23" s="88">
        <v>0</v>
      </c>
      <c r="AN23" s="88">
        <v>13</v>
      </c>
      <c r="AP23" s="88">
        <v>0</v>
      </c>
      <c r="AQ23" s="399">
        <v>0</v>
      </c>
      <c r="AR23" s="88">
        <v>123.48</v>
      </c>
      <c r="AU23" s="399">
        <v>314</v>
      </c>
      <c r="AV23" s="399">
        <v>1867</v>
      </c>
      <c r="AY23" s="88">
        <v>0</v>
      </c>
      <c r="AZ23" s="432">
        <v>3857</v>
      </c>
      <c r="BA23" s="440">
        <v>2500</v>
      </c>
      <c r="BC23" s="439">
        <v>0</v>
      </c>
      <c r="BD23" s="88">
        <v>0</v>
      </c>
      <c r="BE23" s="88">
        <v>0</v>
      </c>
      <c r="BF23" s="434">
        <v>-318618.72499999998</v>
      </c>
      <c r="BG23" s="100">
        <v>-131953.49000000002</v>
      </c>
      <c r="BH23" s="257"/>
      <c r="BI23" s="100"/>
      <c r="BJ23" s="257"/>
      <c r="BK23" s="100"/>
      <c r="BL23" s="100"/>
      <c r="BM23" s="100"/>
      <c r="BN23" s="257"/>
      <c r="BO23" s="100"/>
      <c r="BP23" s="100">
        <v>489725</v>
      </c>
      <c r="BQ23" s="100">
        <v>169748</v>
      </c>
      <c r="BR23" s="100">
        <v>361767.99688373489</v>
      </c>
      <c r="BS23" s="100">
        <v>17405.703014667208</v>
      </c>
      <c r="BT23" s="100">
        <v>72742.07318975206</v>
      </c>
      <c r="BU23" s="100">
        <v>207561.9031788306</v>
      </c>
      <c r="BV23" s="100">
        <v>316837.43389339</v>
      </c>
      <c r="BW23" s="100">
        <v>564778.05147175572</v>
      </c>
      <c r="BX23" s="100">
        <v>146060.94627804705</v>
      </c>
      <c r="BY23" s="100">
        <v>278126.9222357134</v>
      </c>
      <c r="BZ23" s="257"/>
      <c r="CA23" s="100"/>
      <c r="CB23" s="257"/>
      <c r="CC23" s="257"/>
      <c r="CD23" s="257"/>
      <c r="CE23" s="100">
        <v>339018.68401967443</v>
      </c>
      <c r="CF23" s="100">
        <v>216467.12512278371</v>
      </c>
      <c r="CG23" s="100">
        <v>205201.33587723473</v>
      </c>
      <c r="CH23" s="100">
        <v>1064230.3536242272</v>
      </c>
      <c r="CI23" s="257"/>
      <c r="CJ23" s="437">
        <v>-435753.11137453606</v>
      </c>
      <c r="CK23" s="404">
        <v>-318524</v>
      </c>
      <c r="CL23" s="404"/>
      <c r="CM23" s="437">
        <v>-53855.785000000033</v>
      </c>
      <c r="CO23" s="434">
        <v>-1054631.7543034423</v>
      </c>
      <c r="CP23" s="437">
        <v>-883147.20349899121</v>
      </c>
      <c r="CQ23" s="437">
        <v>-610943.60773881723</v>
      </c>
      <c r="CR23" s="437">
        <v>234309.20605008194</v>
      </c>
      <c r="CS23" s="257"/>
    </row>
    <row r="24" spans="1:97" x14ac:dyDescent="0.2">
      <c r="A24" s="100">
        <v>81</v>
      </c>
      <c r="B24" s="100" t="s">
        <v>334</v>
      </c>
      <c r="C24" s="100">
        <v>2574</v>
      </c>
      <c r="D24" s="257"/>
      <c r="E24" s="257"/>
      <c r="F24" s="257"/>
      <c r="G24" s="257"/>
      <c r="H24" s="325"/>
      <c r="I24" s="257"/>
      <c r="J24" s="257"/>
      <c r="K24" s="257"/>
      <c r="L24" s="257"/>
      <c r="M24" s="257"/>
      <c r="N24" s="257"/>
      <c r="O24" s="257"/>
      <c r="P24" s="257"/>
      <c r="Q24" s="100">
        <v>77</v>
      </c>
      <c r="R24" s="100">
        <v>13</v>
      </c>
      <c r="S24" s="100">
        <v>108</v>
      </c>
      <c r="T24" s="100">
        <v>45</v>
      </c>
      <c r="U24" s="100">
        <v>2331</v>
      </c>
      <c r="V24" s="100"/>
      <c r="W24" s="100"/>
      <c r="X24" s="100"/>
      <c r="Y24" s="100"/>
      <c r="Z24" s="257"/>
      <c r="AA24" s="257"/>
      <c r="AB24" s="257"/>
      <c r="AC24" s="257"/>
      <c r="AD24" s="257"/>
      <c r="AE24" s="258">
        <v>0.98559884452430191</v>
      </c>
      <c r="AG24" s="441">
        <v>117.33333333333333</v>
      </c>
      <c r="AH24" s="443">
        <v>996</v>
      </c>
      <c r="AJ24" s="88">
        <v>82</v>
      </c>
      <c r="AM24" s="88">
        <v>0</v>
      </c>
      <c r="AN24" s="88">
        <v>2</v>
      </c>
      <c r="AP24" s="88">
        <v>0</v>
      </c>
      <c r="AQ24" s="399">
        <v>0</v>
      </c>
      <c r="AR24" s="88">
        <v>542.96</v>
      </c>
      <c r="AU24" s="399">
        <v>117</v>
      </c>
      <c r="AV24" s="399">
        <v>559</v>
      </c>
      <c r="AY24" s="88">
        <v>1.0004999999999999</v>
      </c>
      <c r="AZ24" s="432">
        <v>893</v>
      </c>
      <c r="BA24" s="440">
        <v>896</v>
      </c>
      <c r="BC24" s="439">
        <v>0</v>
      </c>
      <c r="BD24" s="88">
        <v>0</v>
      </c>
      <c r="BE24" s="88">
        <v>0</v>
      </c>
      <c r="BF24" s="434">
        <v>-96247.285000000003</v>
      </c>
      <c r="BG24" s="100">
        <v>-51002.55</v>
      </c>
      <c r="BH24" s="257"/>
      <c r="BI24" s="100"/>
      <c r="BJ24" s="257"/>
      <c r="BK24" s="100"/>
      <c r="BL24" s="100"/>
      <c r="BM24" s="100"/>
      <c r="BN24" s="257"/>
      <c r="BO24" s="100"/>
      <c r="BP24" s="100">
        <v>382259</v>
      </c>
      <c r="BQ24" s="100">
        <v>112706</v>
      </c>
      <c r="BR24" s="100">
        <v>280753.02524104732</v>
      </c>
      <c r="BS24" s="100">
        <v>16551.202542072944</v>
      </c>
      <c r="BT24" s="100">
        <v>-34065.640874922188</v>
      </c>
      <c r="BU24" s="100">
        <v>133220.72793783026</v>
      </c>
      <c r="BV24" s="100">
        <v>183270.36904974162</v>
      </c>
      <c r="BW24" s="100">
        <v>273566.22968570556</v>
      </c>
      <c r="BX24" s="100">
        <v>94944.145394665335</v>
      </c>
      <c r="BY24" s="100">
        <v>153973.46332418438</v>
      </c>
      <c r="BZ24" s="257"/>
      <c r="CA24" s="100"/>
      <c r="CB24" s="257"/>
      <c r="CC24" s="257"/>
      <c r="CD24" s="257"/>
      <c r="CE24" s="100">
        <v>215793.14930477855</v>
      </c>
      <c r="CF24" s="100">
        <v>112894.19132592976</v>
      </c>
      <c r="CG24" s="100">
        <v>113695.02044041202</v>
      </c>
      <c r="CH24" s="100">
        <v>620103.63561888481</v>
      </c>
      <c r="CI24" s="257"/>
      <c r="CJ24" s="437">
        <v>578984.87792434893</v>
      </c>
      <c r="CK24" s="404">
        <v>-753085</v>
      </c>
      <c r="CL24" s="404"/>
      <c r="CM24" s="437">
        <v>-159627.95000000004</v>
      </c>
      <c r="CO24" s="434">
        <v>-141115.39342428811</v>
      </c>
      <c r="CP24" s="437">
        <v>75766.750983511112</v>
      </c>
      <c r="CQ24" s="437">
        <v>-232869.66478894054</v>
      </c>
      <c r="CR24" s="437">
        <v>89310.21714392284</v>
      </c>
      <c r="CS24" s="257"/>
    </row>
    <row r="25" spans="1:97" x14ac:dyDescent="0.2">
      <c r="A25" s="100">
        <v>82</v>
      </c>
      <c r="B25" s="100" t="s">
        <v>335</v>
      </c>
      <c r="C25" s="100">
        <v>9359</v>
      </c>
      <c r="D25" s="257"/>
      <c r="E25" s="257"/>
      <c r="F25" s="257"/>
      <c r="G25" s="257"/>
      <c r="H25" s="325"/>
      <c r="I25" s="257"/>
      <c r="J25" s="257"/>
      <c r="K25" s="257"/>
      <c r="L25" s="257"/>
      <c r="M25" s="257"/>
      <c r="N25" s="257"/>
      <c r="O25" s="257"/>
      <c r="P25" s="257"/>
      <c r="Q25" s="100">
        <v>500</v>
      </c>
      <c r="R25" s="100">
        <v>98</v>
      </c>
      <c r="S25" s="100">
        <v>703</v>
      </c>
      <c r="T25" s="100">
        <v>361</v>
      </c>
      <c r="U25" s="100">
        <v>7697</v>
      </c>
      <c r="V25" s="100"/>
      <c r="W25" s="100"/>
      <c r="X25" s="100"/>
      <c r="Y25" s="100"/>
      <c r="Z25" s="257"/>
      <c r="AA25" s="257"/>
      <c r="AB25" s="257"/>
      <c r="AC25" s="257"/>
      <c r="AD25" s="257"/>
      <c r="AE25" s="258">
        <v>0.94844197701323762</v>
      </c>
      <c r="AG25" s="441">
        <v>256.16666666666669</v>
      </c>
      <c r="AH25" s="443">
        <v>4406</v>
      </c>
      <c r="AJ25" s="88">
        <v>200</v>
      </c>
      <c r="AM25" s="88">
        <v>0</v>
      </c>
      <c r="AN25" s="88">
        <v>40</v>
      </c>
      <c r="AP25" s="88">
        <v>0</v>
      </c>
      <c r="AQ25" s="399">
        <v>0</v>
      </c>
      <c r="AR25" s="88">
        <v>357.8</v>
      </c>
      <c r="AU25" s="399">
        <v>267</v>
      </c>
      <c r="AV25" s="399">
        <v>2939</v>
      </c>
      <c r="AY25" s="88">
        <v>0</v>
      </c>
      <c r="AZ25" s="432">
        <v>2850</v>
      </c>
      <c r="BA25" s="440">
        <v>4128</v>
      </c>
      <c r="BC25" s="439">
        <v>0</v>
      </c>
      <c r="BD25" s="88">
        <v>0</v>
      </c>
      <c r="BE25" s="88">
        <v>0</v>
      </c>
      <c r="BF25" s="434">
        <v>-193686.98</v>
      </c>
      <c r="BG25" s="100">
        <v>-180362.69</v>
      </c>
      <c r="BH25" s="257"/>
      <c r="BI25" s="100"/>
      <c r="BJ25" s="257"/>
      <c r="BK25" s="100"/>
      <c r="BL25" s="100"/>
      <c r="BM25" s="100"/>
      <c r="BN25" s="257"/>
      <c r="BO25" s="100"/>
      <c r="BP25" s="100">
        <v>676314</v>
      </c>
      <c r="BQ25" s="100">
        <v>221366</v>
      </c>
      <c r="BR25" s="100">
        <v>445055.0591263313</v>
      </c>
      <c r="BS25" s="100">
        <v>6932.2159312707554</v>
      </c>
      <c r="BT25" s="100">
        <v>58409.760697824269</v>
      </c>
      <c r="BU25" s="100">
        <v>192372.52873674559</v>
      </c>
      <c r="BV25" s="100">
        <v>439754.50773878576</v>
      </c>
      <c r="BW25" s="100">
        <v>739872.38132623909</v>
      </c>
      <c r="BX25" s="100">
        <v>197045.6477393645</v>
      </c>
      <c r="BY25" s="100">
        <v>346997.48782711948</v>
      </c>
      <c r="BZ25" s="257"/>
      <c r="CA25" s="100"/>
      <c r="CB25" s="257"/>
      <c r="CC25" s="257"/>
      <c r="CD25" s="257"/>
      <c r="CE25" s="100">
        <v>452002.21428467357</v>
      </c>
      <c r="CF25" s="100">
        <v>280987.14230088139</v>
      </c>
      <c r="CG25" s="100">
        <v>292637.98744567903</v>
      </c>
      <c r="CH25" s="100">
        <v>1389353.3398513854</v>
      </c>
      <c r="CI25" s="257"/>
      <c r="CJ25" s="437">
        <v>1941876.0120621289</v>
      </c>
      <c r="CK25" s="404">
        <v>-2103870</v>
      </c>
      <c r="CL25" s="404"/>
      <c r="CM25" s="437">
        <v>125210.97049999997</v>
      </c>
      <c r="CO25" s="434">
        <v>697757.29983756738</v>
      </c>
      <c r="CP25" s="437">
        <v>151810.40481194484</v>
      </c>
      <c r="CQ25" s="437">
        <v>-846708.31109545252</v>
      </c>
      <c r="CR25" s="437">
        <v>324729.72892384377</v>
      </c>
      <c r="CS25" s="257"/>
    </row>
    <row r="26" spans="1:97" x14ac:dyDescent="0.2">
      <c r="A26" s="100">
        <v>86</v>
      </c>
      <c r="B26" s="100" t="s">
        <v>336</v>
      </c>
      <c r="C26" s="100">
        <v>8031</v>
      </c>
      <c r="D26" s="257"/>
      <c r="E26" s="257"/>
      <c r="F26" s="257"/>
      <c r="G26" s="257"/>
      <c r="H26" s="325"/>
      <c r="I26" s="257"/>
      <c r="J26" s="257"/>
      <c r="K26" s="257"/>
      <c r="L26" s="257"/>
      <c r="M26" s="257"/>
      <c r="N26" s="257"/>
      <c r="O26" s="257"/>
      <c r="P26" s="257"/>
      <c r="Q26" s="100">
        <v>386</v>
      </c>
      <c r="R26" s="100">
        <v>72</v>
      </c>
      <c r="S26" s="100">
        <v>641</v>
      </c>
      <c r="T26" s="100">
        <v>309</v>
      </c>
      <c r="U26" s="100">
        <v>6623</v>
      </c>
      <c r="V26" s="100"/>
      <c r="W26" s="100"/>
      <c r="X26" s="100"/>
      <c r="Y26" s="100"/>
      <c r="Z26" s="257"/>
      <c r="AA26" s="257"/>
      <c r="AB26" s="257"/>
      <c r="AC26" s="257"/>
      <c r="AD26" s="257"/>
      <c r="AE26" s="258">
        <v>0.83984181126354784</v>
      </c>
      <c r="AG26" s="441">
        <v>256.58333333333331</v>
      </c>
      <c r="AH26" s="443">
        <v>3899</v>
      </c>
      <c r="AJ26" s="88">
        <v>263</v>
      </c>
      <c r="AM26" s="88">
        <v>0</v>
      </c>
      <c r="AN26" s="88">
        <v>40</v>
      </c>
      <c r="AP26" s="88">
        <v>0</v>
      </c>
      <c r="AQ26" s="399">
        <v>0</v>
      </c>
      <c r="AR26" s="88">
        <v>389.42</v>
      </c>
      <c r="AU26" s="399">
        <v>340</v>
      </c>
      <c r="AV26" s="399">
        <v>2562</v>
      </c>
      <c r="AY26" s="88">
        <v>0</v>
      </c>
      <c r="AZ26" s="432">
        <v>1765</v>
      </c>
      <c r="BA26" s="440">
        <v>3550</v>
      </c>
      <c r="BC26" s="439">
        <v>0</v>
      </c>
      <c r="BD26" s="88">
        <v>0</v>
      </c>
      <c r="BE26" s="88">
        <v>0</v>
      </c>
      <c r="BF26" s="434">
        <v>-216205.49</v>
      </c>
      <c r="BG26" s="100">
        <v>-157041.75</v>
      </c>
      <c r="BH26" s="257"/>
      <c r="BI26" s="100"/>
      <c r="BJ26" s="257"/>
      <c r="BK26" s="100"/>
      <c r="BL26" s="100"/>
      <c r="BM26" s="100"/>
      <c r="BN26" s="257"/>
      <c r="BO26" s="100"/>
      <c r="BP26" s="100">
        <v>684929</v>
      </c>
      <c r="BQ26" s="100">
        <v>219405</v>
      </c>
      <c r="BR26" s="100">
        <v>453618.33415046043</v>
      </c>
      <c r="BS26" s="100">
        <v>11746.726739898262</v>
      </c>
      <c r="BT26" s="100">
        <v>84479.084945310038</v>
      </c>
      <c r="BU26" s="100">
        <v>176088.1724966164</v>
      </c>
      <c r="BV26" s="100">
        <v>436966.13277363649</v>
      </c>
      <c r="BW26" s="100">
        <v>725646.86964188644</v>
      </c>
      <c r="BX26" s="100">
        <v>189210.61735064804</v>
      </c>
      <c r="BY26" s="100">
        <v>336533.31482467405</v>
      </c>
      <c r="BZ26" s="257"/>
      <c r="CA26" s="100"/>
      <c r="CB26" s="257"/>
      <c r="CC26" s="257"/>
      <c r="CD26" s="257"/>
      <c r="CE26" s="100">
        <v>442703.56986320257</v>
      </c>
      <c r="CF26" s="100">
        <v>278593.25521584827</v>
      </c>
      <c r="CG26" s="100">
        <v>278937.71489269892</v>
      </c>
      <c r="CH26" s="100">
        <v>1391697.930258194</v>
      </c>
      <c r="CI26" s="257"/>
      <c r="CJ26" s="437">
        <v>2709083.5633251849</v>
      </c>
      <c r="CK26" s="404">
        <v>-1266902</v>
      </c>
      <c r="CL26" s="404"/>
      <c r="CM26" s="437">
        <v>-749938.0765000002</v>
      </c>
      <c r="CO26" s="434">
        <v>-403370.21416986221</v>
      </c>
      <c r="CP26" s="437">
        <v>-391554.86849869444</v>
      </c>
      <c r="CQ26" s="437">
        <v>-726564.21053612337</v>
      </c>
      <c r="CR26" s="437">
        <v>278652.04113552615</v>
      </c>
      <c r="CS26" s="257"/>
    </row>
    <row r="27" spans="1:97" x14ac:dyDescent="0.2">
      <c r="A27" s="100">
        <v>111</v>
      </c>
      <c r="B27" s="100" t="s">
        <v>348</v>
      </c>
      <c r="C27" s="100">
        <v>18131</v>
      </c>
      <c r="D27" s="257"/>
      <c r="E27" s="257"/>
      <c r="F27" s="257"/>
      <c r="G27" s="257"/>
      <c r="H27" s="325"/>
      <c r="I27" s="257"/>
      <c r="J27" s="257"/>
      <c r="K27" s="257"/>
      <c r="L27" s="257"/>
      <c r="M27" s="257"/>
      <c r="N27" s="257"/>
      <c r="O27" s="257"/>
      <c r="P27" s="257"/>
      <c r="Q27" s="100">
        <v>561</v>
      </c>
      <c r="R27" s="100">
        <v>126</v>
      </c>
      <c r="S27" s="100">
        <v>856</v>
      </c>
      <c r="T27" s="100">
        <v>499</v>
      </c>
      <c r="U27" s="100">
        <v>16089</v>
      </c>
      <c r="V27" s="100"/>
      <c r="W27" s="100"/>
      <c r="X27" s="100"/>
      <c r="Y27" s="100"/>
      <c r="Z27" s="257"/>
      <c r="AA27" s="257"/>
      <c r="AB27" s="257"/>
      <c r="AC27" s="257"/>
      <c r="AD27" s="257"/>
      <c r="AE27" s="258">
        <v>1.0437421741086719</v>
      </c>
      <c r="AG27" s="441">
        <v>1006</v>
      </c>
      <c r="AH27" s="443">
        <v>7604</v>
      </c>
      <c r="AJ27" s="88">
        <v>790</v>
      </c>
      <c r="AM27" s="88">
        <v>0</v>
      </c>
      <c r="AN27" s="88">
        <v>43</v>
      </c>
      <c r="AP27" s="88">
        <v>0</v>
      </c>
      <c r="AQ27" s="399">
        <v>0</v>
      </c>
      <c r="AR27" s="88">
        <v>675.97</v>
      </c>
      <c r="AU27" s="399">
        <v>853</v>
      </c>
      <c r="AV27" s="399">
        <v>4482</v>
      </c>
      <c r="AY27" s="88">
        <v>0</v>
      </c>
      <c r="AZ27" s="432">
        <v>6217</v>
      </c>
      <c r="BA27" s="440">
        <v>6359</v>
      </c>
      <c r="BC27" s="439">
        <v>0</v>
      </c>
      <c r="BD27" s="88">
        <v>0</v>
      </c>
      <c r="BE27" s="88">
        <v>1</v>
      </c>
      <c r="BF27" s="434">
        <v>-996071.27099999995</v>
      </c>
      <c r="BG27" s="100">
        <v>-355327.37</v>
      </c>
      <c r="BH27" s="257"/>
      <c r="BI27" s="100"/>
      <c r="BJ27" s="257"/>
      <c r="BK27" s="100"/>
      <c r="BL27" s="100"/>
      <c r="BM27" s="100"/>
      <c r="BN27" s="257"/>
      <c r="BO27" s="100"/>
      <c r="BP27" s="100">
        <v>1456682</v>
      </c>
      <c r="BQ27" s="100">
        <v>464204</v>
      </c>
      <c r="BR27" s="100">
        <v>1094866.502573506</v>
      </c>
      <c r="BS27" s="100">
        <v>51131.63424286549</v>
      </c>
      <c r="BT27" s="100">
        <v>176358.02767384014</v>
      </c>
      <c r="BU27" s="100">
        <v>602628.23120425513</v>
      </c>
      <c r="BV27" s="100">
        <v>940187.99114162312</v>
      </c>
      <c r="BW27" s="100">
        <v>1578097.1405111526</v>
      </c>
      <c r="BX27" s="100">
        <v>472697.78597736609</v>
      </c>
      <c r="BY27" s="100">
        <v>815657.87243266194</v>
      </c>
      <c r="BZ27" s="257"/>
      <c r="CA27" s="100"/>
      <c r="CB27" s="257"/>
      <c r="CC27" s="257"/>
      <c r="CD27" s="257"/>
      <c r="CE27" s="100">
        <v>1054434.0779268781</v>
      </c>
      <c r="CF27" s="100">
        <v>611502.71016074962</v>
      </c>
      <c r="CG27" s="100">
        <v>608858.81233174924</v>
      </c>
      <c r="CH27" s="100">
        <v>3072896.7526258295</v>
      </c>
      <c r="CI27" s="257"/>
      <c r="CJ27" s="437">
        <v>5640682.2281440506</v>
      </c>
      <c r="CK27" s="404">
        <v>-2686211</v>
      </c>
      <c r="CL27" s="404"/>
      <c r="CM27" s="437">
        <v>107562.38499999998</v>
      </c>
      <c r="CO27" s="434">
        <v>3280698.7248838502</v>
      </c>
      <c r="CP27" s="437">
        <v>3541575.827549221</v>
      </c>
      <c r="CQ27" s="437">
        <v>-1640310.7584647557</v>
      </c>
      <c r="CR27" s="437">
        <v>629092.28711595375</v>
      </c>
      <c r="CS27" s="257"/>
    </row>
    <row r="28" spans="1:97" x14ac:dyDescent="0.2">
      <c r="A28" s="100">
        <v>90</v>
      </c>
      <c r="B28" s="100" t="s">
        <v>337</v>
      </c>
      <c r="C28" s="100">
        <v>3061</v>
      </c>
      <c r="D28" s="257"/>
      <c r="E28" s="257"/>
      <c r="F28" s="257"/>
      <c r="G28" s="257"/>
      <c r="H28" s="325"/>
      <c r="I28" s="257"/>
      <c r="J28" s="257"/>
      <c r="K28" s="257"/>
      <c r="L28" s="257"/>
      <c r="M28" s="257"/>
      <c r="N28" s="257"/>
      <c r="O28" s="257"/>
      <c r="P28" s="257"/>
      <c r="Q28" s="100">
        <v>68</v>
      </c>
      <c r="R28" s="100">
        <v>18</v>
      </c>
      <c r="S28" s="100">
        <v>141</v>
      </c>
      <c r="T28" s="100">
        <v>88</v>
      </c>
      <c r="U28" s="100">
        <v>2746</v>
      </c>
      <c r="V28" s="100"/>
      <c r="W28" s="100"/>
      <c r="X28" s="100"/>
      <c r="Y28" s="100"/>
      <c r="Z28" s="257"/>
      <c r="AA28" s="257"/>
      <c r="AB28" s="257"/>
      <c r="AC28" s="257"/>
      <c r="AD28" s="257"/>
      <c r="AE28" s="258">
        <v>0.80300750337431859</v>
      </c>
      <c r="AG28" s="441">
        <v>153.83333333333334</v>
      </c>
      <c r="AH28" s="443">
        <v>1219</v>
      </c>
      <c r="AJ28" s="88">
        <v>100</v>
      </c>
      <c r="AM28" s="88">
        <v>0</v>
      </c>
      <c r="AN28" s="88">
        <v>10</v>
      </c>
      <c r="AP28" s="88">
        <v>0</v>
      </c>
      <c r="AQ28" s="399">
        <v>0</v>
      </c>
      <c r="AR28" s="88">
        <v>1029.96</v>
      </c>
      <c r="AU28" s="399">
        <v>135</v>
      </c>
      <c r="AV28" s="399">
        <v>693</v>
      </c>
      <c r="AY28" s="88">
        <v>1.6935833333333332</v>
      </c>
      <c r="AZ28" s="432">
        <v>977</v>
      </c>
      <c r="BA28" s="440">
        <v>1013</v>
      </c>
      <c r="BC28" s="439">
        <v>0</v>
      </c>
      <c r="BD28" s="88">
        <v>0</v>
      </c>
      <c r="BE28" s="88">
        <v>0</v>
      </c>
      <c r="BF28" s="434">
        <v>-114718.692</v>
      </c>
      <c r="BG28" s="100">
        <v>-61395.16</v>
      </c>
      <c r="BH28" s="257"/>
      <c r="BI28" s="100"/>
      <c r="BJ28" s="257"/>
      <c r="BK28" s="100"/>
      <c r="BL28" s="100"/>
      <c r="BM28" s="100"/>
      <c r="BN28" s="257"/>
      <c r="BO28" s="100"/>
      <c r="BP28" s="100">
        <v>414960</v>
      </c>
      <c r="BQ28" s="100">
        <v>115556</v>
      </c>
      <c r="BR28" s="100">
        <v>307791.14450007031</v>
      </c>
      <c r="BS28" s="100">
        <v>16925.364455990541</v>
      </c>
      <c r="BT28" s="100">
        <v>55473.379691860675</v>
      </c>
      <c r="BU28" s="100">
        <v>155595.83504072958</v>
      </c>
      <c r="BV28" s="100">
        <v>191991.19827667397</v>
      </c>
      <c r="BW28" s="100">
        <v>291574.71041543433</v>
      </c>
      <c r="BX28" s="100">
        <v>90136.825124678668</v>
      </c>
      <c r="BY28" s="100">
        <v>169233.90248930658</v>
      </c>
      <c r="BZ28" s="257"/>
      <c r="CA28" s="100"/>
      <c r="CB28" s="257"/>
      <c r="CC28" s="257"/>
      <c r="CD28" s="257"/>
      <c r="CE28" s="100">
        <v>235908.47120660375</v>
      </c>
      <c r="CF28" s="100">
        <v>118060.74426738336</v>
      </c>
      <c r="CG28" s="100">
        <v>110069.00848010452</v>
      </c>
      <c r="CH28" s="100">
        <v>704029.19670250802</v>
      </c>
      <c r="CI28" s="257"/>
      <c r="CJ28" s="437">
        <v>538376.61967507505</v>
      </c>
      <c r="CK28" s="404">
        <v>-428605</v>
      </c>
      <c r="CL28" s="404"/>
      <c r="CM28" s="437">
        <v>-7459.25</v>
      </c>
      <c r="CO28" s="434">
        <v>-486058.51399567164</v>
      </c>
      <c r="CP28" s="437">
        <v>-1029041.8426494577</v>
      </c>
      <c r="CQ28" s="437">
        <v>-276928.53299104393</v>
      </c>
      <c r="CR28" s="437">
        <v>106207.68246990979</v>
      </c>
      <c r="CS28" s="257"/>
    </row>
    <row r="29" spans="1:97" x14ac:dyDescent="0.2">
      <c r="A29" s="100">
        <v>91</v>
      </c>
      <c r="B29" s="100" t="s">
        <v>338</v>
      </c>
      <c r="C29" s="100">
        <v>664028</v>
      </c>
      <c r="D29" s="257"/>
      <c r="E29" s="257"/>
      <c r="F29" s="257"/>
      <c r="G29" s="257"/>
      <c r="H29" s="325"/>
      <c r="I29" s="257"/>
      <c r="J29" s="257"/>
      <c r="K29" s="257"/>
      <c r="L29" s="257"/>
      <c r="M29" s="257"/>
      <c r="N29" s="257"/>
      <c r="O29" s="257"/>
      <c r="P29" s="257"/>
      <c r="Q29" s="100">
        <v>36837</v>
      </c>
      <c r="R29" s="100">
        <v>6350</v>
      </c>
      <c r="S29" s="100">
        <v>38998</v>
      </c>
      <c r="T29" s="100">
        <v>18220</v>
      </c>
      <c r="U29" s="100">
        <v>563623</v>
      </c>
      <c r="V29" s="100"/>
      <c r="W29" s="100"/>
      <c r="X29" s="100"/>
      <c r="Y29" s="100"/>
      <c r="Z29" s="257"/>
      <c r="AA29" s="257"/>
      <c r="AB29" s="257"/>
      <c r="AC29" s="257"/>
      <c r="AD29" s="257"/>
      <c r="AE29" s="258">
        <v>1.0136348440234431</v>
      </c>
      <c r="AG29" s="441">
        <v>36650.416666666664</v>
      </c>
      <c r="AH29" s="443">
        <v>351606</v>
      </c>
      <c r="AJ29" s="88">
        <v>121684</v>
      </c>
      <c r="AM29" s="88">
        <v>1</v>
      </c>
      <c r="AN29" s="88">
        <v>36748</v>
      </c>
      <c r="AP29" s="88">
        <v>3</v>
      </c>
      <c r="AQ29" s="399">
        <v>1026</v>
      </c>
      <c r="AR29" s="88">
        <v>214.42</v>
      </c>
      <c r="AU29" s="399">
        <v>42390</v>
      </c>
      <c r="AV29" s="399">
        <v>245006</v>
      </c>
      <c r="AY29" s="88">
        <v>0</v>
      </c>
      <c r="AZ29" s="432">
        <v>416086</v>
      </c>
      <c r="BA29" s="440">
        <v>314578</v>
      </c>
      <c r="BC29" s="439">
        <v>0.52</v>
      </c>
      <c r="BD29" s="88">
        <v>0</v>
      </c>
      <c r="BE29" s="88">
        <v>63</v>
      </c>
      <c r="BF29" s="434">
        <v>-59669495.5207</v>
      </c>
      <c r="BG29" s="100">
        <v>-12619433.200000001</v>
      </c>
      <c r="BH29" s="257"/>
      <c r="BI29" s="100"/>
      <c r="BJ29" s="257"/>
      <c r="BK29" s="100"/>
      <c r="BL29" s="100"/>
      <c r="BM29" s="100"/>
      <c r="BN29" s="257"/>
      <c r="BO29" s="100"/>
      <c r="BP29" s="100">
        <v>33023199</v>
      </c>
      <c r="BQ29" s="100">
        <v>13663332</v>
      </c>
      <c r="BR29" s="100">
        <v>32140867.169646222</v>
      </c>
      <c r="BS29" s="100">
        <v>1308957.2843008279</v>
      </c>
      <c r="BT29" s="100">
        <v>-4477969.0558731928</v>
      </c>
      <c r="BU29" s="100">
        <v>10724768.730212379</v>
      </c>
      <c r="BV29" s="100">
        <v>29262801.231433734</v>
      </c>
      <c r="BW29" s="100">
        <v>38415270.925148882</v>
      </c>
      <c r="BX29" s="100">
        <v>16686708.26220784</v>
      </c>
      <c r="BY29" s="100">
        <v>24888950.392245889</v>
      </c>
      <c r="BZ29" s="257"/>
      <c r="CA29" s="100"/>
      <c r="CB29" s="257"/>
      <c r="CC29" s="257"/>
      <c r="CD29" s="257"/>
      <c r="CE29" s="100">
        <v>40187533.043038309</v>
      </c>
      <c r="CF29" s="100">
        <v>21222019.270415824</v>
      </c>
      <c r="CG29" s="100">
        <v>21073375.173252627</v>
      </c>
      <c r="CH29" s="100">
        <v>89144112.888305768</v>
      </c>
      <c r="CI29" s="257"/>
      <c r="CJ29" s="437">
        <v>-58174880.507060565</v>
      </c>
      <c r="CK29" s="404">
        <v>37156987</v>
      </c>
      <c r="CL29" s="404"/>
      <c r="CM29" s="437">
        <v>-91691765.444099933</v>
      </c>
      <c r="CO29" s="434">
        <v>54989247.892376915</v>
      </c>
      <c r="CP29" s="437">
        <v>-28115778.312948432</v>
      </c>
      <c r="CQ29" s="437">
        <v>-60074583.438411273</v>
      </c>
      <c r="CR29" s="437">
        <v>23039815.411672413</v>
      </c>
      <c r="CS29" s="257"/>
    </row>
    <row r="30" spans="1:97" x14ac:dyDescent="0.2">
      <c r="A30" s="100">
        <v>97</v>
      </c>
      <c r="B30" s="100" t="s">
        <v>340</v>
      </c>
      <c r="C30" s="100">
        <v>2091</v>
      </c>
      <c r="D30" s="257"/>
      <c r="E30" s="257"/>
      <c r="F30" s="257"/>
      <c r="G30" s="257"/>
      <c r="H30" s="325"/>
      <c r="I30" s="257"/>
      <c r="J30" s="257"/>
      <c r="K30" s="257"/>
      <c r="L30" s="257"/>
      <c r="M30" s="257"/>
      <c r="N30" s="257"/>
      <c r="O30" s="257"/>
      <c r="P30" s="257"/>
      <c r="Q30" s="100">
        <v>69</v>
      </c>
      <c r="R30" s="100">
        <v>16</v>
      </c>
      <c r="S30" s="100">
        <v>93</v>
      </c>
      <c r="T30" s="100">
        <v>42</v>
      </c>
      <c r="U30" s="100">
        <v>1871</v>
      </c>
      <c r="V30" s="100"/>
      <c r="W30" s="100"/>
      <c r="X30" s="100"/>
      <c r="Y30" s="100"/>
      <c r="Z30" s="257"/>
      <c r="AA30" s="257"/>
      <c r="AB30" s="257"/>
      <c r="AC30" s="257"/>
      <c r="AD30" s="257"/>
      <c r="AE30" s="258">
        <v>0.85796600981809912</v>
      </c>
      <c r="AG30" s="441">
        <v>91.583333333333329</v>
      </c>
      <c r="AH30" s="443">
        <v>871</v>
      </c>
      <c r="AJ30" s="88">
        <v>51</v>
      </c>
      <c r="AM30" s="88">
        <v>0</v>
      </c>
      <c r="AN30" s="88">
        <v>9</v>
      </c>
      <c r="AP30" s="88">
        <v>3</v>
      </c>
      <c r="AQ30" s="399">
        <v>1631</v>
      </c>
      <c r="AR30" s="88">
        <v>465.09</v>
      </c>
      <c r="AU30" s="399">
        <v>65</v>
      </c>
      <c r="AV30" s="399">
        <v>477</v>
      </c>
      <c r="AY30" s="88">
        <v>0.77800000000000002</v>
      </c>
      <c r="AZ30" s="432">
        <v>550</v>
      </c>
      <c r="BA30" s="440">
        <v>747</v>
      </c>
      <c r="BC30" s="439">
        <v>0</v>
      </c>
      <c r="BD30" s="88">
        <v>0</v>
      </c>
      <c r="BE30" s="88">
        <v>0</v>
      </c>
      <c r="BF30" s="434">
        <v>-91345.73</v>
      </c>
      <c r="BG30" s="100">
        <v>-41416.76</v>
      </c>
      <c r="BH30" s="257"/>
      <c r="BI30" s="100"/>
      <c r="BJ30" s="257"/>
      <c r="BK30" s="100"/>
      <c r="BL30" s="100"/>
      <c r="BM30" s="100"/>
      <c r="BN30" s="257"/>
      <c r="BO30" s="100"/>
      <c r="BP30" s="100">
        <v>269011</v>
      </c>
      <c r="BQ30" s="100">
        <v>77732</v>
      </c>
      <c r="BR30" s="100">
        <v>190041.25671568306</v>
      </c>
      <c r="BS30" s="100">
        <v>10897.256558483559</v>
      </c>
      <c r="BT30" s="100">
        <v>25535.254371790128</v>
      </c>
      <c r="BU30" s="100">
        <v>85775.731709498097</v>
      </c>
      <c r="BV30" s="100">
        <v>128813.02749965513</v>
      </c>
      <c r="BW30" s="100">
        <v>190256.91296283979</v>
      </c>
      <c r="BX30" s="100">
        <v>60157.407084633342</v>
      </c>
      <c r="BY30" s="100">
        <v>104659.81900820851</v>
      </c>
      <c r="BZ30" s="257"/>
      <c r="CA30" s="100"/>
      <c r="CB30" s="257"/>
      <c r="CC30" s="257"/>
      <c r="CD30" s="257"/>
      <c r="CE30" s="100">
        <v>146024.33641927896</v>
      </c>
      <c r="CF30" s="100">
        <v>77665.859780905463</v>
      </c>
      <c r="CG30" s="100">
        <v>76438.731557763953</v>
      </c>
      <c r="CH30" s="100">
        <v>448682.95524441573</v>
      </c>
      <c r="CI30" s="257"/>
      <c r="CJ30" s="437">
        <v>295078.15947681328</v>
      </c>
      <c r="CK30" s="404">
        <v>-603206</v>
      </c>
      <c r="CL30" s="404"/>
      <c r="CM30" s="437">
        <v>-23153.512000000002</v>
      </c>
      <c r="CO30" s="434">
        <v>-405753.15873340226</v>
      </c>
      <c r="CP30" s="437">
        <v>172142.79542634648</v>
      </c>
      <c r="CQ30" s="437">
        <v>-189172.67640779904</v>
      </c>
      <c r="CR30" s="437">
        <v>72551.540034165751</v>
      </c>
      <c r="CS30" s="257"/>
    </row>
    <row r="31" spans="1:97" x14ac:dyDescent="0.2">
      <c r="A31" s="100">
        <v>98</v>
      </c>
      <c r="B31" s="100" t="s">
        <v>341</v>
      </c>
      <c r="C31" s="100">
        <v>22943</v>
      </c>
      <c r="D31" s="257"/>
      <c r="E31" s="257"/>
      <c r="F31" s="257"/>
      <c r="G31" s="257"/>
      <c r="H31" s="325"/>
      <c r="I31" s="257"/>
      <c r="J31" s="257"/>
      <c r="K31" s="257"/>
      <c r="L31" s="257"/>
      <c r="M31" s="257"/>
      <c r="N31" s="257"/>
      <c r="O31" s="257"/>
      <c r="P31" s="257"/>
      <c r="Q31" s="100">
        <v>1173</v>
      </c>
      <c r="R31" s="100">
        <v>247</v>
      </c>
      <c r="S31" s="100">
        <v>1745</v>
      </c>
      <c r="T31" s="100">
        <v>894</v>
      </c>
      <c r="U31" s="100">
        <v>18884</v>
      </c>
      <c r="V31" s="100"/>
      <c r="W31" s="100"/>
      <c r="X31" s="100"/>
      <c r="Y31" s="100"/>
      <c r="Z31" s="257"/>
      <c r="AA31" s="257"/>
      <c r="AB31" s="257"/>
      <c r="AC31" s="257"/>
      <c r="AD31" s="257"/>
      <c r="AE31" s="258">
        <v>1.022881052094377</v>
      </c>
      <c r="AG31" s="441">
        <v>790.5</v>
      </c>
      <c r="AH31" s="443">
        <v>10598</v>
      </c>
      <c r="AJ31" s="88">
        <v>674</v>
      </c>
      <c r="AM31" s="88">
        <v>0</v>
      </c>
      <c r="AN31" s="88">
        <v>69</v>
      </c>
      <c r="AP31" s="88">
        <v>0</v>
      </c>
      <c r="AQ31" s="399">
        <v>0</v>
      </c>
      <c r="AR31" s="88">
        <v>651.41</v>
      </c>
      <c r="AU31" s="399">
        <v>830</v>
      </c>
      <c r="AV31" s="399">
        <v>6970</v>
      </c>
      <c r="AY31" s="88">
        <v>0</v>
      </c>
      <c r="AZ31" s="432">
        <v>5862</v>
      </c>
      <c r="BA31" s="440">
        <v>9519</v>
      </c>
      <c r="BC31" s="439">
        <v>0</v>
      </c>
      <c r="BD31" s="88">
        <v>0</v>
      </c>
      <c r="BE31" s="88">
        <v>3</v>
      </c>
      <c r="BF31" s="434">
        <v>-764328.34</v>
      </c>
      <c r="BG31" s="100">
        <v>-446651.71</v>
      </c>
      <c r="BH31" s="257"/>
      <c r="BI31" s="100"/>
      <c r="BJ31" s="257"/>
      <c r="BK31" s="100"/>
      <c r="BL31" s="100"/>
      <c r="BM31" s="100"/>
      <c r="BN31" s="257"/>
      <c r="BO31" s="100"/>
      <c r="BP31" s="100">
        <v>1736483</v>
      </c>
      <c r="BQ31" s="100">
        <v>558359</v>
      </c>
      <c r="BR31" s="100">
        <v>1223351.0324556248</v>
      </c>
      <c r="BS31" s="100">
        <v>36326.026434510357</v>
      </c>
      <c r="BT31" s="100">
        <v>-13553.016595419416</v>
      </c>
      <c r="BU31" s="100">
        <v>554073.51284309255</v>
      </c>
      <c r="BV31" s="100">
        <v>1083021.0232353462</v>
      </c>
      <c r="BW31" s="100">
        <v>1830343.4831230547</v>
      </c>
      <c r="BX31" s="100">
        <v>480880.24455101008</v>
      </c>
      <c r="BY31" s="100">
        <v>881083.62266663776</v>
      </c>
      <c r="BZ31" s="257"/>
      <c r="CA31" s="100"/>
      <c r="CB31" s="257"/>
      <c r="CC31" s="257"/>
      <c r="CD31" s="257"/>
      <c r="CE31" s="100">
        <v>1130665.4157508614</v>
      </c>
      <c r="CF31" s="100">
        <v>692413.03605301993</v>
      </c>
      <c r="CG31" s="100">
        <v>695894.09732116992</v>
      </c>
      <c r="CH31" s="100">
        <v>3417359.4084765422</v>
      </c>
      <c r="CI31" s="257"/>
      <c r="CJ31" s="437">
        <v>5853940.8935225541</v>
      </c>
      <c r="CK31" s="404">
        <v>-5461771</v>
      </c>
      <c r="CL31" s="404"/>
      <c r="CM31" s="437">
        <v>-1892208.8334000004</v>
      </c>
      <c r="CO31" s="434">
        <v>4492276.8841181984</v>
      </c>
      <c r="CP31" s="434">
        <v>2694539.6828379971</v>
      </c>
      <c r="CQ31" s="434">
        <v>-2075652.1830818427</v>
      </c>
      <c r="CR31" s="434">
        <v>796054.51124049013</v>
      </c>
      <c r="CS31" s="257"/>
    </row>
    <row r="32" spans="1:97" x14ac:dyDescent="0.2">
      <c r="A32" s="100">
        <v>102</v>
      </c>
      <c r="B32" s="100" t="s">
        <v>342</v>
      </c>
      <c r="C32" s="100">
        <v>9745</v>
      </c>
      <c r="D32" s="257"/>
      <c r="E32" s="257"/>
      <c r="F32" s="257"/>
      <c r="G32" s="257"/>
      <c r="H32" s="325"/>
      <c r="I32" s="257"/>
      <c r="J32" s="257"/>
      <c r="K32" s="257"/>
      <c r="L32" s="257"/>
      <c r="M32" s="257"/>
      <c r="N32" s="257"/>
      <c r="O32" s="257"/>
      <c r="P32" s="257"/>
      <c r="Q32" s="100">
        <v>438</v>
      </c>
      <c r="R32" s="100">
        <v>100</v>
      </c>
      <c r="S32" s="100">
        <v>595</v>
      </c>
      <c r="T32" s="100">
        <v>305</v>
      </c>
      <c r="U32" s="100">
        <v>8307</v>
      </c>
      <c r="V32" s="100"/>
      <c r="W32" s="100"/>
      <c r="X32" s="100"/>
      <c r="Y32" s="100"/>
      <c r="Z32" s="257"/>
      <c r="AA32" s="257"/>
      <c r="AB32" s="257"/>
      <c r="AC32" s="257"/>
      <c r="AD32" s="257"/>
      <c r="AE32" s="258">
        <v>0.96525423384015974</v>
      </c>
      <c r="AG32" s="441">
        <v>268.75</v>
      </c>
      <c r="AH32" s="443">
        <v>4376</v>
      </c>
      <c r="AJ32" s="88">
        <v>431</v>
      </c>
      <c r="AM32" s="88">
        <v>0</v>
      </c>
      <c r="AN32" s="88">
        <v>17</v>
      </c>
      <c r="AP32" s="88">
        <v>0</v>
      </c>
      <c r="AQ32" s="399">
        <v>0</v>
      </c>
      <c r="AR32" s="88">
        <v>532.65</v>
      </c>
      <c r="AU32" s="399">
        <v>378</v>
      </c>
      <c r="AV32" s="399">
        <v>2662</v>
      </c>
      <c r="AY32" s="88">
        <v>0</v>
      </c>
      <c r="AZ32" s="432">
        <v>4019</v>
      </c>
      <c r="BA32" s="440">
        <v>4013</v>
      </c>
      <c r="BC32" s="439">
        <v>0</v>
      </c>
      <c r="BD32" s="88">
        <v>0</v>
      </c>
      <c r="BE32" s="88">
        <v>0</v>
      </c>
      <c r="BF32" s="434">
        <v>-289760.42499999999</v>
      </c>
      <c r="BG32" s="100">
        <v>-190889.77000000002</v>
      </c>
      <c r="BH32" s="257"/>
      <c r="BI32" s="100"/>
      <c r="BJ32" s="257"/>
      <c r="BK32" s="100"/>
      <c r="BL32" s="100"/>
      <c r="BM32" s="100"/>
      <c r="BN32" s="257"/>
      <c r="BO32" s="100"/>
      <c r="BP32" s="100">
        <v>957097</v>
      </c>
      <c r="BQ32" s="100">
        <v>307625</v>
      </c>
      <c r="BR32" s="100">
        <v>775785.65017119201</v>
      </c>
      <c r="BS32" s="100">
        <v>36395.601393886747</v>
      </c>
      <c r="BT32" s="100">
        <v>60999.028802497414</v>
      </c>
      <c r="BU32" s="100">
        <v>342628.85533858417</v>
      </c>
      <c r="BV32" s="100">
        <v>602833.9381420163</v>
      </c>
      <c r="BW32" s="100">
        <v>951555.92533722846</v>
      </c>
      <c r="BX32" s="100">
        <v>298048.6815636204</v>
      </c>
      <c r="BY32" s="100">
        <v>488371.1271958896</v>
      </c>
      <c r="BZ32" s="257"/>
      <c r="CA32" s="100"/>
      <c r="CB32" s="257"/>
      <c r="CC32" s="257"/>
      <c r="CD32" s="257"/>
      <c r="CE32" s="100">
        <v>660127.54033724486</v>
      </c>
      <c r="CF32" s="100">
        <v>374531.5869574559</v>
      </c>
      <c r="CG32" s="100">
        <v>387970.93960708322</v>
      </c>
      <c r="CH32" s="100">
        <v>2140556.412930782</v>
      </c>
      <c r="CI32" s="257"/>
      <c r="CJ32" s="437">
        <v>3902026.9960696246</v>
      </c>
      <c r="CK32" s="404">
        <v>1063126</v>
      </c>
      <c r="CL32" s="404"/>
      <c r="CM32" s="437">
        <v>201772.71249999999</v>
      </c>
      <c r="CO32" s="434">
        <v>308957.92017051665</v>
      </c>
      <c r="CP32" s="437">
        <v>4791.4842098575973</v>
      </c>
      <c r="CQ32" s="437">
        <v>-881629.71381826955</v>
      </c>
      <c r="CR32" s="437">
        <v>338122.79179002641</v>
      </c>
      <c r="CS32" s="257"/>
    </row>
    <row r="33" spans="1:97" x14ac:dyDescent="0.2">
      <c r="A33" s="100">
        <v>103</v>
      </c>
      <c r="B33" s="100" t="s">
        <v>343</v>
      </c>
      <c r="C33" s="100">
        <v>2161</v>
      </c>
      <c r="D33" s="257"/>
      <c r="E33" s="257"/>
      <c r="F33" s="257"/>
      <c r="G33" s="257"/>
      <c r="H33" s="325"/>
      <c r="I33" s="257"/>
      <c r="J33" s="257"/>
      <c r="K33" s="257"/>
      <c r="L33" s="257"/>
      <c r="M33" s="257"/>
      <c r="N33" s="257"/>
      <c r="O33" s="257"/>
      <c r="P33" s="257"/>
      <c r="Q33" s="100">
        <v>95</v>
      </c>
      <c r="R33" s="100">
        <v>13</v>
      </c>
      <c r="S33" s="100">
        <v>125</v>
      </c>
      <c r="T33" s="100">
        <v>76</v>
      </c>
      <c r="U33" s="100">
        <v>1852</v>
      </c>
      <c r="V33" s="100"/>
      <c r="W33" s="100"/>
      <c r="X33" s="100"/>
      <c r="Y33" s="100"/>
      <c r="Z33" s="257"/>
      <c r="AA33" s="257"/>
      <c r="AB33" s="257"/>
      <c r="AC33" s="257"/>
      <c r="AD33" s="257"/>
      <c r="AE33" s="258">
        <v>0.47031527015640762</v>
      </c>
      <c r="AG33" s="441">
        <v>94.833333333333329</v>
      </c>
      <c r="AH33" s="443">
        <v>962</v>
      </c>
      <c r="AJ33" s="88">
        <v>46</v>
      </c>
      <c r="AM33" s="88">
        <v>0</v>
      </c>
      <c r="AN33" s="88">
        <v>3</v>
      </c>
      <c r="AP33" s="88">
        <v>0</v>
      </c>
      <c r="AQ33" s="399">
        <v>0</v>
      </c>
      <c r="AR33" s="88">
        <v>147.96</v>
      </c>
      <c r="AU33" s="399">
        <v>80</v>
      </c>
      <c r="AV33" s="399">
        <v>567</v>
      </c>
      <c r="AY33" s="88">
        <v>0</v>
      </c>
      <c r="AZ33" s="432">
        <v>503</v>
      </c>
      <c r="BA33" s="440">
        <v>839</v>
      </c>
      <c r="BC33" s="439">
        <v>0</v>
      </c>
      <c r="BD33" s="88">
        <v>0</v>
      </c>
      <c r="BE33" s="88">
        <v>0</v>
      </c>
      <c r="BF33" s="434">
        <v>-67852.179999999993</v>
      </c>
      <c r="BG33" s="100">
        <v>-41762.54</v>
      </c>
      <c r="BH33" s="257"/>
      <c r="BI33" s="100"/>
      <c r="BJ33" s="257"/>
      <c r="BK33" s="100"/>
      <c r="BL33" s="100"/>
      <c r="BM33" s="100"/>
      <c r="BN33" s="257"/>
      <c r="BO33" s="100"/>
      <c r="BP33" s="100">
        <v>237213</v>
      </c>
      <c r="BQ33" s="100">
        <v>76959</v>
      </c>
      <c r="BR33" s="100">
        <v>185381.41894099</v>
      </c>
      <c r="BS33" s="100">
        <v>8896.7136972125118</v>
      </c>
      <c r="BT33" s="100">
        <v>23020.654666398081</v>
      </c>
      <c r="BU33" s="100">
        <v>81482.308758963845</v>
      </c>
      <c r="BV33" s="100">
        <v>137785.34401540196</v>
      </c>
      <c r="BW33" s="100">
        <v>228247.47389965283</v>
      </c>
      <c r="BX33" s="100">
        <v>63114.290344115077</v>
      </c>
      <c r="BY33" s="100">
        <v>116107.3790465076</v>
      </c>
      <c r="BZ33" s="257"/>
      <c r="CA33" s="100"/>
      <c r="CB33" s="257"/>
      <c r="CC33" s="257"/>
      <c r="CD33" s="257"/>
      <c r="CE33" s="100">
        <v>161350.57343617201</v>
      </c>
      <c r="CF33" s="100">
        <v>88098.615927090214</v>
      </c>
      <c r="CG33" s="100">
        <v>85151.131473223213</v>
      </c>
      <c r="CH33" s="100">
        <v>488886.35415327025</v>
      </c>
      <c r="CI33" s="257"/>
      <c r="CJ33" s="437">
        <v>1125081.326062046</v>
      </c>
      <c r="CK33" s="404">
        <v>-579004</v>
      </c>
      <c r="CL33" s="404"/>
      <c r="CM33" s="437">
        <v>-28345.149999999994</v>
      </c>
      <c r="CO33" s="434">
        <v>141807.7407460612</v>
      </c>
      <c r="CP33" s="437">
        <v>40086.355344394738</v>
      </c>
      <c r="CQ33" s="437">
        <v>-195505.57327463114</v>
      </c>
      <c r="CR33" s="437">
        <v>74980.333818188519</v>
      </c>
      <c r="CS33" s="257"/>
    </row>
    <row r="34" spans="1:97" x14ac:dyDescent="0.2">
      <c r="A34" s="100">
        <v>105</v>
      </c>
      <c r="B34" s="100" t="s">
        <v>344</v>
      </c>
      <c r="C34" s="100">
        <v>2094</v>
      </c>
      <c r="D34" s="257"/>
      <c r="E34" s="257"/>
      <c r="F34" s="257"/>
      <c r="G34" s="257"/>
      <c r="H34" s="325"/>
      <c r="I34" s="257"/>
      <c r="J34" s="257"/>
      <c r="K34" s="257"/>
      <c r="L34" s="257"/>
      <c r="M34" s="257"/>
      <c r="N34" s="257"/>
      <c r="O34" s="257"/>
      <c r="P34" s="257"/>
      <c r="Q34" s="100">
        <v>75</v>
      </c>
      <c r="R34" s="100">
        <v>15</v>
      </c>
      <c r="S34" s="100">
        <v>75</v>
      </c>
      <c r="T34" s="100">
        <v>46</v>
      </c>
      <c r="U34" s="100">
        <v>1883</v>
      </c>
      <c r="V34" s="100"/>
      <c r="W34" s="100"/>
      <c r="X34" s="100"/>
      <c r="Y34" s="100"/>
      <c r="Z34" s="257"/>
      <c r="AA34" s="257"/>
      <c r="AB34" s="257"/>
      <c r="AC34" s="257"/>
      <c r="AD34" s="257"/>
      <c r="AE34" s="258">
        <v>0.83903687314959141</v>
      </c>
      <c r="AG34" s="441">
        <v>90.083333333333329</v>
      </c>
      <c r="AH34" s="443">
        <v>819</v>
      </c>
      <c r="AJ34" s="88">
        <v>41</v>
      </c>
      <c r="AM34" s="88">
        <v>0</v>
      </c>
      <c r="AN34" s="88">
        <v>4</v>
      </c>
      <c r="AP34" s="88">
        <v>0</v>
      </c>
      <c r="AQ34" s="399">
        <v>0</v>
      </c>
      <c r="AR34" s="88">
        <v>1421.27</v>
      </c>
      <c r="AU34" s="399">
        <v>54</v>
      </c>
      <c r="AV34" s="399">
        <v>395</v>
      </c>
      <c r="AY34" s="88">
        <v>1.7368999999999999</v>
      </c>
      <c r="AZ34" s="432">
        <v>525</v>
      </c>
      <c r="BA34" s="440">
        <v>665</v>
      </c>
      <c r="BC34" s="439">
        <v>0</v>
      </c>
      <c r="BD34" s="88">
        <v>0</v>
      </c>
      <c r="BE34" s="88">
        <v>0</v>
      </c>
      <c r="BF34" s="434">
        <v>-50043.32</v>
      </c>
      <c r="BG34" s="100">
        <v>-42242.79</v>
      </c>
      <c r="BH34" s="257"/>
      <c r="BI34" s="100"/>
      <c r="BJ34" s="257"/>
      <c r="BK34" s="100"/>
      <c r="BL34" s="100"/>
      <c r="BM34" s="100"/>
      <c r="BN34" s="257"/>
      <c r="BO34" s="100"/>
      <c r="BP34" s="100">
        <v>279305</v>
      </c>
      <c r="BQ34" s="100">
        <v>81640</v>
      </c>
      <c r="BR34" s="100">
        <v>204901.33930158522</v>
      </c>
      <c r="BS34" s="100">
        <v>13280.894779769194</v>
      </c>
      <c r="BT34" s="100">
        <v>45938.392715675531</v>
      </c>
      <c r="BU34" s="100">
        <v>110928.5401283251</v>
      </c>
      <c r="BV34" s="100">
        <v>130583.63289368991</v>
      </c>
      <c r="BW34" s="100">
        <v>213796.88144553293</v>
      </c>
      <c r="BX34" s="100">
        <v>64702.380567669832</v>
      </c>
      <c r="BY34" s="100">
        <v>116775.48090499833</v>
      </c>
      <c r="BZ34" s="257"/>
      <c r="CA34" s="100"/>
      <c r="CB34" s="257"/>
      <c r="CC34" s="257"/>
      <c r="CD34" s="257"/>
      <c r="CE34" s="100">
        <v>151211.7921405517</v>
      </c>
      <c r="CF34" s="100">
        <v>78460.893238169447</v>
      </c>
      <c r="CG34" s="100">
        <v>77379.042518517308</v>
      </c>
      <c r="CH34" s="100">
        <v>500423.75808776653</v>
      </c>
      <c r="CI34" s="257"/>
      <c r="CJ34" s="437">
        <v>916111.99700052931</v>
      </c>
      <c r="CK34" s="404">
        <v>-494661</v>
      </c>
      <c r="CL34" s="404"/>
      <c r="CM34" s="437">
        <v>13426.650000000001</v>
      </c>
      <c r="CO34" s="434">
        <v>416160.65175119706</v>
      </c>
      <c r="CP34" s="437">
        <v>364920.05347566685</v>
      </c>
      <c r="CQ34" s="437">
        <v>-189444.0862735204</v>
      </c>
      <c r="CR34" s="437">
        <v>72655.631196338159</v>
      </c>
      <c r="CS34" s="257"/>
    </row>
    <row r="35" spans="1:97" x14ac:dyDescent="0.2">
      <c r="A35" s="100">
        <v>106</v>
      </c>
      <c r="B35" s="100" t="s">
        <v>345</v>
      </c>
      <c r="C35" s="100">
        <v>46797</v>
      </c>
      <c r="D35" s="257"/>
      <c r="E35" s="257"/>
      <c r="F35" s="257"/>
      <c r="G35" s="257"/>
      <c r="H35" s="325"/>
      <c r="I35" s="257"/>
      <c r="J35" s="257"/>
      <c r="K35" s="257"/>
      <c r="L35" s="257"/>
      <c r="M35" s="257"/>
      <c r="N35" s="257"/>
      <c r="O35" s="257"/>
      <c r="P35" s="257"/>
      <c r="Q35" s="100">
        <v>2316</v>
      </c>
      <c r="R35" s="100">
        <v>428</v>
      </c>
      <c r="S35" s="100">
        <v>2981</v>
      </c>
      <c r="T35" s="100">
        <v>1671</v>
      </c>
      <c r="U35" s="100">
        <v>39401</v>
      </c>
      <c r="V35" s="100"/>
      <c r="W35" s="100"/>
      <c r="X35" s="100"/>
      <c r="Y35" s="100"/>
      <c r="Z35" s="257"/>
      <c r="AA35" s="257"/>
      <c r="AB35" s="257"/>
      <c r="AC35" s="257"/>
      <c r="AD35" s="257"/>
      <c r="AE35" s="258">
        <v>0.95525720877679976</v>
      </c>
      <c r="AG35" s="441">
        <v>2226</v>
      </c>
      <c r="AH35" s="443">
        <v>22920</v>
      </c>
      <c r="AJ35" s="88">
        <v>3379</v>
      </c>
      <c r="AM35" s="88">
        <v>0</v>
      </c>
      <c r="AN35" s="88">
        <v>429</v>
      </c>
      <c r="AP35" s="88">
        <v>0</v>
      </c>
      <c r="AQ35" s="399">
        <v>0</v>
      </c>
      <c r="AR35" s="88">
        <v>322.69</v>
      </c>
      <c r="AU35" s="399">
        <v>2219</v>
      </c>
      <c r="AV35" s="399">
        <v>14949</v>
      </c>
      <c r="AY35" s="88">
        <v>0</v>
      </c>
      <c r="AZ35" s="432">
        <v>19730</v>
      </c>
      <c r="BA35" s="440">
        <v>20748</v>
      </c>
      <c r="BC35" s="439">
        <v>0.23</v>
      </c>
      <c r="BD35" s="88">
        <v>0</v>
      </c>
      <c r="BE35" s="88">
        <v>0</v>
      </c>
      <c r="BF35" s="434">
        <v>-3238828.7296000002</v>
      </c>
      <c r="BG35" s="100">
        <v>-894724.96000000008</v>
      </c>
      <c r="BH35" s="257"/>
      <c r="BI35" s="100"/>
      <c r="BJ35" s="257"/>
      <c r="BK35" s="100"/>
      <c r="BL35" s="100"/>
      <c r="BM35" s="100"/>
      <c r="BN35" s="257"/>
      <c r="BO35" s="100"/>
      <c r="BP35" s="100">
        <v>2890456</v>
      </c>
      <c r="BQ35" s="100">
        <v>981270</v>
      </c>
      <c r="BR35" s="100">
        <v>2082748.6046677604</v>
      </c>
      <c r="BS35" s="100">
        <v>51781.001304332858</v>
      </c>
      <c r="BT35" s="100">
        <v>167661.50023022399</v>
      </c>
      <c r="BU35" s="100">
        <v>857276.2194981568</v>
      </c>
      <c r="BV35" s="100">
        <v>2081020.0263854051</v>
      </c>
      <c r="BW35" s="100">
        <v>3226311.8016826194</v>
      </c>
      <c r="BX35" s="100">
        <v>990830.64477784024</v>
      </c>
      <c r="BY35" s="100">
        <v>1709097.3955632143</v>
      </c>
      <c r="BZ35" s="257"/>
      <c r="CA35" s="100"/>
      <c r="CB35" s="257"/>
      <c r="CC35" s="257"/>
      <c r="CD35" s="257"/>
      <c r="CE35" s="100">
        <v>2111931.5495272432</v>
      </c>
      <c r="CF35" s="100">
        <v>1401558.3195883811</v>
      </c>
      <c r="CG35" s="100">
        <v>1400462.4174259233</v>
      </c>
      <c r="CH35" s="100">
        <v>6611095.3578563128</v>
      </c>
      <c r="CI35" s="257"/>
      <c r="CJ35" s="437">
        <v>-323426.846373117</v>
      </c>
      <c r="CK35" s="404">
        <v>-1947075</v>
      </c>
      <c r="CL35" s="404"/>
      <c r="CM35" s="437">
        <v>-134296.33700000006</v>
      </c>
      <c r="CO35" s="434">
        <v>-1352548.0755950077</v>
      </c>
      <c r="CP35" s="437">
        <v>718416.71500281477</v>
      </c>
      <c r="CQ35" s="437">
        <v>-4233722.4953877432</v>
      </c>
      <c r="CR35" s="437">
        <v>1623718.0387273338</v>
      </c>
      <c r="CS35" s="257"/>
    </row>
    <row r="36" spans="1:97" x14ac:dyDescent="0.2">
      <c r="A36" s="100">
        <v>108</v>
      </c>
      <c r="B36" s="100" t="s">
        <v>346</v>
      </c>
      <c r="C36" s="100">
        <v>10257</v>
      </c>
      <c r="D36" s="257"/>
      <c r="E36" s="257"/>
      <c r="F36" s="257"/>
      <c r="G36" s="257"/>
      <c r="H36" s="325"/>
      <c r="I36" s="257"/>
      <c r="J36" s="257"/>
      <c r="K36" s="257"/>
      <c r="L36" s="257"/>
      <c r="M36" s="257"/>
      <c r="N36" s="257"/>
      <c r="O36" s="257"/>
      <c r="P36" s="257"/>
      <c r="Q36" s="100">
        <v>550</v>
      </c>
      <c r="R36" s="100">
        <v>120</v>
      </c>
      <c r="S36" s="100">
        <v>768</v>
      </c>
      <c r="T36" s="100">
        <v>379</v>
      </c>
      <c r="U36" s="100">
        <v>8440</v>
      </c>
      <c r="V36" s="100"/>
      <c r="W36" s="100"/>
      <c r="X36" s="100"/>
      <c r="Y36" s="100"/>
      <c r="Z36" s="257"/>
      <c r="AA36" s="257"/>
      <c r="AB36" s="257"/>
      <c r="AC36" s="257"/>
      <c r="AD36" s="257"/>
      <c r="AE36" s="258">
        <v>1.0165532889275355</v>
      </c>
      <c r="AG36" s="441">
        <v>352.16666666666669</v>
      </c>
      <c r="AH36" s="443">
        <v>4680</v>
      </c>
      <c r="AJ36" s="88">
        <v>179</v>
      </c>
      <c r="AM36" s="88">
        <v>0</v>
      </c>
      <c r="AN36" s="88">
        <v>17</v>
      </c>
      <c r="AP36" s="88">
        <v>0</v>
      </c>
      <c r="AQ36" s="399">
        <v>0</v>
      </c>
      <c r="AR36" s="88">
        <v>463.99</v>
      </c>
      <c r="AU36" s="399">
        <v>360</v>
      </c>
      <c r="AV36" s="399">
        <v>3204</v>
      </c>
      <c r="AY36" s="88">
        <v>0</v>
      </c>
      <c r="AZ36" s="432">
        <v>2844</v>
      </c>
      <c r="BA36" s="440">
        <v>4240</v>
      </c>
      <c r="BC36" s="439">
        <v>0</v>
      </c>
      <c r="BD36" s="88">
        <v>0</v>
      </c>
      <c r="BE36" s="88">
        <v>3</v>
      </c>
      <c r="BF36" s="434">
        <v>-347785.4</v>
      </c>
      <c r="BG36" s="100">
        <v>-198708.24000000002</v>
      </c>
      <c r="BH36" s="257"/>
      <c r="BI36" s="100"/>
      <c r="BJ36" s="257"/>
      <c r="BK36" s="100"/>
      <c r="BL36" s="100"/>
      <c r="BM36" s="100"/>
      <c r="BN36" s="257"/>
      <c r="BO36" s="100"/>
      <c r="BP36" s="100">
        <v>826508</v>
      </c>
      <c r="BQ36" s="100">
        <v>260391</v>
      </c>
      <c r="BR36" s="100">
        <v>579739.51677479001</v>
      </c>
      <c r="BS36" s="100">
        <v>24385.922358569595</v>
      </c>
      <c r="BT36" s="100">
        <v>9854.6739827850834</v>
      </c>
      <c r="BU36" s="100">
        <v>253279.33482305901</v>
      </c>
      <c r="BV36" s="100">
        <v>538688.74485541612</v>
      </c>
      <c r="BW36" s="100">
        <v>854332.19914349238</v>
      </c>
      <c r="BX36" s="100">
        <v>253482.71560903557</v>
      </c>
      <c r="BY36" s="100">
        <v>467947.89639310091</v>
      </c>
      <c r="BZ36" s="257"/>
      <c r="CA36" s="100"/>
      <c r="CB36" s="257"/>
      <c r="CC36" s="257"/>
      <c r="CD36" s="257"/>
      <c r="CE36" s="100">
        <v>600179.84041248099</v>
      </c>
      <c r="CF36" s="100">
        <v>367605.26964813285</v>
      </c>
      <c r="CG36" s="100">
        <v>361399.09797963384</v>
      </c>
      <c r="CH36" s="100">
        <v>1713555.3959331969</v>
      </c>
      <c r="CI36" s="257"/>
      <c r="CJ36" s="437">
        <v>4009707.1234771875</v>
      </c>
      <c r="CK36" s="404">
        <v>-1266189</v>
      </c>
      <c r="CL36" s="404"/>
      <c r="CM36" s="437">
        <v>-99312.454499999905</v>
      </c>
      <c r="CO36" s="434">
        <v>873324.66636347084</v>
      </c>
      <c r="CP36" s="437">
        <v>55220.185154640676</v>
      </c>
      <c r="CQ36" s="437">
        <v>-927950.33090138435</v>
      </c>
      <c r="CR36" s="437">
        <v>355887.68346745009</v>
      </c>
      <c r="CS36" s="257"/>
    </row>
    <row r="37" spans="1:97" x14ac:dyDescent="0.2">
      <c r="A37" s="100">
        <v>109</v>
      </c>
      <c r="B37" s="100" t="s">
        <v>347</v>
      </c>
      <c r="C37" s="100">
        <v>68043</v>
      </c>
      <c r="D37" s="257"/>
      <c r="E37" s="257"/>
      <c r="F37" s="257"/>
      <c r="G37" s="257"/>
      <c r="H37" s="325"/>
      <c r="I37" s="257"/>
      <c r="J37" s="257"/>
      <c r="K37" s="257"/>
      <c r="L37" s="257"/>
      <c r="M37" s="257"/>
      <c r="N37" s="257"/>
      <c r="O37" s="257"/>
      <c r="P37" s="257"/>
      <c r="Q37" s="100">
        <v>3197</v>
      </c>
      <c r="R37" s="100">
        <v>614</v>
      </c>
      <c r="S37" s="100">
        <v>4175</v>
      </c>
      <c r="T37" s="100">
        <v>2263</v>
      </c>
      <c r="U37" s="100">
        <v>57794</v>
      </c>
      <c r="V37" s="100"/>
      <c r="W37" s="100"/>
      <c r="X37" s="100"/>
      <c r="Y37" s="100"/>
      <c r="Z37" s="257"/>
      <c r="AA37" s="257"/>
      <c r="AB37" s="257"/>
      <c r="AC37" s="257"/>
      <c r="AD37" s="257"/>
      <c r="AE37" s="258">
        <v>1.0536324705705287</v>
      </c>
      <c r="AG37" s="441">
        <v>3146.0833333333335</v>
      </c>
      <c r="AH37" s="443">
        <v>31262</v>
      </c>
      <c r="AJ37" s="88">
        <v>4025</v>
      </c>
      <c r="AM37" s="88">
        <v>0</v>
      </c>
      <c r="AN37" s="88">
        <v>254</v>
      </c>
      <c r="AP37" s="88">
        <v>0</v>
      </c>
      <c r="AQ37" s="399">
        <v>0</v>
      </c>
      <c r="AR37" s="88">
        <v>1785.35</v>
      </c>
      <c r="AU37" s="399">
        <v>2604</v>
      </c>
      <c r="AV37" s="399">
        <v>19960</v>
      </c>
      <c r="AY37" s="88">
        <v>0</v>
      </c>
      <c r="AZ37" s="432">
        <v>28286</v>
      </c>
      <c r="BA37" s="440">
        <v>27859</v>
      </c>
      <c r="BC37" s="439">
        <v>0.2</v>
      </c>
      <c r="BD37" s="88">
        <v>0</v>
      </c>
      <c r="BE37" s="88">
        <v>5</v>
      </c>
      <c r="BF37" s="434">
        <v>-4610917.5884999996</v>
      </c>
      <c r="BG37" s="100">
        <v>-1303360.08</v>
      </c>
      <c r="BH37" s="257"/>
      <c r="BI37" s="100"/>
      <c r="BJ37" s="257"/>
      <c r="BK37" s="100"/>
      <c r="BL37" s="100"/>
      <c r="BM37" s="100"/>
      <c r="BN37" s="257"/>
      <c r="BO37" s="100"/>
      <c r="BP37" s="100">
        <v>4556748</v>
      </c>
      <c r="BQ37" s="100">
        <v>1570984</v>
      </c>
      <c r="BR37" s="100">
        <v>3432285.8347071824</v>
      </c>
      <c r="BS37" s="100">
        <v>116664.23442693883</v>
      </c>
      <c r="BT37" s="100">
        <v>300048.30933460762</v>
      </c>
      <c r="BU37" s="100">
        <v>1539308.2060349199</v>
      </c>
      <c r="BV37" s="100">
        <v>3208859.7465083851</v>
      </c>
      <c r="BW37" s="100">
        <v>5144768.0498811621</v>
      </c>
      <c r="BX37" s="100">
        <v>1560633.0035080516</v>
      </c>
      <c r="BY37" s="100">
        <v>2716617.6287746038</v>
      </c>
      <c r="BZ37" s="257"/>
      <c r="CA37" s="100"/>
      <c r="CB37" s="257"/>
      <c r="CC37" s="257"/>
      <c r="CD37" s="257"/>
      <c r="CE37" s="100">
        <v>3469698.131084118</v>
      </c>
      <c r="CF37" s="100">
        <v>2167871.8074552515</v>
      </c>
      <c r="CG37" s="100">
        <v>2131092.6034032255</v>
      </c>
      <c r="CH37" s="100">
        <v>10403021.801521907</v>
      </c>
      <c r="CI37" s="257"/>
      <c r="CJ37" s="437">
        <v>8001987.8800818073</v>
      </c>
      <c r="CK37" s="404">
        <v>-13733671</v>
      </c>
      <c r="CL37" s="404"/>
      <c r="CM37" s="437">
        <v>-245946.39100000041</v>
      </c>
      <c r="CO37" s="434">
        <v>794948.85706715717</v>
      </c>
      <c r="CP37" s="437">
        <v>2185645.9539158521</v>
      </c>
      <c r="CQ37" s="437">
        <v>-6155847.1644265279</v>
      </c>
      <c r="CR37" s="437">
        <v>2360891.6492323005</v>
      </c>
      <c r="CS37" s="257"/>
    </row>
    <row r="38" spans="1:97" x14ac:dyDescent="0.2">
      <c r="A38" s="100">
        <v>139</v>
      </c>
      <c r="B38" s="100" t="s">
        <v>349</v>
      </c>
      <c r="C38" s="100">
        <v>9853</v>
      </c>
      <c r="D38" s="257"/>
      <c r="E38" s="257"/>
      <c r="F38" s="257"/>
      <c r="G38" s="257"/>
      <c r="H38" s="325"/>
      <c r="I38" s="257"/>
      <c r="J38" s="257"/>
      <c r="K38" s="257"/>
      <c r="L38" s="257"/>
      <c r="M38" s="257"/>
      <c r="N38" s="257"/>
      <c r="O38" s="257"/>
      <c r="P38" s="257"/>
      <c r="Q38" s="100">
        <v>693</v>
      </c>
      <c r="R38" s="100">
        <v>146</v>
      </c>
      <c r="S38" s="100">
        <v>930</v>
      </c>
      <c r="T38" s="100">
        <v>499</v>
      </c>
      <c r="U38" s="100">
        <v>7585</v>
      </c>
      <c r="V38" s="100"/>
      <c r="W38" s="100"/>
      <c r="X38" s="100"/>
      <c r="Y38" s="100"/>
      <c r="Z38" s="257"/>
      <c r="AA38" s="257"/>
      <c r="AB38" s="257"/>
      <c r="AC38" s="257"/>
      <c r="AD38" s="257"/>
      <c r="AE38" s="258">
        <v>0.83121351984844827</v>
      </c>
      <c r="AG38" s="441">
        <v>437.5</v>
      </c>
      <c r="AH38" s="443">
        <v>4186</v>
      </c>
      <c r="AJ38" s="88">
        <v>79</v>
      </c>
      <c r="AM38" s="88">
        <v>0</v>
      </c>
      <c r="AN38" s="88">
        <v>16</v>
      </c>
      <c r="AP38" s="88">
        <v>0</v>
      </c>
      <c r="AQ38" s="399">
        <v>0</v>
      </c>
      <c r="AR38" s="88">
        <v>1615.71</v>
      </c>
      <c r="AU38" s="399">
        <v>265</v>
      </c>
      <c r="AV38" s="399">
        <v>2739</v>
      </c>
      <c r="AY38" s="88">
        <v>0</v>
      </c>
      <c r="AZ38" s="432">
        <v>2505</v>
      </c>
      <c r="BA38" s="440">
        <v>3700</v>
      </c>
      <c r="BC38" s="439">
        <v>0.03</v>
      </c>
      <c r="BD38" s="88">
        <v>0</v>
      </c>
      <c r="BE38" s="88">
        <v>1</v>
      </c>
      <c r="BF38" s="434">
        <v>-241754.109</v>
      </c>
      <c r="BG38" s="100">
        <v>-189180.08000000002</v>
      </c>
      <c r="BH38" s="257"/>
      <c r="BI38" s="100"/>
      <c r="BJ38" s="257"/>
      <c r="BK38" s="100"/>
      <c r="BL38" s="100"/>
      <c r="BM38" s="100"/>
      <c r="BN38" s="257"/>
      <c r="BO38" s="100"/>
      <c r="BP38" s="100">
        <v>723887</v>
      </c>
      <c r="BQ38" s="100">
        <v>216091</v>
      </c>
      <c r="BR38" s="100">
        <v>530323.51747874089</v>
      </c>
      <c r="BS38" s="100">
        <v>16076.989392230093</v>
      </c>
      <c r="BT38" s="100">
        <v>9193.4387469106223</v>
      </c>
      <c r="BU38" s="100">
        <v>255264.1904055092</v>
      </c>
      <c r="BV38" s="100">
        <v>465197.09824793745</v>
      </c>
      <c r="BW38" s="100">
        <v>685611.40682283253</v>
      </c>
      <c r="BX38" s="100">
        <v>169137.61590244822</v>
      </c>
      <c r="BY38" s="100">
        <v>374548.38230552268</v>
      </c>
      <c r="BZ38" s="257"/>
      <c r="CA38" s="100"/>
      <c r="CB38" s="257"/>
      <c r="CC38" s="257"/>
      <c r="CD38" s="257"/>
      <c r="CE38" s="100">
        <v>501255.53598157165</v>
      </c>
      <c r="CF38" s="100">
        <v>310814.96274194377</v>
      </c>
      <c r="CG38" s="100">
        <v>300394.79710153828</v>
      </c>
      <c r="CH38" s="100">
        <v>1449196.8540822233</v>
      </c>
      <c r="CI38" s="257"/>
      <c r="CJ38" s="437">
        <v>5411277.0790536571</v>
      </c>
      <c r="CK38" s="404">
        <v>-65204</v>
      </c>
      <c r="CL38" s="404"/>
      <c r="CM38" s="437">
        <v>260745.54299999995</v>
      </c>
      <c r="CO38" s="434">
        <v>-911396.29298459936</v>
      </c>
      <c r="CP38" s="437">
        <v>-1099694.161637177</v>
      </c>
      <c r="CQ38" s="437">
        <v>-891400.46898423904</v>
      </c>
      <c r="CR38" s="437">
        <v>341870.07362823299</v>
      </c>
      <c r="CS38" s="257"/>
    </row>
    <row r="39" spans="1:97" x14ac:dyDescent="0.2">
      <c r="A39" s="100">
        <v>140</v>
      </c>
      <c r="B39" s="100" t="s">
        <v>350</v>
      </c>
      <c r="C39" s="100">
        <v>20801</v>
      </c>
      <c r="D39" s="257"/>
      <c r="E39" s="257"/>
      <c r="F39" s="257"/>
      <c r="G39" s="257"/>
      <c r="H39" s="325"/>
      <c r="I39" s="257"/>
      <c r="J39" s="257"/>
      <c r="K39" s="257"/>
      <c r="L39" s="257"/>
      <c r="M39" s="257"/>
      <c r="N39" s="257"/>
      <c r="O39" s="257"/>
      <c r="P39" s="257"/>
      <c r="Q39" s="100">
        <v>949</v>
      </c>
      <c r="R39" s="100">
        <v>212</v>
      </c>
      <c r="S39" s="100">
        <v>1381</v>
      </c>
      <c r="T39" s="100">
        <v>725</v>
      </c>
      <c r="U39" s="100">
        <v>17534</v>
      </c>
      <c r="V39" s="100"/>
      <c r="W39" s="100"/>
      <c r="X39" s="100"/>
      <c r="Y39" s="100"/>
      <c r="Z39" s="257"/>
      <c r="AA39" s="257"/>
      <c r="AB39" s="257"/>
      <c r="AC39" s="257"/>
      <c r="AD39" s="257"/>
      <c r="AE39" s="258">
        <v>0.98378521883170877</v>
      </c>
      <c r="AG39" s="441">
        <v>1068.1666666666667</v>
      </c>
      <c r="AH39" s="443">
        <v>9455</v>
      </c>
      <c r="AJ39" s="88">
        <v>726</v>
      </c>
      <c r="AM39" s="88">
        <v>0</v>
      </c>
      <c r="AN39" s="88">
        <v>9</v>
      </c>
      <c r="AP39" s="88">
        <v>0</v>
      </c>
      <c r="AQ39" s="399">
        <v>0</v>
      </c>
      <c r="AR39" s="88">
        <v>762.99</v>
      </c>
      <c r="AU39" s="399">
        <v>685</v>
      </c>
      <c r="AV39" s="399">
        <v>5781</v>
      </c>
      <c r="AY39" s="88">
        <v>0.25613333333333332</v>
      </c>
      <c r="AZ39" s="432">
        <v>9048</v>
      </c>
      <c r="BA39" s="440">
        <v>8202</v>
      </c>
      <c r="BC39" s="439">
        <v>0</v>
      </c>
      <c r="BD39" s="88">
        <v>0</v>
      </c>
      <c r="BE39" s="88">
        <v>2</v>
      </c>
      <c r="BF39" s="434">
        <v>-1117997.0035999999</v>
      </c>
      <c r="BG39" s="100">
        <v>-405792.04000000004</v>
      </c>
      <c r="BH39" s="257"/>
      <c r="BI39" s="100"/>
      <c r="BJ39" s="257"/>
      <c r="BK39" s="100"/>
      <c r="BL39" s="100"/>
      <c r="BM39" s="100"/>
      <c r="BN39" s="257"/>
      <c r="BO39" s="100"/>
      <c r="BP39" s="100">
        <v>1719855</v>
      </c>
      <c r="BQ39" s="100">
        <v>554062</v>
      </c>
      <c r="BR39" s="100">
        <v>1309102.96830591</v>
      </c>
      <c r="BS39" s="100">
        <v>55085.894973506882</v>
      </c>
      <c r="BT39" s="100">
        <v>227371.5223683299</v>
      </c>
      <c r="BU39" s="100">
        <v>674080.99641225301</v>
      </c>
      <c r="BV39" s="100">
        <v>1126700.6565302126</v>
      </c>
      <c r="BW39" s="100">
        <v>1783562.8830082873</v>
      </c>
      <c r="BX39" s="100">
        <v>510782.16273364605</v>
      </c>
      <c r="BY39" s="100">
        <v>934420.57167074608</v>
      </c>
      <c r="BZ39" s="257"/>
      <c r="CA39" s="100"/>
      <c r="CB39" s="257"/>
      <c r="CC39" s="257"/>
      <c r="CD39" s="257"/>
      <c r="CE39" s="100">
        <v>1235442.3751460991</v>
      </c>
      <c r="CF39" s="100">
        <v>713421.67775171972</v>
      </c>
      <c r="CG39" s="100">
        <v>711116.14193713199</v>
      </c>
      <c r="CH39" s="100">
        <v>3679416.6630643914</v>
      </c>
      <c r="CI39" s="257"/>
      <c r="CJ39" s="437">
        <v>7386993.1066183681</v>
      </c>
      <c r="CK39" s="404">
        <v>-1410626</v>
      </c>
      <c r="CL39" s="404"/>
      <c r="CM39" s="437">
        <v>-146111.78900000005</v>
      </c>
      <c r="CO39" s="434">
        <v>5685064.8020169754</v>
      </c>
      <c r="CP39" s="437">
        <v>2959586.4972879952</v>
      </c>
      <c r="CQ39" s="437">
        <v>-1881865.5389567802</v>
      </c>
      <c r="CR39" s="437">
        <v>721733.4214493935</v>
      </c>
      <c r="CS39" s="257"/>
    </row>
    <row r="40" spans="1:97" x14ac:dyDescent="0.2">
      <c r="A40" s="100">
        <v>142</v>
      </c>
      <c r="B40" s="100" t="s">
        <v>351</v>
      </c>
      <c r="C40" s="100">
        <v>6504</v>
      </c>
      <c r="D40" s="257"/>
      <c r="E40" s="257"/>
      <c r="F40" s="257"/>
      <c r="G40" s="257"/>
      <c r="H40" s="325"/>
      <c r="I40" s="257"/>
      <c r="J40" s="257"/>
      <c r="K40" s="257"/>
      <c r="L40" s="257"/>
      <c r="M40" s="257"/>
      <c r="N40" s="257"/>
      <c r="O40" s="257"/>
      <c r="P40" s="257"/>
      <c r="Q40" s="100">
        <v>302</v>
      </c>
      <c r="R40" s="100">
        <v>58</v>
      </c>
      <c r="S40" s="100">
        <v>393</v>
      </c>
      <c r="T40" s="100">
        <v>206</v>
      </c>
      <c r="U40" s="100">
        <v>5545</v>
      </c>
      <c r="V40" s="100"/>
      <c r="W40" s="100"/>
      <c r="X40" s="100"/>
      <c r="Y40" s="100"/>
      <c r="Z40" s="257"/>
      <c r="AA40" s="257"/>
      <c r="AB40" s="257"/>
      <c r="AC40" s="257"/>
      <c r="AD40" s="257"/>
      <c r="AE40" s="258">
        <v>0.80754124858407639</v>
      </c>
      <c r="AG40" s="441">
        <v>251.33333333333334</v>
      </c>
      <c r="AH40" s="443">
        <v>2778</v>
      </c>
      <c r="AJ40" s="88">
        <v>139</v>
      </c>
      <c r="AM40" s="88">
        <v>0</v>
      </c>
      <c r="AN40" s="88">
        <v>16</v>
      </c>
      <c r="AP40" s="88">
        <v>0</v>
      </c>
      <c r="AQ40" s="399">
        <v>0</v>
      </c>
      <c r="AR40" s="88">
        <v>589.80999999999995</v>
      </c>
      <c r="AU40" s="399">
        <v>230</v>
      </c>
      <c r="AV40" s="399">
        <v>1676</v>
      </c>
      <c r="AY40" s="88">
        <v>0</v>
      </c>
      <c r="AZ40" s="432">
        <v>1949</v>
      </c>
      <c r="BA40" s="440">
        <v>2489</v>
      </c>
      <c r="BC40" s="439">
        <v>0</v>
      </c>
      <c r="BD40" s="88">
        <v>0</v>
      </c>
      <c r="BE40" s="88">
        <v>0</v>
      </c>
      <c r="BF40" s="434">
        <v>-184164.66500000001</v>
      </c>
      <c r="BG40" s="100">
        <v>-127266.25</v>
      </c>
      <c r="BH40" s="257"/>
      <c r="BI40" s="100"/>
      <c r="BJ40" s="257"/>
      <c r="BK40" s="100"/>
      <c r="BL40" s="100"/>
      <c r="BM40" s="100"/>
      <c r="BN40" s="257"/>
      <c r="BO40" s="100"/>
      <c r="BP40" s="100">
        <v>561007</v>
      </c>
      <c r="BQ40" s="100">
        <v>186515</v>
      </c>
      <c r="BR40" s="100">
        <v>430490.72209921485</v>
      </c>
      <c r="BS40" s="100">
        <v>23482.037625590612</v>
      </c>
      <c r="BT40" s="100">
        <v>26031.39221942881</v>
      </c>
      <c r="BU40" s="100">
        <v>198577.07449350462</v>
      </c>
      <c r="BV40" s="100">
        <v>350563.55389843992</v>
      </c>
      <c r="BW40" s="100">
        <v>587899.073939636</v>
      </c>
      <c r="BX40" s="100">
        <v>170386.28145441186</v>
      </c>
      <c r="BY40" s="100">
        <v>310652.33295275329</v>
      </c>
      <c r="BZ40" s="257"/>
      <c r="CA40" s="100"/>
      <c r="CB40" s="257"/>
      <c r="CC40" s="257"/>
      <c r="CD40" s="257"/>
      <c r="CE40" s="100">
        <v>411168.99369095883</v>
      </c>
      <c r="CF40" s="100">
        <v>234745.2100338485</v>
      </c>
      <c r="CG40" s="100">
        <v>222252.0828392262</v>
      </c>
      <c r="CH40" s="100">
        <v>1168964.2998406347</v>
      </c>
      <c r="CI40" s="257"/>
      <c r="CJ40" s="437">
        <v>2519733.1918312232</v>
      </c>
      <c r="CK40" s="404">
        <v>-665609</v>
      </c>
      <c r="CL40" s="404"/>
      <c r="CM40" s="437">
        <v>517895.72750000004</v>
      </c>
      <c r="CO40" s="434">
        <v>301489.22099049215</v>
      </c>
      <c r="CP40" s="437">
        <v>265064.70919079095</v>
      </c>
      <c r="CQ40" s="437">
        <v>-588416.58888394304</v>
      </c>
      <c r="CR40" s="437">
        <v>225669.63958977239</v>
      </c>
      <c r="CS40" s="257"/>
    </row>
    <row r="41" spans="1:97" x14ac:dyDescent="0.2">
      <c r="A41" s="100">
        <v>143</v>
      </c>
      <c r="B41" s="100" t="s">
        <v>352</v>
      </c>
      <c r="C41" s="100">
        <v>6804</v>
      </c>
      <c r="D41" s="257"/>
      <c r="E41" s="257"/>
      <c r="F41" s="257"/>
      <c r="G41" s="257"/>
      <c r="H41" s="325"/>
      <c r="I41" s="257"/>
      <c r="J41" s="257"/>
      <c r="K41" s="257"/>
      <c r="L41" s="257"/>
      <c r="M41" s="257"/>
      <c r="N41" s="257"/>
      <c r="O41" s="257"/>
      <c r="P41" s="257"/>
      <c r="Q41" s="100">
        <v>258</v>
      </c>
      <c r="R41" s="100">
        <v>68</v>
      </c>
      <c r="S41" s="100">
        <v>445</v>
      </c>
      <c r="T41" s="100">
        <v>203</v>
      </c>
      <c r="U41" s="100">
        <v>5830</v>
      </c>
      <c r="V41" s="100"/>
      <c r="W41" s="100"/>
      <c r="X41" s="100"/>
      <c r="Y41" s="100"/>
      <c r="Z41" s="257"/>
      <c r="AA41" s="257"/>
      <c r="AB41" s="257"/>
      <c r="AC41" s="257"/>
      <c r="AD41" s="257"/>
      <c r="AE41" s="258">
        <v>1.0007814434209863</v>
      </c>
      <c r="AG41" s="441">
        <v>237.66666666666666</v>
      </c>
      <c r="AH41" s="443">
        <v>2773</v>
      </c>
      <c r="AJ41" s="88">
        <v>177</v>
      </c>
      <c r="AM41" s="88">
        <v>0</v>
      </c>
      <c r="AN41" s="88">
        <v>13</v>
      </c>
      <c r="AP41" s="88">
        <v>0</v>
      </c>
      <c r="AQ41" s="399">
        <v>0</v>
      </c>
      <c r="AR41" s="88">
        <v>750.48</v>
      </c>
      <c r="AU41" s="399">
        <v>265</v>
      </c>
      <c r="AV41" s="399">
        <v>1777</v>
      </c>
      <c r="AY41" s="88">
        <v>8.2533333333333334E-2</v>
      </c>
      <c r="AZ41" s="432">
        <v>2150</v>
      </c>
      <c r="BA41" s="440">
        <v>2454</v>
      </c>
      <c r="BC41" s="439">
        <v>0</v>
      </c>
      <c r="BD41" s="88">
        <v>0</v>
      </c>
      <c r="BE41" s="88">
        <v>0</v>
      </c>
      <c r="BF41" s="434">
        <v>-324060.03000000003</v>
      </c>
      <c r="BG41" s="100">
        <v>-131895.86000000002</v>
      </c>
      <c r="BH41" s="257"/>
      <c r="BI41" s="100"/>
      <c r="BJ41" s="257"/>
      <c r="BK41" s="100"/>
      <c r="BL41" s="100"/>
      <c r="BM41" s="100"/>
      <c r="BN41" s="257"/>
      <c r="BO41" s="100"/>
      <c r="BP41" s="100">
        <v>680777</v>
      </c>
      <c r="BQ41" s="100">
        <v>207953</v>
      </c>
      <c r="BR41" s="100">
        <v>496189.18011094985</v>
      </c>
      <c r="BS41" s="100">
        <v>24908.36419060258</v>
      </c>
      <c r="BT41" s="100">
        <v>82317.768925386321</v>
      </c>
      <c r="BU41" s="100">
        <v>232829.75872488532</v>
      </c>
      <c r="BV41" s="100">
        <v>404587.17992137617</v>
      </c>
      <c r="BW41" s="100">
        <v>614150.25339673494</v>
      </c>
      <c r="BX41" s="100">
        <v>175764.46567039963</v>
      </c>
      <c r="BY41" s="100">
        <v>323874.86932508793</v>
      </c>
      <c r="BZ41" s="257"/>
      <c r="CA41" s="100"/>
      <c r="CB41" s="257"/>
      <c r="CC41" s="257"/>
      <c r="CD41" s="257"/>
      <c r="CE41" s="100">
        <v>436883.2520564936</v>
      </c>
      <c r="CF41" s="100">
        <v>248723.83894881452</v>
      </c>
      <c r="CG41" s="100">
        <v>235416.17791009022</v>
      </c>
      <c r="CH41" s="100">
        <v>1354020.2141943185</v>
      </c>
      <c r="CI41" s="257"/>
      <c r="CJ41" s="437">
        <v>2841861.3356856569</v>
      </c>
      <c r="CK41" s="404">
        <v>-943498</v>
      </c>
      <c r="CL41" s="404"/>
      <c r="CM41" s="437">
        <v>198341.45749999996</v>
      </c>
      <c r="CO41" s="434">
        <v>-570161.43573190132</v>
      </c>
      <c r="CP41" s="437">
        <v>3345.4344344659917</v>
      </c>
      <c r="CQ41" s="437">
        <v>-615557.57545608061</v>
      </c>
      <c r="CR41" s="437">
        <v>236078.75580701281</v>
      </c>
      <c r="CS41" s="257"/>
    </row>
    <row r="42" spans="1:97" x14ac:dyDescent="0.2">
      <c r="A42" s="100">
        <v>145</v>
      </c>
      <c r="B42" s="100" t="s">
        <v>353</v>
      </c>
      <c r="C42" s="100">
        <v>12369</v>
      </c>
      <c r="D42" s="257"/>
      <c r="E42" s="257"/>
      <c r="F42" s="257"/>
      <c r="G42" s="257"/>
      <c r="H42" s="325"/>
      <c r="I42" s="257"/>
      <c r="J42" s="257"/>
      <c r="K42" s="257"/>
      <c r="L42" s="257"/>
      <c r="M42" s="257"/>
      <c r="N42" s="257"/>
      <c r="O42" s="257"/>
      <c r="P42" s="257"/>
      <c r="Q42" s="100">
        <v>860</v>
      </c>
      <c r="R42" s="100">
        <v>159</v>
      </c>
      <c r="S42" s="100">
        <v>1001</v>
      </c>
      <c r="T42" s="100">
        <v>517</v>
      </c>
      <c r="U42" s="100">
        <v>9832</v>
      </c>
      <c r="V42" s="100"/>
      <c r="W42" s="100"/>
      <c r="X42" s="100"/>
      <c r="Y42" s="100"/>
      <c r="Z42" s="257"/>
      <c r="AA42" s="257"/>
      <c r="AB42" s="257"/>
      <c r="AC42" s="257"/>
      <c r="AD42" s="257"/>
      <c r="AE42" s="258">
        <v>0.8609370250792111</v>
      </c>
      <c r="AG42" s="441">
        <v>290.58333333333331</v>
      </c>
      <c r="AH42" s="443">
        <v>5709</v>
      </c>
      <c r="AJ42" s="88">
        <v>204</v>
      </c>
      <c r="AM42" s="88">
        <v>0</v>
      </c>
      <c r="AN42" s="88">
        <v>27</v>
      </c>
      <c r="AP42" s="88">
        <v>0</v>
      </c>
      <c r="AQ42" s="399">
        <v>0</v>
      </c>
      <c r="AR42" s="88">
        <v>576.74</v>
      </c>
      <c r="AU42" s="399">
        <v>304</v>
      </c>
      <c r="AV42" s="399">
        <v>3781</v>
      </c>
      <c r="AY42" s="88">
        <v>0</v>
      </c>
      <c r="AZ42" s="432">
        <v>3472</v>
      </c>
      <c r="BA42" s="440">
        <v>5397</v>
      </c>
      <c r="BC42" s="439">
        <v>0.27</v>
      </c>
      <c r="BD42" s="88">
        <v>0</v>
      </c>
      <c r="BE42" s="88">
        <v>0</v>
      </c>
      <c r="BF42" s="434">
        <v>-338038.42499999999</v>
      </c>
      <c r="BG42" s="100">
        <v>-236167.74000000002</v>
      </c>
      <c r="BH42" s="257"/>
      <c r="BI42" s="100"/>
      <c r="BJ42" s="257"/>
      <c r="BK42" s="100"/>
      <c r="BL42" s="100"/>
      <c r="BM42" s="100"/>
      <c r="BN42" s="257"/>
      <c r="BO42" s="100"/>
      <c r="BP42" s="100">
        <v>954161</v>
      </c>
      <c r="BQ42" s="100">
        <v>316612</v>
      </c>
      <c r="BR42" s="100">
        <v>781526.95208056225</v>
      </c>
      <c r="BS42" s="100">
        <v>32131.733519318583</v>
      </c>
      <c r="BT42" s="100">
        <v>106781.91588868524</v>
      </c>
      <c r="BU42" s="100">
        <v>326338.13564816408</v>
      </c>
      <c r="BV42" s="100">
        <v>655891.45521608973</v>
      </c>
      <c r="BW42" s="100">
        <v>1043521.9136273402</v>
      </c>
      <c r="BX42" s="100">
        <v>283215.40808233741</v>
      </c>
      <c r="BY42" s="100">
        <v>511046.34258899692</v>
      </c>
      <c r="BZ42" s="257"/>
      <c r="CA42" s="100"/>
      <c r="CB42" s="257"/>
      <c r="CC42" s="257"/>
      <c r="CD42" s="257"/>
      <c r="CE42" s="100">
        <v>701175.60442120826</v>
      </c>
      <c r="CF42" s="100">
        <v>427498.63237698691</v>
      </c>
      <c r="CG42" s="100">
        <v>416559.4557698525</v>
      </c>
      <c r="CH42" s="100">
        <v>2178872.9141736086</v>
      </c>
      <c r="CI42" s="257"/>
      <c r="CJ42" s="437">
        <v>5529781.0414514346</v>
      </c>
      <c r="CK42" s="404">
        <v>-570315</v>
      </c>
      <c r="CL42" s="404"/>
      <c r="CM42" s="437">
        <v>67327.190500000026</v>
      </c>
      <c r="CO42" s="434">
        <v>917179.4837392685</v>
      </c>
      <c r="CP42" s="437">
        <v>-288071.2296862707</v>
      </c>
      <c r="CQ42" s="437">
        <v>-1119022.876369233</v>
      </c>
      <c r="CR42" s="437">
        <v>429167.86163682269</v>
      </c>
      <c r="CS42" s="257"/>
    </row>
    <row r="43" spans="1:97" x14ac:dyDescent="0.2">
      <c r="A43" s="100">
        <v>146</v>
      </c>
      <c r="B43" s="100" t="s">
        <v>354</v>
      </c>
      <c r="C43" s="100">
        <v>4492</v>
      </c>
      <c r="D43" s="257"/>
      <c r="E43" s="257"/>
      <c r="F43" s="257"/>
      <c r="G43" s="257"/>
      <c r="H43" s="325"/>
      <c r="I43" s="257"/>
      <c r="J43" s="257"/>
      <c r="K43" s="257"/>
      <c r="L43" s="257"/>
      <c r="M43" s="257"/>
      <c r="N43" s="257"/>
      <c r="O43" s="257"/>
      <c r="P43" s="257"/>
      <c r="Q43" s="100">
        <v>110</v>
      </c>
      <c r="R43" s="100">
        <v>31</v>
      </c>
      <c r="S43" s="100">
        <v>169</v>
      </c>
      <c r="T43" s="100">
        <v>101</v>
      </c>
      <c r="U43" s="100">
        <v>4081</v>
      </c>
      <c r="V43" s="100"/>
      <c r="W43" s="100"/>
      <c r="X43" s="100"/>
      <c r="Y43" s="100"/>
      <c r="Z43" s="257"/>
      <c r="AA43" s="257"/>
      <c r="AB43" s="257"/>
      <c r="AC43" s="257"/>
      <c r="AD43" s="257"/>
      <c r="AE43" s="258">
        <v>0.89053758246028236</v>
      </c>
      <c r="AG43" s="441">
        <v>242</v>
      </c>
      <c r="AH43" s="443">
        <v>1774</v>
      </c>
      <c r="AJ43" s="88">
        <v>163</v>
      </c>
      <c r="AM43" s="88">
        <v>0</v>
      </c>
      <c r="AN43" s="88">
        <v>12</v>
      </c>
      <c r="AP43" s="88">
        <v>0</v>
      </c>
      <c r="AQ43" s="399">
        <v>0</v>
      </c>
      <c r="AR43" s="88">
        <v>2763.4</v>
      </c>
      <c r="AU43" s="399">
        <v>160</v>
      </c>
      <c r="AV43" s="399">
        <v>925</v>
      </c>
      <c r="AY43" s="88">
        <v>1.5604</v>
      </c>
      <c r="AZ43" s="432">
        <v>1371</v>
      </c>
      <c r="BA43" s="440">
        <v>1416</v>
      </c>
      <c r="BC43" s="439">
        <v>0</v>
      </c>
      <c r="BD43" s="88">
        <v>0</v>
      </c>
      <c r="BE43" s="88">
        <v>0</v>
      </c>
      <c r="BF43" s="434">
        <v>-134849.54</v>
      </c>
      <c r="BG43" s="100">
        <v>-91228.290000000008</v>
      </c>
      <c r="BH43" s="257"/>
      <c r="BI43" s="100"/>
      <c r="BJ43" s="257"/>
      <c r="BK43" s="100"/>
      <c r="BL43" s="100"/>
      <c r="BM43" s="100"/>
      <c r="BN43" s="257"/>
      <c r="BO43" s="100"/>
      <c r="BP43" s="100">
        <v>556296</v>
      </c>
      <c r="BQ43" s="100">
        <v>167159</v>
      </c>
      <c r="BR43" s="100">
        <v>465718.13589289191</v>
      </c>
      <c r="BS43" s="100">
        <v>25047.13882048292</v>
      </c>
      <c r="BT43" s="100">
        <v>58430.797896375698</v>
      </c>
      <c r="BU43" s="100">
        <v>227888.47789942884</v>
      </c>
      <c r="BV43" s="100">
        <v>280256.68627585017</v>
      </c>
      <c r="BW43" s="100">
        <v>457311.20210849069</v>
      </c>
      <c r="BX43" s="100">
        <v>135148.88974832188</v>
      </c>
      <c r="BY43" s="100">
        <v>240926.38210982832</v>
      </c>
      <c r="BZ43" s="257"/>
      <c r="CA43" s="100"/>
      <c r="CB43" s="257"/>
      <c r="CC43" s="257"/>
      <c r="CD43" s="257"/>
      <c r="CE43" s="100">
        <v>324536.21111186733</v>
      </c>
      <c r="CF43" s="100">
        <v>170045.49459441748</v>
      </c>
      <c r="CG43" s="100">
        <v>167020.12836971317</v>
      </c>
      <c r="CH43" s="100">
        <v>1026958.7816953794</v>
      </c>
      <c r="CI43" s="257"/>
      <c r="CJ43" s="437">
        <v>1142265.6476107622</v>
      </c>
      <c r="CK43" s="404">
        <v>-326175</v>
      </c>
      <c r="CL43" s="404"/>
      <c r="CM43" s="437">
        <v>26853.300000000003</v>
      </c>
      <c r="CO43" s="434">
        <v>303762.45364671614</v>
      </c>
      <c r="CP43" s="437">
        <v>-4889.9246946995727</v>
      </c>
      <c r="CQ43" s="437">
        <v>-406391.03894014022</v>
      </c>
      <c r="CR43" s="437">
        <v>155859.16682614663</v>
      </c>
      <c r="CS43" s="257"/>
    </row>
    <row r="44" spans="1:97" x14ac:dyDescent="0.2">
      <c r="A44" s="100">
        <v>153</v>
      </c>
      <c r="B44" s="100" t="s">
        <v>359</v>
      </c>
      <c r="C44" s="100">
        <v>25208</v>
      </c>
      <c r="D44" s="257"/>
      <c r="E44" s="257"/>
      <c r="F44" s="257"/>
      <c r="G44" s="257"/>
      <c r="H44" s="325"/>
      <c r="I44" s="257"/>
      <c r="J44" s="257"/>
      <c r="K44" s="257"/>
      <c r="L44" s="257"/>
      <c r="M44" s="257"/>
      <c r="N44" s="257"/>
      <c r="O44" s="257"/>
      <c r="P44" s="257"/>
      <c r="Q44" s="100">
        <v>878</v>
      </c>
      <c r="R44" s="100">
        <v>191</v>
      </c>
      <c r="S44" s="100">
        <v>1344</v>
      </c>
      <c r="T44" s="100">
        <v>725</v>
      </c>
      <c r="U44" s="100">
        <v>22070</v>
      </c>
      <c r="V44" s="100"/>
      <c r="W44" s="100"/>
      <c r="X44" s="100"/>
      <c r="Y44" s="100"/>
      <c r="Z44" s="257"/>
      <c r="AA44" s="257"/>
      <c r="AB44" s="257"/>
      <c r="AC44" s="257"/>
      <c r="AD44" s="257"/>
      <c r="AE44" s="258">
        <v>0.91076363998536103</v>
      </c>
      <c r="AG44" s="441">
        <v>1421</v>
      </c>
      <c r="AH44" s="443">
        <v>11065</v>
      </c>
      <c r="AJ44" s="88">
        <v>1861</v>
      </c>
      <c r="AM44" s="88">
        <v>0</v>
      </c>
      <c r="AN44" s="88">
        <v>33</v>
      </c>
      <c r="AP44" s="88">
        <v>0</v>
      </c>
      <c r="AQ44" s="399">
        <v>0</v>
      </c>
      <c r="AR44" s="88">
        <v>154.99</v>
      </c>
      <c r="AU44" s="399">
        <v>1084</v>
      </c>
      <c r="AV44" s="399">
        <v>7074</v>
      </c>
      <c r="AY44" s="88">
        <v>0</v>
      </c>
      <c r="AZ44" s="432">
        <v>9200</v>
      </c>
      <c r="BA44" s="440">
        <v>9259</v>
      </c>
      <c r="BC44" s="439">
        <v>0</v>
      </c>
      <c r="BD44" s="88">
        <v>0</v>
      </c>
      <c r="BE44" s="88">
        <v>1</v>
      </c>
      <c r="BF44" s="434">
        <v>-1591017.872</v>
      </c>
      <c r="BG44" s="100">
        <v>-500900.75</v>
      </c>
      <c r="BH44" s="257"/>
      <c r="BI44" s="100"/>
      <c r="BJ44" s="257"/>
      <c r="BK44" s="100"/>
      <c r="BL44" s="100"/>
      <c r="BM44" s="100"/>
      <c r="BN44" s="257"/>
      <c r="BO44" s="100"/>
      <c r="BP44" s="100">
        <v>1915973</v>
      </c>
      <c r="BQ44" s="100">
        <v>590926</v>
      </c>
      <c r="BR44" s="100">
        <v>1235447.8154237953</v>
      </c>
      <c r="BS44" s="100">
        <v>58300.038878593477</v>
      </c>
      <c r="BT44" s="100">
        <v>191082.24648750428</v>
      </c>
      <c r="BU44" s="100">
        <v>765331.21973128174</v>
      </c>
      <c r="BV44" s="100">
        <v>1205978.6973517747</v>
      </c>
      <c r="BW44" s="100">
        <v>2041330.1325758654</v>
      </c>
      <c r="BX44" s="100">
        <v>579064.72446308343</v>
      </c>
      <c r="BY44" s="100">
        <v>1029037.6928032943</v>
      </c>
      <c r="BZ44" s="257"/>
      <c r="CA44" s="100"/>
      <c r="CB44" s="257"/>
      <c r="CC44" s="257"/>
      <c r="CD44" s="257"/>
      <c r="CE44" s="100">
        <v>1125786.4807557804</v>
      </c>
      <c r="CF44" s="100">
        <v>780879.96094106196</v>
      </c>
      <c r="CG44" s="100">
        <v>775612.21052327636</v>
      </c>
      <c r="CH44" s="100">
        <v>3865957.2442810275</v>
      </c>
      <c r="CI44" s="257"/>
      <c r="CJ44" s="437">
        <v>7725364.667784147</v>
      </c>
      <c r="CK44" s="404">
        <v>-782955</v>
      </c>
      <c r="CL44" s="404"/>
      <c r="CM44" s="437">
        <v>-968119.64715000032</v>
      </c>
      <c r="CO44" s="434">
        <v>5537010.592029145</v>
      </c>
      <c r="CP44" s="437">
        <v>4176403.4464763263</v>
      </c>
      <c r="CQ44" s="437">
        <v>-2280566.6317014815</v>
      </c>
      <c r="CR44" s="437">
        <v>874643.33868065535</v>
      </c>
      <c r="CS44" s="257"/>
    </row>
    <row r="45" spans="1:97" x14ac:dyDescent="0.2">
      <c r="A45" s="100">
        <v>148</v>
      </c>
      <c r="B45" s="100" t="s">
        <v>355</v>
      </c>
      <c r="C45" s="100">
        <v>7047</v>
      </c>
      <c r="D45" s="257"/>
      <c r="E45" s="257"/>
      <c r="F45" s="257"/>
      <c r="G45" s="257"/>
      <c r="H45" s="325"/>
      <c r="I45" s="257"/>
      <c r="J45" s="257"/>
      <c r="K45" s="257"/>
      <c r="L45" s="257"/>
      <c r="M45" s="257"/>
      <c r="N45" s="257"/>
      <c r="O45" s="257"/>
      <c r="P45" s="257"/>
      <c r="Q45" s="100">
        <v>285</v>
      </c>
      <c r="R45" s="100">
        <v>58</v>
      </c>
      <c r="S45" s="100">
        <v>362</v>
      </c>
      <c r="T45" s="100">
        <v>201</v>
      </c>
      <c r="U45" s="100">
        <v>6141</v>
      </c>
      <c r="V45" s="100"/>
      <c r="W45" s="100"/>
      <c r="X45" s="100"/>
      <c r="Y45" s="100"/>
      <c r="Z45" s="257"/>
      <c r="AA45" s="257"/>
      <c r="AB45" s="257"/>
      <c r="AC45" s="257"/>
      <c r="AD45" s="257"/>
      <c r="AE45" s="258">
        <v>1.0396908180526636</v>
      </c>
      <c r="AG45" s="441">
        <v>383.16666666666669</v>
      </c>
      <c r="AH45" s="443">
        <v>3367</v>
      </c>
      <c r="AJ45" s="88">
        <v>287</v>
      </c>
      <c r="AM45" s="88">
        <v>0</v>
      </c>
      <c r="AN45" s="88">
        <v>29</v>
      </c>
      <c r="AP45" s="88">
        <v>0</v>
      </c>
      <c r="AQ45" s="399">
        <v>0</v>
      </c>
      <c r="AR45" s="88">
        <v>15060.09</v>
      </c>
      <c r="AU45" s="399">
        <v>320</v>
      </c>
      <c r="AV45" s="399">
        <v>2208</v>
      </c>
      <c r="AY45" s="88">
        <v>1.6087666666666667</v>
      </c>
      <c r="AZ45" s="432">
        <v>3042</v>
      </c>
      <c r="BA45" s="440">
        <v>3116</v>
      </c>
      <c r="BC45" s="439">
        <v>0.68</v>
      </c>
      <c r="BD45" s="88">
        <v>1</v>
      </c>
      <c r="BE45" s="88">
        <v>484</v>
      </c>
      <c r="BF45" s="434">
        <v>-128664.845</v>
      </c>
      <c r="BG45" s="100">
        <v>-131819.02000000002</v>
      </c>
      <c r="BH45" s="257"/>
      <c r="BI45" s="100"/>
      <c r="BJ45" s="257"/>
      <c r="BK45" s="100"/>
      <c r="BL45" s="100"/>
      <c r="BM45" s="100"/>
      <c r="BN45" s="257"/>
      <c r="BO45" s="100"/>
      <c r="BP45" s="100">
        <v>499986</v>
      </c>
      <c r="BQ45" s="100">
        <v>180627</v>
      </c>
      <c r="BR45" s="100">
        <v>479629.9454780115</v>
      </c>
      <c r="BS45" s="100">
        <v>24832.544674204702</v>
      </c>
      <c r="BT45" s="100">
        <v>29639.119052726277</v>
      </c>
      <c r="BU45" s="100">
        <v>168703.85073378746</v>
      </c>
      <c r="BV45" s="100">
        <v>363400.90967335243</v>
      </c>
      <c r="BW45" s="100">
        <v>488515.49972403119</v>
      </c>
      <c r="BX45" s="100">
        <v>195332.88874300729</v>
      </c>
      <c r="BY45" s="100">
        <v>303505.35275989975</v>
      </c>
      <c r="BZ45" s="257"/>
      <c r="CA45" s="100"/>
      <c r="CB45" s="257"/>
      <c r="CC45" s="257"/>
      <c r="CD45" s="257"/>
      <c r="CE45" s="100">
        <v>413203.85396726686</v>
      </c>
      <c r="CF45" s="100">
        <v>249648.32282549131</v>
      </c>
      <c r="CG45" s="100">
        <v>240996.87242813356</v>
      </c>
      <c r="CH45" s="100">
        <v>1162894.0983254092</v>
      </c>
      <c r="CI45" s="257"/>
      <c r="CJ45" s="437">
        <v>-18030.551669187938</v>
      </c>
      <c r="CK45" s="404">
        <v>-903615</v>
      </c>
      <c r="CL45" s="404"/>
      <c r="CM45" s="437">
        <v>-2342.2045000000071</v>
      </c>
      <c r="CO45" s="434">
        <v>803463.68846376939</v>
      </c>
      <c r="CP45" s="437">
        <v>2404790.9925668058</v>
      </c>
      <c r="CQ45" s="437">
        <v>-637541.77457951207</v>
      </c>
      <c r="CR45" s="437">
        <v>244510.13994297755</v>
      </c>
      <c r="CS45" s="257"/>
    </row>
    <row r="46" spans="1:97" x14ac:dyDescent="0.2">
      <c r="A46" s="100">
        <v>149</v>
      </c>
      <c r="B46" s="100" t="s">
        <v>356</v>
      </c>
      <c r="C46" s="100">
        <v>5384</v>
      </c>
      <c r="D46" s="257"/>
      <c r="E46" s="257"/>
      <c r="F46" s="257"/>
      <c r="G46" s="257"/>
      <c r="H46" s="325"/>
      <c r="I46" s="257"/>
      <c r="J46" s="257"/>
      <c r="K46" s="257"/>
      <c r="L46" s="257"/>
      <c r="M46" s="257"/>
      <c r="N46" s="257"/>
      <c r="O46" s="257"/>
      <c r="P46" s="257"/>
      <c r="Q46" s="100">
        <v>252</v>
      </c>
      <c r="R46" s="100">
        <v>48</v>
      </c>
      <c r="S46" s="100">
        <v>349</v>
      </c>
      <c r="T46" s="100">
        <v>194</v>
      </c>
      <c r="U46" s="100">
        <v>4541</v>
      </c>
      <c r="V46" s="100"/>
      <c r="W46" s="100"/>
      <c r="X46" s="100"/>
      <c r="Y46" s="100"/>
      <c r="Z46" s="257"/>
      <c r="AA46" s="257"/>
      <c r="AB46" s="257"/>
      <c r="AC46" s="257"/>
      <c r="AD46" s="257"/>
      <c r="AE46" s="258">
        <v>1.0910822188224034</v>
      </c>
      <c r="AG46" s="441">
        <v>154</v>
      </c>
      <c r="AH46" s="443">
        <v>2509</v>
      </c>
      <c r="AJ46" s="88">
        <v>263</v>
      </c>
      <c r="AM46" s="88">
        <v>3</v>
      </c>
      <c r="AN46" s="88">
        <v>2796</v>
      </c>
      <c r="AP46" s="88">
        <v>3</v>
      </c>
      <c r="AQ46" s="399">
        <v>236</v>
      </c>
      <c r="AR46" s="88">
        <v>350.85</v>
      </c>
      <c r="AU46" s="399">
        <v>225</v>
      </c>
      <c r="AV46" s="399">
        <v>1666</v>
      </c>
      <c r="AY46" s="88">
        <v>0</v>
      </c>
      <c r="AZ46" s="432">
        <v>1329</v>
      </c>
      <c r="BA46" s="440">
        <v>2397</v>
      </c>
      <c r="BC46" s="439">
        <v>0</v>
      </c>
      <c r="BD46" s="88">
        <v>0</v>
      </c>
      <c r="BE46" s="88">
        <v>0</v>
      </c>
      <c r="BF46" s="434">
        <v>-89088.972500000003</v>
      </c>
      <c r="BG46" s="100">
        <v>-102216.41</v>
      </c>
      <c r="BH46" s="257"/>
      <c r="BI46" s="100"/>
      <c r="BJ46" s="257"/>
      <c r="BK46" s="100"/>
      <c r="BL46" s="100"/>
      <c r="BM46" s="100"/>
      <c r="BN46" s="257"/>
      <c r="BO46" s="100"/>
      <c r="BP46" s="100">
        <v>462664</v>
      </c>
      <c r="BQ46" s="100">
        <v>145911</v>
      </c>
      <c r="BR46" s="100">
        <v>289533.98983653891</v>
      </c>
      <c r="BS46" s="100">
        <v>4845.6427083223061</v>
      </c>
      <c r="BT46" s="100">
        <v>-30972.378801288753</v>
      </c>
      <c r="BU46" s="100">
        <v>67000.934049197298</v>
      </c>
      <c r="BV46" s="100">
        <v>256786.39362548001</v>
      </c>
      <c r="BW46" s="100">
        <v>420191.72388369578</v>
      </c>
      <c r="BX46" s="100">
        <v>127465.4856256947</v>
      </c>
      <c r="BY46" s="100">
        <v>209778.49629041774</v>
      </c>
      <c r="BZ46" s="257"/>
      <c r="CA46" s="100"/>
      <c r="CB46" s="257"/>
      <c r="CC46" s="257"/>
      <c r="CD46" s="257"/>
      <c r="CE46" s="100">
        <v>270267.18705306528</v>
      </c>
      <c r="CF46" s="100">
        <v>170363.98877127052</v>
      </c>
      <c r="CG46" s="100">
        <v>176585.32221107197</v>
      </c>
      <c r="CH46" s="100">
        <v>862430.82720374875</v>
      </c>
      <c r="CI46" s="257"/>
      <c r="CJ46" s="437">
        <v>-66793.833499252563</v>
      </c>
      <c r="CK46" s="404">
        <v>-1403898</v>
      </c>
      <c r="CL46" s="404"/>
      <c r="CM46" s="437">
        <v>-2403489.6979999999</v>
      </c>
      <c r="CO46" s="434">
        <v>653034.60977578419</v>
      </c>
      <c r="CP46" s="437">
        <v>408172.95433690248</v>
      </c>
      <c r="CQ46" s="437">
        <v>-487090.23901462933</v>
      </c>
      <c r="CR46" s="437">
        <v>186808.93904540813</v>
      </c>
      <c r="CS46" s="257"/>
    </row>
    <row r="47" spans="1:97" x14ac:dyDescent="0.2">
      <c r="A47" s="100">
        <v>151</v>
      </c>
      <c r="B47" s="100" t="s">
        <v>357</v>
      </c>
      <c r="C47" s="100">
        <v>1852</v>
      </c>
      <c r="D47" s="257"/>
      <c r="E47" s="257"/>
      <c r="F47" s="257"/>
      <c r="G47" s="257"/>
      <c r="H47" s="325"/>
      <c r="I47" s="257"/>
      <c r="J47" s="257"/>
      <c r="K47" s="257"/>
      <c r="L47" s="257"/>
      <c r="M47" s="257"/>
      <c r="N47" s="257"/>
      <c r="O47" s="257"/>
      <c r="P47" s="257"/>
      <c r="Q47" s="100">
        <v>58</v>
      </c>
      <c r="R47" s="100">
        <v>9</v>
      </c>
      <c r="S47" s="100">
        <v>102</v>
      </c>
      <c r="T47" s="100">
        <v>46</v>
      </c>
      <c r="U47" s="100">
        <v>1637</v>
      </c>
      <c r="V47" s="100"/>
      <c r="W47" s="100"/>
      <c r="X47" s="100"/>
      <c r="Y47" s="100"/>
      <c r="Z47" s="257"/>
      <c r="AA47" s="257"/>
      <c r="AB47" s="257"/>
      <c r="AC47" s="257"/>
      <c r="AD47" s="257"/>
      <c r="AE47" s="258">
        <v>0.5060203054245852</v>
      </c>
      <c r="AG47" s="441">
        <v>49.25</v>
      </c>
      <c r="AH47" s="443">
        <v>821</v>
      </c>
      <c r="AJ47" s="88">
        <v>68</v>
      </c>
      <c r="AM47" s="88">
        <v>0</v>
      </c>
      <c r="AN47" s="88">
        <v>16</v>
      </c>
      <c r="AP47" s="88">
        <v>0</v>
      </c>
      <c r="AQ47" s="399">
        <v>0</v>
      </c>
      <c r="AR47" s="88">
        <v>642.4</v>
      </c>
      <c r="AU47" s="399">
        <v>76</v>
      </c>
      <c r="AV47" s="399">
        <v>448</v>
      </c>
      <c r="AY47" s="88">
        <v>1.1155999999999999</v>
      </c>
      <c r="AZ47" s="432">
        <v>637</v>
      </c>
      <c r="BA47" s="440">
        <v>753</v>
      </c>
      <c r="BC47" s="439">
        <v>0</v>
      </c>
      <c r="BD47" s="88">
        <v>0</v>
      </c>
      <c r="BE47" s="88">
        <v>0</v>
      </c>
      <c r="BF47" s="434">
        <v>-45611.65</v>
      </c>
      <c r="BG47" s="100">
        <v>-36979.25</v>
      </c>
      <c r="BH47" s="257"/>
      <c r="BI47" s="100"/>
      <c r="BJ47" s="257"/>
      <c r="BK47" s="100"/>
      <c r="BL47" s="100"/>
      <c r="BM47" s="100"/>
      <c r="BN47" s="257"/>
      <c r="BO47" s="100"/>
      <c r="BP47" s="100">
        <v>269740</v>
      </c>
      <c r="BQ47" s="100">
        <v>77472</v>
      </c>
      <c r="BR47" s="100">
        <v>213295.79956305336</v>
      </c>
      <c r="BS47" s="100">
        <v>12038.590237768842</v>
      </c>
      <c r="BT47" s="100">
        <v>34652.234374850144</v>
      </c>
      <c r="BU47" s="100">
        <v>98865.705869081401</v>
      </c>
      <c r="BV47" s="100">
        <v>137259.29576889312</v>
      </c>
      <c r="BW47" s="100">
        <v>215846.0136425003</v>
      </c>
      <c r="BX47" s="100">
        <v>65816.83780627932</v>
      </c>
      <c r="BY47" s="100">
        <v>111410.15812594573</v>
      </c>
      <c r="BZ47" s="257"/>
      <c r="CA47" s="100"/>
      <c r="CB47" s="257"/>
      <c r="CC47" s="257"/>
      <c r="CD47" s="257"/>
      <c r="CE47" s="100">
        <v>158179.89582857749</v>
      </c>
      <c r="CF47" s="100">
        <v>83222.455414288706</v>
      </c>
      <c r="CG47" s="100">
        <v>78895.041218104132</v>
      </c>
      <c r="CH47" s="100">
        <v>499436.98848256422</v>
      </c>
      <c r="CI47" s="257"/>
      <c r="CJ47" s="437">
        <v>756842.32569668361</v>
      </c>
      <c r="CK47" s="404">
        <v>-492395</v>
      </c>
      <c r="CL47" s="404"/>
      <c r="CM47" s="437">
        <v>0</v>
      </c>
      <c r="CO47" s="434">
        <v>-213504.57668624003</v>
      </c>
      <c r="CP47" s="437">
        <v>-269552.84114868316</v>
      </c>
      <c r="CQ47" s="437">
        <v>-167550.3571053294</v>
      </c>
      <c r="CR47" s="437">
        <v>64258.94411443088</v>
      </c>
      <c r="CS47" s="257"/>
    </row>
    <row r="48" spans="1:97" x14ac:dyDescent="0.2">
      <c r="A48" s="100">
        <v>152</v>
      </c>
      <c r="B48" s="100" t="s">
        <v>358</v>
      </c>
      <c r="C48" s="100">
        <v>4406</v>
      </c>
      <c r="D48" s="257"/>
      <c r="E48" s="257"/>
      <c r="F48" s="257"/>
      <c r="G48" s="257"/>
      <c r="H48" s="325"/>
      <c r="I48" s="257"/>
      <c r="J48" s="257"/>
      <c r="K48" s="257"/>
      <c r="L48" s="257"/>
      <c r="M48" s="257"/>
      <c r="N48" s="257"/>
      <c r="O48" s="257"/>
      <c r="P48" s="257"/>
      <c r="Q48" s="100">
        <v>178</v>
      </c>
      <c r="R48" s="100">
        <v>49</v>
      </c>
      <c r="S48" s="100">
        <v>330</v>
      </c>
      <c r="T48" s="100">
        <v>180</v>
      </c>
      <c r="U48" s="100">
        <v>3669</v>
      </c>
      <c r="V48" s="100"/>
      <c r="W48" s="100"/>
      <c r="X48" s="100"/>
      <c r="Y48" s="100"/>
      <c r="Z48" s="257"/>
      <c r="AA48" s="257"/>
      <c r="AB48" s="257"/>
      <c r="AC48" s="257"/>
      <c r="AD48" s="257"/>
      <c r="AE48" s="258">
        <v>0.80484337632766922</v>
      </c>
      <c r="AG48" s="441">
        <v>107.66666666666667</v>
      </c>
      <c r="AH48" s="443">
        <v>1927</v>
      </c>
      <c r="AJ48" s="88">
        <v>58</v>
      </c>
      <c r="AM48" s="88">
        <v>0</v>
      </c>
      <c r="AN48" s="88">
        <v>32</v>
      </c>
      <c r="AP48" s="88">
        <v>0</v>
      </c>
      <c r="AQ48" s="399">
        <v>0</v>
      </c>
      <c r="AR48" s="88">
        <v>354.13</v>
      </c>
      <c r="AU48" s="399">
        <v>128</v>
      </c>
      <c r="AV48" s="399">
        <v>1179</v>
      </c>
      <c r="AY48" s="88">
        <v>0</v>
      </c>
      <c r="AZ48" s="432">
        <v>1354</v>
      </c>
      <c r="BA48" s="440">
        <v>1773</v>
      </c>
      <c r="BC48" s="439">
        <v>0</v>
      </c>
      <c r="BD48" s="88">
        <v>0</v>
      </c>
      <c r="BE48" s="88">
        <v>0</v>
      </c>
      <c r="BF48" s="434">
        <v>-128665.84</v>
      </c>
      <c r="BG48" s="100">
        <v>-85887.91</v>
      </c>
      <c r="BH48" s="257"/>
      <c r="BI48" s="100"/>
      <c r="BJ48" s="257"/>
      <c r="BK48" s="100"/>
      <c r="BL48" s="100"/>
      <c r="BM48" s="100"/>
      <c r="BN48" s="257"/>
      <c r="BO48" s="100"/>
      <c r="BP48" s="100">
        <v>453574</v>
      </c>
      <c r="BQ48" s="100">
        <v>149113</v>
      </c>
      <c r="BR48" s="100">
        <v>365093.08658189903</v>
      </c>
      <c r="BS48" s="100">
        <v>18504.183119397294</v>
      </c>
      <c r="BT48" s="100">
        <v>39985.403082424527</v>
      </c>
      <c r="BU48" s="100">
        <v>140431.94408137689</v>
      </c>
      <c r="BV48" s="100">
        <v>268667.96625237807</v>
      </c>
      <c r="BW48" s="100">
        <v>453481.51872165385</v>
      </c>
      <c r="BX48" s="100">
        <v>123945.84333360156</v>
      </c>
      <c r="BY48" s="100">
        <v>220230.03564561004</v>
      </c>
      <c r="BZ48" s="257"/>
      <c r="CA48" s="100"/>
      <c r="CB48" s="257"/>
      <c r="CC48" s="257"/>
      <c r="CD48" s="257"/>
      <c r="CE48" s="100">
        <v>293845.32366181299</v>
      </c>
      <c r="CF48" s="100">
        <v>168991.04064593383</v>
      </c>
      <c r="CG48" s="100">
        <v>166900.33552321297</v>
      </c>
      <c r="CH48" s="100">
        <v>927636.50071073952</v>
      </c>
      <c r="CI48" s="257"/>
      <c r="CJ48" s="437">
        <v>2129321.2772719357</v>
      </c>
      <c r="CK48" s="404">
        <v>-60547</v>
      </c>
      <c r="CL48" s="404"/>
      <c r="CM48" s="437">
        <v>266146.04000000004</v>
      </c>
      <c r="CO48" s="434">
        <v>224718.25083406357</v>
      </c>
      <c r="CP48" s="437">
        <v>-175662.3410327367</v>
      </c>
      <c r="CQ48" s="437">
        <v>-398610.62278946082</v>
      </c>
      <c r="CR48" s="437">
        <v>152875.22017720435</v>
      </c>
      <c r="CS48" s="257"/>
    </row>
    <row r="49" spans="1:97" x14ac:dyDescent="0.2">
      <c r="A49" s="100">
        <v>165</v>
      </c>
      <c r="B49" s="100" t="s">
        <v>360</v>
      </c>
      <c r="C49" s="100">
        <v>16280</v>
      </c>
      <c r="D49" s="257"/>
      <c r="E49" s="257"/>
      <c r="F49" s="257"/>
      <c r="G49" s="257"/>
      <c r="H49" s="325"/>
      <c r="I49" s="257"/>
      <c r="J49" s="257"/>
      <c r="K49" s="257"/>
      <c r="L49" s="257"/>
      <c r="M49" s="257"/>
      <c r="N49" s="257"/>
      <c r="O49" s="257"/>
      <c r="P49" s="257"/>
      <c r="Q49" s="100">
        <v>856</v>
      </c>
      <c r="R49" s="100">
        <v>164</v>
      </c>
      <c r="S49" s="100">
        <v>1093</v>
      </c>
      <c r="T49" s="100">
        <v>667</v>
      </c>
      <c r="U49" s="100">
        <v>13500</v>
      </c>
      <c r="V49" s="100"/>
      <c r="W49" s="100"/>
      <c r="X49" s="100"/>
      <c r="Y49" s="100"/>
      <c r="Z49" s="257"/>
      <c r="AA49" s="257"/>
      <c r="AB49" s="257"/>
      <c r="AC49" s="257"/>
      <c r="AD49" s="257"/>
      <c r="AE49" s="258">
        <v>0.95564930860252773</v>
      </c>
      <c r="AG49" s="441">
        <v>598</v>
      </c>
      <c r="AH49" s="443">
        <v>7613</v>
      </c>
      <c r="AJ49" s="88">
        <v>548</v>
      </c>
      <c r="AM49" s="88">
        <v>0</v>
      </c>
      <c r="AN49" s="88">
        <v>68</v>
      </c>
      <c r="AP49" s="88">
        <v>0</v>
      </c>
      <c r="AQ49" s="399">
        <v>0</v>
      </c>
      <c r="AR49" s="88">
        <v>547.41</v>
      </c>
      <c r="AU49" s="399">
        <v>645</v>
      </c>
      <c r="AV49" s="399">
        <v>5149</v>
      </c>
      <c r="AY49" s="88">
        <v>0</v>
      </c>
      <c r="AZ49" s="432">
        <v>4976</v>
      </c>
      <c r="BA49" s="440">
        <v>6946</v>
      </c>
      <c r="BC49" s="439">
        <v>0</v>
      </c>
      <c r="BD49" s="88">
        <v>0</v>
      </c>
      <c r="BE49" s="88">
        <v>0</v>
      </c>
      <c r="BF49" s="434">
        <v>-813419.36250000005</v>
      </c>
      <c r="BG49" s="100">
        <v>-311912.77</v>
      </c>
      <c r="BH49" s="257"/>
      <c r="BI49" s="100"/>
      <c r="BJ49" s="257"/>
      <c r="BK49" s="100"/>
      <c r="BL49" s="100"/>
      <c r="BM49" s="100"/>
      <c r="BN49" s="257"/>
      <c r="BO49" s="100"/>
      <c r="BP49" s="100">
        <v>1200523</v>
      </c>
      <c r="BQ49" s="100">
        <v>390977</v>
      </c>
      <c r="BR49" s="100">
        <v>770002.6127360079</v>
      </c>
      <c r="BS49" s="100">
        <v>16847.511053475086</v>
      </c>
      <c r="BT49" s="100">
        <v>79300.428763733551</v>
      </c>
      <c r="BU49" s="100">
        <v>347639.4998992068</v>
      </c>
      <c r="BV49" s="100">
        <v>766328.70598451118</v>
      </c>
      <c r="BW49" s="100">
        <v>1292371.9047316522</v>
      </c>
      <c r="BX49" s="100">
        <v>326396.51477120252</v>
      </c>
      <c r="BY49" s="100">
        <v>611765.10052473971</v>
      </c>
      <c r="BZ49" s="257"/>
      <c r="CA49" s="100"/>
      <c r="CB49" s="257"/>
      <c r="CC49" s="257"/>
      <c r="CD49" s="257"/>
      <c r="CE49" s="100">
        <v>776913.40073627059</v>
      </c>
      <c r="CF49" s="100">
        <v>513307.95540939632</v>
      </c>
      <c r="CG49" s="100">
        <v>495776.65021796623</v>
      </c>
      <c r="CH49" s="100">
        <v>2512749.312634449</v>
      </c>
      <c r="CI49" s="257"/>
      <c r="CJ49" s="437">
        <v>4647722.9933844553</v>
      </c>
      <c r="CK49" s="404">
        <v>-2119492</v>
      </c>
      <c r="CL49" s="404"/>
      <c r="CM49" s="437">
        <v>287345.22850000038</v>
      </c>
      <c r="CO49" s="434">
        <v>694533.36096581677</v>
      </c>
      <c r="CP49" s="437">
        <v>8004.6549960473758</v>
      </c>
      <c r="CQ49" s="437">
        <v>-1472850.8713146667</v>
      </c>
      <c r="CR49" s="437">
        <v>564868.04005558032</v>
      </c>
      <c r="CS49" s="257"/>
    </row>
    <row r="50" spans="1:97" x14ac:dyDescent="0.2">
      <c r="A50" s="100">
        <v>167</v>
      </c>
      <c r="B50" s="100" t="s">
        <v>361</v>
      </c>
      <c r="C50" s="100">
        <v>77513</v>
      </c>
      <c r="D50" s="257"/>
      <c r="E50" s="257"/>
      <c r="F50" s="257"/>
      <c r="G50" s="257"/>
      <c r="H50" s="325"/>
      <c r="I50" s="257"/>
      <c r="J50" s="257"/>
      <c r="K50" s="257"/>
      <c r="L50" s="257"/>
      <c r="M50" s="257"/>
      <c r="N50" s="257"/>
      <c r="O50" s="257"/>
      <c r="P50" s="257"/>
      <c r="Q50" s="100">
        <v>3522</v>
      </c>
      <c r="R50" s="100">
        <v>648</v>
      </c>
      <c r="S50" s="100">
        <v>4439</v>
      </c>
      <c r="T50" s="100">
        <v>2173</v>
      </c>
      <c r="U50" s="100">
        <v>66731</v>
      </c>
      <c r="V50" s="100"/>
      <c r="W50" s="100"/>
      <c r="X50" s="100"/>
      <c r="Y50" s="100"/>
      <c r="Z50" s="257"/>
      <c r="AA50" s="257"/>
      <c r="AB50" s="257"/>
      <c r="AC50" s="257"/>
      <c r="AD50" s="257"/>
      <c r="AE50" s="258">
        <v>0.9791045030650336</v>
      </c>
      <c r="AG50" s="441">
        <v>4747.833333333333</v>
      </c>
      <c r="AH50" s="443">
        <v>35423</v>
      </c>
      <c r="AJ50" s="88">
        <v>4836</v>
      </c>
      <c r="AM50" s="88">
        <v>0</v>
      </c>
      <c r="AN50" s="88">
        <v>83</v>
      </c>
      <c r="AP50" s="88">
        <v>0</v>
      </c>
      <c r="AQ50" s="399">
        <v>0</v>
      </c>
      <c r="AR50" s="88">
        <v>2381.79</v>
      </c>
      <c r="AU50" s="399">
        <v>2376</v>
      </c>
      <c r="AV50" s="399">
        <v>22217</v>
      </c>
      <c r="AY50" s="88">
        <v>0</v>
      </c>
      <c r="AZ50" s="432">
        <v>34818</v>
      </c>
      <c r="BA50" s="440">
        <v>30577</v>
      </c>
      <c r="BC50" s="439">
        <v>0.28999999999999998</v>
      </c>
      <c r="BD50" s="88">
        <v>0</v>
      </c>
      <c r="BE50" s="88">
        <v>4</v>
      </c>
      <c r="BF50" s="434">
        <v>-5040967.0610499997</v>
      </c>
      <c r="BG50" s="100">
        <v>-1477921.35</v>
      </c>
      <c r="BH50" s="257"/>
      <c r="BI50" s="100"/>
      <c r="BJ50" s="257"/>
      <c r="BK50" s="100"/>
      <c r="BL50" s="100"/>
      <c r="BM50" s="100"/>
      <c r="BN50" s="257"/>
      <c r="BO50" s="100"/>
      <c r="BP50" s="100">
        <v>5466814</v>
      </c>
      <c r="BQ50" s="100">
        <v>1850095</v>
      </c>
      <c r="BR50" s="100">
        <v>4594015.0715513099</v>
      </c>
      <c r="BS50" s="100">
        <v>215631.76150351088</v>
      </c>
      <c r="BT50" s="100">
        <v>465003.00002210779</v>
      </c>
      <c r="BU50" s="100">
        <v>2009551.5027614411</v>
      </c>
      <c r="BV50" s="100">
        <v>3964396.5649567964</v>
      </c>
      <c r="BW50" s="100">
        <v>5401227.4024798349</v>
      </c>
      <c r="BX50" s="100">
        <v>2000363.9814795156</v>
      </c>
      <c r="BY50" s="100">
        <v>3459071.4590522032</v>
      </c>
      <c r="BZ50" s="257"/>
      <c r="CA50" s="100"/>
      <c r="CB50" s="257"/>
      <c r="CC50" s="257"/>
      <c r="CD50" s="257"/>
      <c r="CE50" s="100">
        <v>4389661.791918925</v>
      </c>
      <c r="CF50" s="100">
        <v>2728947.0007186937</v>
      </c>
      <c r="CG50" s="100">
        <v>2644957.591464805</v>
      </c>
      <c r="CH50" s="100">
        <v>12672879.472362412</v>
      </c>
      <c r="CI50" s="257"/>
      <c r="CJ50" s="437">
        <v>23417808.912617035</v>
      </c>
      <c r="CK50" s="404">
        <v>-497497</v>
      </c>
      <c r="CL50" s="404"/>
      <c r="CM50" s="437">
        <v>-10350798.4255</v>
      </c>
      <c r="CO50" s="434">
        <v>1000271.2804418162</v>
      </c>
      <c r="CP50" s="437">
        <v>1480767.0054095371</v>
      </c>
      <c r="CQ50" s="437">
        <v>-7012597.6405536709</v>
      </c>
      <c r="CR50" s="437">
        <v>2689472.7511565234</v>
      </c>
      <c r="CS50" s="257"/>
    </row>
    <row r="51" spans="1:97" x14ac:dyDescent="0.2">
      <c r="A51" s="100">
        <v>169</v>
      </c>
      <c r="B51" s="100" t="s">
        <v>362</v>
      </c>
      <c r="C51" s="100">
        <v>4990</v>
      </c>
      <c r="D51" s="257"/>
      <c r="E51" s="257"/>
      <c r="F51" s="257"/>
      <c r="G51" s="257"/>
      <c r="H51" s="325"/>
      <c r="I51" s="257"/>
      <c r="J51" s="257"/>
      <c r="K51" s="257"/>
      <c r="L51" s="257"/>
      <c r="M51" s="257"/>
      <c r="N51" s="257"/>
      <c r="O51" s="257"/>
      <c r="P51" s="257"/>
      <c r="Q51" s="100">
        <v>207</v>
      </c>
      <c r="R51" s="100">
        <v>39</v>
      </c>
      <c r="S51" s="100">
        <v>344</v>
      </c>
      <c r="T51" s="100">
        <v>179</v>
      </c>
      <c r="U51" s="100">
        <v>4221</v>
      </c>
      <c r="V51" s="100"/>
      <c r="W51" s="100"/>
      <c r="X51" s="100"/>
      <c r="Y51" s="100"/>
      <c r="Z51" s="257"/>
      <c r="AA51" s="257"/>
      <c r="AB51" s="257"/>
      <c r="AC51" s="257"/>
      <c r="AD51" s="257"/>
      <c r="AE51" s="258">
        <v>0.78585823454352621</v>
      </c>
      <c r="AG51" s="441">
        <v>158.58333333333334</v>
      </c>
      <c r="AH51" s="443">
        <v>2337</v>
      </c>
      <c r="AJ51" s="88">
        <v>169</v>
      </c>
      <c r="AM51" s="88">
        <v>0</v>
      </c>
      <c r="AN51" s="88">
        <v>22</v>
      </c>
      <c r="AP51" s="88">
        <v>0</v>
      </c>
      <c r="AQ51" s="399">
        <v>0</v>
      </c>
      <c r="AR51" s="88">
        <v>180.42</v>
      </c>
      <c r="AU51" s="399">
        <v>201</v>
      </c>
      <c r="AV51" s="399">
        <v>1439</v>
      </c>
      <c r="AY51" s="88">
        <v>0</v>
      </c>
      <c r="AZ51" s="432">
        <v>1700</v>
      </c>
      <c r="BA51" s="440">
        <v>2143</v>
      </c>
      <c r="BC51" s="439">
        <v>0</v>
      </c>
      <c r="BD51" s="88">
        <v>0</v>
      </c>
      <c r="BE51" s="88">
        <v>0</v>
      </c>
      <c r="BF51" s="434">
        <v>-136076.245</v>
      </c>
      <c r="BG51" s="100">
        <v>-97221.81</v>
      </c>
      <c r="BH51" s="257"/>
      <c r="BI51" s="100"/>
      <c r="BJ51" s="257"/>
      <c r="BK51" s="100"/>
      <c r="BL51" s="100"/>
      <c r="BM51" s="100"/>
      <c r="BN51" s="257"/>
      <c r="BO51" s="100"/>
      <c r="BP51" s="100">
        <v>431133</v>
      </c>
      <c r="BQ51" s="100">
        <v>139452</v>
      </c>
      <c r="BR51" s="100">
        <v>326940.78055129474</v>
      </c>
      <c r="BS51" s="100">
        <v>12066.668581473579</v>
      </c>
      <c r="BT51" s="100">
        <v>33921.126783901971</v>
      </c>
      <c r="BU51" s="100">
        <v>152770.26811155965</v>
      </c>
      <c r="BV51" s="100">
        <v>274456.85582012346</v>
      </c>
      <c r="BW51" s="100">
        <v>465128.85788012884</v>
      </c>
      <c r="BX51" s="100">
        <v>118944.17022397346</v>
      </c>
      <c r="BY51" s="100">
        <v>221103.60443573224</v>
      </c>
      <c r="BZ51" s="257"/>
      <c r="CA51" s="100"/>
      <c r="CB51" s="257"/>
      <c r="CC51" s="257"/>
      <c r="CD51" s="257"/>
      <c r="CE51" s="100">
        <v>289466.16991886846</v>
      </c>
      <c r="CF51" s="100">
        <v>170381.76330824205</v>
      </c>
      <c r="CG51" s="100">
        <v>174326.72159382177</v>
      </c>
      <c r="CH51" s="100">
        <v>903533.28554410953</v>
      </c>
      <c r="CI51" s="257"/>
      <c r="CJ51" s="437">
        <v>1902219.8190324954</v>
      </c>
      <c r="CK51" s="404">
        <v>-1294298</v>
      </c>
      <c r="CL51" s="404"/>
      <c r="CM51" s="437">
        <v>76084.349999999977</v>
      </c>
      <c r="CO51" s="434">
        <v>347753.15940066334</v>
      </c>
      <c r="CP51" s="437">
        <v>182882.28798652053</v>
      </c>
      <c r="CQ51" s="437">
        <v>-451445.07664988865</v>
      </c>
      <c r="CR51" s="437">
        <v>173138.29974676573</v>
      </c>
      <c r="CS51" s="257"/>
    </row>
    <row r="52" spans="1:97" x14ac:dyDescent="0.2">
      <c r="A52" s="100">
        <v>171</v>
      </c>
      <c r="B52" s="100" t="s">
        <v>363</v>
      </c>
      <c r="C52" s="100">
        <v>4540</v>
      </c>
      <c r="D52" s="257"/>
      <c r="E52" s="257"/>
      <c r="F52" s="257"/>
      <c r="G52" s="257"/>
      <c r="H52" s="325"/>
      <c r="I52" s="257"/>
      <c r="J52" s="257"/>
      <c r="K52" s="257"/>
      <c r="L52" s="257"/>
      <c r="M52" s="257"/>
      <c r="N52" s="257"/>
      <c r="O52" s="257"/>
      <c r="P52" s="257"/>
      <c r="Q52" s="100">
        <v>186</v>
      </c>
      <c r="R52" s="100">
        <v>45</v>
      </c>
      <c r="S52" s="100">
        <v>261</v>
      </c>
      <c r="T52" s="100">
        <v>139</v>
      </c>
      <c r="U52" s="100">
        <v>3909</v>
      </c>
      <c r="V52" s="100"/>
      <c r="W52" s="100"/>
      <c r="X52" s="100"/>
      <c r="Y52" s="100"/>
      <c r="Z52" s="257"/>
      <c r="AA52" s="257"/>
      <c r="AB52" s="257"/>
      <c r="AC52" s="257"/>
      <c r="AD52" s="257"/>
      <c r="AE52" s="258">
        <v>0.9607977008460743</v>
      </c>
      <c r="AG52" s="441">
        <v>149.41666666666666</v>
      </c>
      <c r="AH52" s="443">
        <v>2021</v>
      </c>
      <c r="AJ52" s="88">
        <v>187</v>
      </c>
      <c r="AM52" s="88">
        <v>0</v>
      </c>
      <c r="AN52" s="88">
        <v>18</v>
      </c>
      <c r="AP52" s="88">
        <v>0</v>
      </c>
      <c r="AQ52" s="399">
        <v>0</v>
      </c>
      <c r="AR52" s="88">
        <v>574.89</v>
      </c>
      <c r="AU52" s="399">
        <v>173</v>
      </c>
      <c r="AV52" s="399">
        <v>1222</v>
      </c>
      <c r="AY52" s="88">
        <v>9.4850000000000004E-2</v>
      </c>
      <c r="AZ52" s="432">
        <v>1326</v>
      </c>
      <c r="BA52" s="440">
        <v>1784</v>
      </c>
      <c r="BC52" s="439">
        <v>0</v>
      </c>
      <c r="BD52" s="88">
        <v>0</v>
      </c>
      <c r="BE52" s="88">
        <v>0</v>
      </c>
      <c r="BF52" s="434">
        <v>-113841.66</v>
      </c>
      <c r="BG52" s="100">
        <v>-90075.69</v>
      </c>
      <c r="BH52" s="257"/>
      <c r="BI52" s="100"/>
      <c r="BJ52" s="257"/>
      <c r="BK52" s="100"/>
      <c r="BL52" s="100"/>
      <c r="BM52" s="100"/>
      <c r="BN52" s="257"/>
      <c r="BO52" s="100"/>
      <c r="BP52" s="100">
        <v>458018</v>
      </c>
      <c r="BQ52" s="100">
        <v>146662</v>
      </c>
      <c r="BR52" s="100">
        <v>360067.20291200245</v>
      </c>
      <c r="BS52" s="100">
        <v>19282.329063916979</v>
      </c>
      <c r="BT52" s="100">
        <v>64627.108867056239</v>
      </c>
      <c r="BU52" s="100">
        <v>183244.24238451579</v>
      </c>
      <c r="BV52" s="100">
        <v>271733.55857463356</v>
      </c>
      <c r="BW52" s="100">
        <v>427994.98927957815</v>
      </c>
      <c r="BX52" s="100">
        <v>126552.75237389241</v>
      </c>
      <c r="BY52" s="100">
        <v>232621.35515414388</v>
      </c>
      <c r="BZ52" s="257"/>
      <c r="CA52" s="100"/>
      <c r="CB52" s="257"/>
      <c r="CC52" s="257"/>
      <c r="CD52" s="257"/>
      <c r="CE52" s="100">
        <v>306777.74972593767</v>
      </c>
      <c r="CF52" s="100">
        <v>173650.14984700282</v>
      </c>
      <c r="CG52" s="100">
        <v>167838.03537561142</v>
      </c>
      <c r="CH52" s="100">
        <v>939271.50065603375</v>
      </c>
      <c r="CI52" s="257"/>
      <c r="CJ52" s="437">
        <v>1473035.6550756306</v>
      </c>
      <c r="CK52" s="404">
        <v>-94570</v>
      </c>
      <c r="CL52" s="404"/>
      <c r="CM52" s="437">
        <v>7608.4350000000013</v>
      </c>
      <c r="CO52" s="434">
        <v>-12155.513944519638</v>
      </c>
      <c r="CP52" s="437">
        <v>-138311.29714411826</v>
      </c>
      <c r="CQ52" s="437">
        <v>-410733.59679168224</v>
      </c>
      <c r="CR52" s="437">
        <v>157524.62542090507</v>
      </c>
      <c r="CS52" s="257"/>
    </row>
    <row r="53" spans="1:97" x14ac:dyDescent="0.2">
      <c r="A53" s="100">
        <v>172</v>
      </c>
      <c r="B53" s="100" t="s">
        <v>364</v>
      </c>
      <c r="C53" s="100">
        <v>4171</v>
      </c>
      <c r="D53" s="257"/>
      <c r="E53" s="257"/>
      <c r="F53" s="257"/>
      <c r="G53" s="257"/>
      <c r="H53" s="325"/>
      <c r="I53" s="257"/>
      <c r="J53" s="257"/>
      <c r="K53" s="257"/>
      <c r="L53" s="257"/>
      <c r="M53" s="257"/>
      <c r="N53" s="257"/>
      <c r="O53" s="257"/>
      <c r="P53" s="257"/>
      <c r="Q53" s="100">
        <v>126</v>
      </c>
      <c r="R53" s="100">
        <v>19</v>
      </c>
      <c r="S53" s="100">
        <v>207</v>
      </c>
      <c r="T53" s="100">
        <v>116</v>
      </c>
      <c r="U53" s="100">
        <v>3703</v>
      </c>
      <c r="V53" s="100"/>
      <c r="W53" s="100"/>
      <c r="X53" s="100"/>
      <c r="Y53" s="100"/>
      <c r="Z53" s="257"/>
      <c r="AA53" s="257"/>
      <c r="AB53" s="257"/>
      <c r="AC53" s="257"/>
      <c r="AD53" s="257"/>
      <c r="AE53" s="258">
        <v>0.90519762691575079</v>
      </c>
      <c r="AG53" s="441">
        <v>178.33333333333334</v>
      </c>
      <c r="AH53" s="443">
        <v>1663</v>
      </c>
      <c r="AJ53" s="88">
        <v>103</v>
      </c>
      <c r="AM53" s="88">
        <v>0</v>
      </c>
      <c r="AN53" s="88">
        <v>10</v>
      </c>
      <c r="AP53" s="88">
        <v>3</v>
      </c>
      <c r="AQ53" s="399">
        <v>265</v>
      </c>
      <c r="AR53" s="88">
        <v>867.07</v>
      </c>
      <c r="AU53" s="399">
        <v>162</v>
      </c>
      <c r="AV53" s="399">
        <v>969</v>
      </c>
      <c r="AY53" s="88">
        <v>1.4112166666666668</v>
      </c>
      <c r="AZ53" s="432">
        <v>1337</v>
      </c>
      <c r="BA53" s="440">
        <v>1470</v>
      </c>
      <c r="BC53" s="439">
        <v>0</v>
      </c>
      <c r="BD53" s="88">
        <v>0</v>
      </c>
      <c r="BE53" s="88">
        <v>0</v>
      </c>
      <c r="BF53" s="434">
        <v>-127706.815</v>
      </c>
      <c r="BG53" s="100">
        <v>-82545.37000000001</v>
      </c>
      <c r="BH53" s="257"/>
      <c r="BI53" s="100"/>
      <c r="BJ53" s="257"/>
      <c r="BK53" s="100"/>
      <c r="BL53" s="100"/>
      <c r="BM53" s="100"/>
      <c r="BN53" s="257"/>
      <c r="BO53" s="100"/>
      <c r="BP53" s="100">
        <v>509443</v>
      </c>
      <c r="BQ53" s="100">
        <v>157472</v>
      </c>
      <c r="BR53" s="100">
        <v>386498.84245449177</v>
      </c>
      <c r="BS53" s="100">
        <v>20618.110462585326</v>
      </c>
      <c r="BT53" s="100">
        <v>40447.198613487839</v>
      </c>
      <c r="BU53" s="100">
        <v>194577.63640664515</v>
      </c>
      <c r="BV53" s="100">
        <v>270506.83662957774</v>
      </c>
      <c r="BW53" s="100">
        <v>404843.30322021345</v>
      </c>
      <c r="BX53" s="100">
        <v>122326.54536871142</v>
      </c>
      <c r="BY53" s="100">
        <v>222307.7076019801</v>
      </c>
      <c r="BZ53" s="257"/>
      <c r="CA53" s="100"/>
      <c r="CB53" s="257"/>
      <c r="CC53" s="257"/>
      <c r="CD53" s="257"/>
      <c r="CE53" s="100">
        <v>301320.58636021038</v>
      </c>
      <c r="CF53" s="100">
        <v>162749.27209112822</v>
      </c>
      <c r="CG53" s="100">
        <v>149908.50604586789</v>
      </c>
      <c r="CH53" s="100">
        <v>929982.00304647884</v>
      </c>
      <c r="CI53" s="257"/>
      <c r="CJ53" s="437">
        <v>1635985.5329674939</v>
      </c>
      <c r="CK53" s="404">
        <v>571884</v>
      </c>
      <c r="CL53" s="404"/>
      <c r="CM53" s="437">
        <v>-55228.287000000011</v>
      </c>
      <c r="CO53" s="434">
        <v>49791.24756126546</v>
      </c>
      <c r="CP53" s="437">
        <v>-87433.056718111591</v>
      </c>
      <c r="CQ53" s="437">
        <v>-377350.183307953</v>
      </c>
      <c r="CR53" s="437">
        <v>144721.41247369937</v>
      </c>
      <c r="CS53" s="257"/>
    </row>
    <row r="54" spans="1:97" x14ac:dyDescent="0.2">
      <c r="A54" s="100">
        <v>176</v>
      </c>
      <c r="B54" s="100" t="s">
        <v>365</v>
      </c>
      <c r="C54" s="100">
        <v>4352</v>
      </c>
      <c r="D54" s="257"/>
      <c r="E54" s="257"/>
      <c r="F54" s="257"/>
      <c r="G54" s="257"/>
      <c r="H54" s="325"/>
      <c r="I54" s="257"/>
      <c r="J54" s="257"/>
      <c r="K54" s="257"/>
      <c r="L54" s="257"/>
      <c r="M54" s="257"/>
      <c r="N54" s="257"/>
      <c r="O54" s="257"/>
      <c r="P54" s="257"/>
      <c r="Q54" s="100">
        <v>121</v>
      </c>
      <c r="R54" s="100">
        <v>27</v>
      </c>
      <c r="S54" s="100">
        <v>173</v>
      </c>
      <c r="T54" s="100">
        <v>126</v>
      </c>
      <c r="U54" s="100">
        <v>3905</v>
      </c>
      <c r="V54" s="100"/>
      <c r="W54" s="100"/>
      <c r="X54" s="100"/>
      <c r="Y54" s="100"/>
      <c r="Z54" s="257"/>
      <c r="AA54" s="257"/>
      <c r="AB54" s="257"/>
      <c r="AC54" s="257"/>
      <c r="AD54" s="257"/>
      <c r="AE54" s="258">
        <v>0.78794900293228609</v>
      </c>
      <c r="AG54" s="441">
        <v>251.25</v>
      </c>
      <c r="AH54" s="443">
        <v>1735</v>
      </c>
      <c r="AJ54" s="88">
        <v>110</v>
      </c>
      <c r="AM54" s="88">
        <v>0</v>
      </c>
      <c r="AN54" s="88">
        <v>2</v>
      </c>
      <c r="AP54" s="88">
        <v>3</v>
      </c>
      <c r="AQ54" s="399">
        <v>183</v>
      </c>
      <c r="AR54" s="88">
        <v>1501.7</v>
      </c>
      <c r="AU54" s="399">
        <v>161</v>
      </c>
      <c r="AV54" s="399">
        <v>950</v>
      </c>
      <c r="AY54" s="88">
        <v>1.5198833333333333</v>
      </c>
      <c r="AZ54" s="432">
        <v>1349</v>
      </c>
      <c r="BA54" s="440">
        <v>1386</v>
      </c>
      <c r="BC54" s="439">
        <v>0</v>
      </c>
      <c r="BD54" s="88">
        <v>0</v>
      </c>
      <c r="BE54" s="88">
        <v>0</v>
      </c>
      <c r="BF54" s="434">
        <v>-176177.43</v>
      </c>
      <c r="BG54" s="100">
        <v>-86963.67</v>
      </c>
      <c r="BH54" s="257"/>
      <c r="BI54" s="100"/>
      <c r="BJ54" s="257"/>
      <c r="BK54" s="100"/>
      <c r="BL54" s="100"/>
      <c r="BM54" s="100"/>
      <c r="BN54" s="257"/>
      <c r="BO54" s="100"/>
      <c r="BP54" s="100">
        <v>547362</v>
      </c>
      <c r="BQ54" s="100">
        <v>154414</v>
      </c>
      <c r="BR54" s="100">
        <v>415752.71276680683</v>
      </c>
      <c r="BS54" s="100">
        <v>24771.699430695844</v>
      </c>
      <c r="BT54" s="100">
        <v>66604.482946982607</v>
      </c>
      <c r="BU54" s="100">
        <v>225061.96261168466</v>
      </c>
      <c r="BV54" s="100">
        <v>273299.08005427447</v>
      </c>
      <c r="BW54" s="100">
        <v>416617.92469922552</v>
      </c>
      <c r="BX54" s="100">
        <v>135404.7667914273</v>
      </c>
      <c r="BY54" s="100">
        <v>238022.65096683003</v>
      </c>
      <c r="BZ54" s="257"/>
      <c r="CA54" s="100"/>
      <c r="CB54" s="257"/>
      <c r="CC54" s="257"/>
      <c r="CD54" s="257"/>
      <c r="CE54" s="100">
        <v>318006.46276698151</v>
      </c>
      <c r="CF54" s="100">
        <v>170454.05062057608</v>
      </c>
      <c r="CG54" s="100">
        <v>164984.41956054917</v>
      </c>
      <c r="CH54" s="100">
        <v>996709.66890892666</v>
      </c>
      <c r="CI54" s="257"/>
      <c r="CJ54" s="437">
        <v>2137343.916281173</v>
      </c>
      <c r="CK54" s="404">
        <v>-4643</v>
      </c>
      <c r="CL54" s="404"/>
      <c r="CM54" s="437">
        <v>-261222.935</v>
      </c>
      <c r="CO54" s="434">
        <v>-1212024.5562989509</v>
      </c>
      <c r="CP54" s="437">
        <v>-866579.64914712717</v>
      </c>
      <c r="CQ54" s="437">
        <v>-393725.24520647601</v>
      </c>
      <c r="CR54" s="437">
        <v>151001.57925810109</v>
      </c>
      <c r="CS54" s="257"/>
    </row>
    <row r="55" spans="1:97" x14ac:dyDescent="0.2">
      <c r="A55" s="100">
        <v>177</v>
      </c>
      <c r="B55" s="100" t="s">
        <v>366</v>
      </c>
      <c r="C55" s="100">
        <v>1768</v>
      </c>
      <c r="D55" s="257"/>
      <c r="E55" s="257"/>
      <c r="F55" s="257"/>
      <c r="G55" s="257"/>
      <c r="H55" s="325"/>
      <c r="I55" s="257"/>
      <c r="J55" s="257"/>
      <c r="K55" s="257"/>
      <c r="L55" s="257"/>
      <c r="M55" s="257"/>
      <c r="N55" s="257"/>
      <c r="O55" s="257"/>
      <c r="P55" s="257"/>
      <c r="Q55" s="100">
        <v>66</v>
      </c>
      <c r="R55" s="100">
        <v>14</v>
      </c>
      <c r="S55" s="100">
        <v>119</v>
      </c>
      <c r="T55" s="100">
        <v>63</v>
      </c>
      <c r="U55" s="100">
        <v>1506</v>
      </c>
      <c r="V55" s="100"/>
      <c r="W55" s="100"/>
      <c r="X55" s="100"/>
      <c r="Y55" s="100"/>
      <c r="Z55" s="257"/>
      <c r="AA55" s="257"/>
      <c r="AB55" s="257"/>
      <c r="AC55" s="257"/>
      <c r="AD55" s="257"/>
      <c r="AE55" s="258">
        <v>1.1393337296740391</v>
      </c>
      <c r="AG55" s="441">
        <v>51.25</v>
      </c>
      <c r="AH55" s="443">
        <v>741</v>
      </c>
      <c r="AJ55" s="88">
        <v>22</v>
      </c>
      <c r="AM55" s="88">
        <v>0</v>
      </c>
      <c r="AN55" s="88">
        <v>3</v>
      </c>
      <c r="AP55" s="88">
        <v>0</v>
      </c>
      <c r="AQ55" s="399">
        <v>0</v>
      </c>
      <c r="AR55" s="88">
        <v>258.49</v>
      </c>
      <c r="AU55" s="399">
        <v>72</v>
      </c>
      <c r="AV55" s="399">
        <v>482</v>
      </c>
      <c r="AY55" s="88">
        <v>0.62613333333333332</v>
      </c>
      <c r="AZ55" s="432">
        <v>636</v>
      </c>
      <c r="BA55" s="440">
        <v>688</v>
      </c>
      <c r="BC55" s="439">
        <v>0</v>
      </c>
      <c r="BD55" s="88">
        <v>0</v>
      </c>
      <c r="BE55" s="88">
        <v>0</v>
      </c>
      <c r="BF55" s="434">
        <v>-59937.964999999997</v>
      </c>
      <c r="BG55" s="100">
        <v>-34578</v>
      </c>
      <c r="BH55" s="257"/>
      <c r="BI55" s="100"/>
      <c r="BJ55" s="257"/>
      <c r="BK55" s="100"/>
      <c r="BL55" s="100"/>
      <c r="BM55" s="100"/>
      <c r="BN55" s="257"/>
      <c r="BO55" s="100"/>
      <c r="BP55" s="100">
        <v>184962</v>
      </c>
      <c r="BQ55" s="100">
        <v>59201</v>
      </c>
      <c r="BR55" s="100">
        <v>142388.02164284655</v>
      </c>
      <c r="BS55" s="100">
        <v>7441.1307006754541</v>
      </c>
      <c r="BT55" s="100">
        <v>16358.817618945292</v>
      </c>
      <c r="BU55" s="100">
        <v>62158.934686852546</v>
      </c>
      <c r="BV55" s="100">
        <v>102466.69992393949</v>
      </c>
      <c r="BW55" s="100">
        <v>189943.87181631447</v>
      </c>
      <c r="BX55" s="100">
        <v>45709.12819189026</v>
      </c>
      <c r="BY55" s="100">
        <v>86024.32833867977</v>
      </c>
      <c r="BZ55" s="257"/>
      <c r="CA55" s="100"/>
      <c r="CB55" s="257"/>
      <c r="CC55" s="257"/>
      <c r="CD55" s="257"/>
      <c r="CE55" s="100">
        <v>116895.3112175987</v>
      </c>
      <c r="CF55" s="100">
        <v>67157.526636254523</v>
      </c>
      <c r="CG55" s="100">
        <v>61636.350264859968</v>
      </c>
      <c r="CH55" s="100">
        <v>372687.53085961123</v>
      </c>
      <c r="CI55" s="257"/>
      <c r="CJ55" s="437">
        <v>321711.32751182676</v>
      </c>
      <c r="CK55" s="404">
        <v>-512187</v>
      </c>
      <c r="CL55" s="404"/>
      <c r="CM55" s="437">
        <v>96134.813999999969</v>
      </c>
      <c r="CO55" s="434">
        <v>360037.27959701786</v>
      </c>
      <c r="CP55" s="437">
        <v>331046.46557351999</v>
      </c>
      <c r="CQ55" s="437">
        <v>-159950.88086513089</v>
      </c>
      <c r="CR55" s="437">
        <v>61344.391573603563</v>
      </c>
      <c r="CS55" s="257"/>
    </row>
    <row r="56" spans="1:97" x14ac:dyDescent="0.2">
      <c r="A56" s="100">
        <v>178</v>
      </c>
      <c r="B56" s="100" t="s">
        <v>367</v>
      </c>
      <c r="C56" s="100">
        <v>5769</v>
      </c>
      <c r="D56" s="257"/>
      <c r="E56" s="257"/>
      <c r="F56" s="257"/>
      <c r="G56" s="257"/>
      <c r="H56" s="325"/>
      <c r="I56" s="257"/>
      <c r="J56" s="257"/>
      <c r="K56" s="257"/>
      <c r="L56" s="257"/>
      <c r="M56" s="257"/>
      <c r="N56" s="257"/>
      <c r="O56" s="257"/>
      <c r="P56" s="257"/>
      <c r="Q56" s="100">
        <v>217</v>
      </c>
      <c r="R56" s="100">
        <v>37</v>
      </c>
      <c r="S56" s="100">
        <v>282</v>
      </c>
      <c r="T56" s="100">
        <v>164</v>
      </c>
      <c r="U56" s="100">
        <v>5069</v>
      </c>
      <c r="V56" s="100"/>
      <c r="W56" s="100"/>
      <c r="X56" s="100"/>
      <c r="Y56" s="100"/>
      <c r="Z56" s="257"/>
      <c r="AA56" s="257"/>
      <c r="AB56" s="257"/>
      <c r="AC56" s="257"/>
      <c r="AD56" s="257"/>
      <c r="AE56" s="258">
        <v>0.88016070888910924</v>
      </c>
      <c r="AG56" s="441">
        <v>188.66666666666666</v>
      </c>
      <c r="AH56" s="443">
        <v>2397</v>
      </c>
      <c r="AJ56" s="88">
        <v>154</v>
      </c>
      <c r="AM56" s="88">
        <v>0</v>
      </c>
      <c r="AN56" s="88">
        <v>15</v>
      </c>
      <c r="AP56" s="88">
        <v>0</v>
      </c>
      <c r="AQ56" s="399">
        <v>0</v>
      </c>
      <c r="AR56" s="88">
        <v>1163.3699999999999</v>
      </c>
      <c r="AU56" s="399">
        <v>170</v>
      </c>
      <c r="AV56" s="399">
        <v>1344</v>
      </c>
      <c r="AY56" s="88">
        <v>0.82289999999999996</v>
      </c>
      <c r="AZ56" s="432">
        <v>1800</v>
      </c>
      <c r="BA56" s="440">
        <v>2147</v>
      </c>
      <c r="BC56" s="439">
        <v>0</v>
      </c>
      <c r="BD56" s="88">
        <v>0</v>
      </c>
      <c r="BE56" s="88">
        <v>0</v>
      </c>
      <c r="BF56" s="434">
        <v>-125357.64</v>
      </c>
      <c r="BG56" s="100">
        <v>-113953.72</v>
      </c>
      <c r="BH56" s="257"/>
      <c r="BI56" s="100"/>
      <c r="BJ56" s="257"/>
      <c r="BK56" s="100"/>
      <c r="BL56" s="100"/>
      <c r="BM56" s="100"/>
      <c r="BN56" s="257"/>
      <c r="BO56" s="100"/>
      <c r="BP56" s="100">
        <v>705473</v>
      </c>
      <c r="BQ56" s="100">
        <v>224298</v>
      </c>
      <c r="BR56" s="100">
        <v>573341.18419038656</v>
      </c>
      <c r="BS56" s="100">
        <v>29992.922592651285</v>
      </c>
      <c r="BT56" s="100">
        <v>63985.897324574398</v>
      </c>
      <c r="BU56" s="100">
        <v>254616.91607701505</v>
      </c>
      <c r="BV56" s="100">
        <v>373516.89299610566</v>
      </c>
      <c r="BW56" s="100">
        <v>589182.03011478262</v>
      </c>
      <c r="BX56" s="100">
        <v>195151.42496183366</v>
      </c>
      <c r="BY56" s="100">
        <v>321168.96614469704</v>
      </c>
      <c r="BZ56" s="257"/>
      <c r="CA56" s="100"/>
      <c r="CB56" s="257"/>
      <c r="CC56" s="257"/>
      <c r="CD56" s="257"/>
      <c r="CE56" s="100">
        <v>451019.73569176643</v>
      </c>
      <c r="CF56" s="100">
        <v>246029.35137396018</v>
      </c>
      <c r="CG56" s="100">
        <v>240343.75957262743</v>
      </c>
      <c r="CH56" s="100">
        <v>1344014.8102650952</v>
      </c>
      <c r="CI56" s="257"/>
      <c r="CJ56" s="437">
        <v>2276173.6148583498</v>
      </c>
      <c r="CK56" s="404">
        <v>-142111</v>
      </c>
      <c r="CL56" s="404"/>
      <c r="CM56" s="437">
        <v>17350.215500000006</v>
      </c>
      <c r="CO56" s="434">
        <v>562621.34437830735</v>
      </c>
      <c r="CP56" s="437">
        <v>73191.358743819786</v>
      </c>
      <c r="CQ56" s="437">
        <v>-521921.17178220593</v>
      </c>
      <c r="CR56" s="437">
        <v>200167.30485753334</v>
      </c>
      <c r="CS56" s="257"/>
    </row>
    <row r="57" spans="1:97" x14ac:dyDescent="0.2">
      <c r="A57" s="100">
        <v>179</v>
      </c>
      <c r="B57" s="100" t="s">
        <v>368</v>
      </c>
      <c r="C57" s="100">
        <v>145887</v>
      </c>
      <c r="D57" s="257"/>
      <c r="E57" s="257"/>
      <c r="F57" s="257"/>
      <c r="G57" s="257"/>
      <c r="H57" s="325"/>
      <c r="I57" s="257"/>
      <c r="J57" s="257"/>
      <c r="K57" s="257"/>
      <c r="L57" s="257"/>
      <c r="M57" s="257"/>
      <c r="N57" s="257"/>
      <c r="O57" s="257"/>
      <c r="P57" s="257"/>
      <c r="Q57" s="100">
        <v>7448</v>
      </c>
      <c r="R57" s="100">
        <v>1396</v>
      </c>
      <c r="S57" s="100">
        <v>9153</v>
      </c>
      <c r="T57" s="100">
        <v>4729</v>
      </c>
      <c r="U57" s="100">
        <v>123161</v>
      </c>
      <c r="V57" s="100"/>
      <c r="W57" s="100"/>
      <c r="X57" s="100"/>
      <c r="Y57" s="100"/>
      <c r="Z57" s="257"/>
      <c r="AA57" s="257"/>
      <c r="AB57" s="257"/>
      <c r="AC57" s="257"/>
      <c r="AD57" s="257"/>
      <c r="AE57" s="258">
        <v>1.0711863490941649</v>
      </c>
      <c r="AG57" s="441">
        <v>8686.8333333333339</v>
      </c>
      <c r="AH57" s="443">
        <v>69786</v>
      </c>
      <c r="AJ57" s="88">
        <v>8694</v>
      </c>
      <c r="AM57" s="88">
        <v>0</v>
      </c>
      <c r="AN57" s="88">
        <v>299</v>
      </c>
      <c r="AP57" s="88">
        <v>3</v>
      </c>
      <c r="AQ57" s="399">
        <v>439</v>
      </c>
      <c r="AR57" s="88">
        <v>1171.03</v>
      </c>
      <c r="AU57" s="399">
        <v>4290</v>
      </c>
      <c r="AV57" s="399">
        <v>45820</v>
      </c>
      <c r="AY57" s="88">
        <v>0</v>
      </c>
      <c r="AZ57" s="432">
        <v>65345</v>
      </c>
      <c r="BA57" s="440">
        <v>61169</v>
      </c>
      <c r="BC57" s="439">
        <v>0.81</v>
      </c>
      <c r="BD57" s="88">
        <v>0</v>
      </c>
      <c r="BE57" s="88">
        <v>16</v>
      </c>
      <c r="BF57" s="434">
        <v>-13053424.267000001</v>
      </c>
      <c r="BG57" s="100">
        <v>-2755098.2</v>
      </c>
      <c r="BH57" s="257"/>
      <c r="BI57" s="100"/>
      <c r="BJ57" s="257"/>
      <c r="BK57" s="100"/>
      <c r="BL57" s="100"/>
      <c r="BM57" s="100"/>
      <c r="BN57" s="257"/>
      <c r="BO57" s="100"/>
      <c r="BP57" s="100">
        <v>8785583</v>
      </c>
      <c r="BQ57" s="100">
        <v>3161859</v>
      </c>
      <c r="BR57" s="100">
        <v>7430869.0904282592</v>
      </c>
      <c r="BS57" s="100">
        <v>300591.73226042686</v>
      </c>
      <c r="BT57" s="100">
        <v>289311.78973914421</v>
      </c>
      <c r="BU57" s="100">
        <v>3241992.4344182685</v>
      </c>
      <c r="BV57" s="100">
        <v>6842359.5965944892</v>
      </c>
      <c r="BW57" s="100">
        <v>9234603.1016778834</v>
      </c>
      <c r="BX57" s="100">
        <v>3555495.8197356621</v>
      </c>
      <c r="BY57" s="100">
        <v>5933426.1928489124</v>
      </c>
      <c r="BZ57" s="257"/>
      <c r="CA57" s="100"/>
      <c r="CB57" s="257"/>
      <c r="CC57" s="257"/>
      <c r="CD57" s="257"/>
      <c r="CE57" s="100">
        <v>7582047.6330412794</v>
      </c>
      <c r="CF57" s="100">
        <v>4815455.3371276204</v>
      </c>
      <c r="CG57" s="100">
        <v>4738890.9587935004</v>
      </c>
      <c r="CH57" s="100">
        <v>21221489.079334859</v>
      </c>
      <c r="CI57" s="257"/>
      <c r="CJ57" s="437">
        <v>35839222.613212943</v>
      </c>
      <c r="CK57" s="404">
        <v>-23645732</v>
      </c>
      <c r="CL57" s="404"/>
      <c r="CM57" s="437">
        <v>-10775374.459950004</v>
      </c>
      <c r="CO57" s="434">
        <v>-16971835.489615656</v>
      </c>
      <c r="CP57" s="437">
        <v>-3860781.5207705079</v>
      </c>
      <c r="CQ57" s="437">
        <v>-13198390.360164791</v>
      </c>
      <c r="CR57" s="437">
        <v>5061849.1252818462</v>
      </c>
      <c r="CS57" s="257"/>
    </row>
    <row r="58" spans="1:97" x14ac:dyDescent="0.2">
      <c r="A58" s="100">
        <v>181</v>
      </c>
      <c r="B58" s="100" t="s">
        <v>369</v>
      </c>
      <c r="C58" s="100">
        <v>1683</v>
      </c>
      <c r="D58" s="257"/>
      <c r="E58" s="257"/>
      <c r="F58" s="257"/>
      <c r="G58" s="257"/>
      <c r="H58" s="325"/>
      <c r="I58" s="257"/>
      <c r="J58" s="257"/>
      <c r="K58" s="257"/>
      <c r="L58" s="257"/>
      <c r="M58" s="257"/>
      <c r="N58" s="257"/>
      <c r="O58" s="257"/>
      <c r="P58" s="257"/>
      <c r="Q58" s="100">
        <v>68</v>
      </c>
      <c r="R58" s="100">
        <v>9</v>
      </c>
      <c r="S58" s="100">
        <v>126</v>
      </c>
      <c r="T58" s="100">
        <v>51</v>
      </c>
      <c r="U58" s="100">
        <v>1429</v>
      </c>
      <c r="V58" s="100"/>
      <c r="W58" s="100"/>
      <c r="X58" s="100"/>
      <c r="Y58" s="100"/>
      <c r="Z58" s="257"/>
      <c r="AA58" s="257"/>
      <c r="AB58" s="257"/>
      <c r="AC58" s="257"/>
      <c r="AD58" s="257"/>
      <c r="AE58" s="258">
        <v>1.0011494632622844</v>
      </c>
      <c r="AG58" s="441">
        <v>49.416666666666664</v>
      </c>
      <c r="AH58" s="443">
        <v>718</v>
      </c>
      <c r="AJ58" s="88">
        <v>36</v>
      </c>
      <c r="AM58" s="88">
        <v>0</v>
      </c>
      <c r="AN58" s="88">
        <v>3</v>
      </c>
      <c r="AP58" s="88">
        <v>0</v>
      </c>
      <c r="AQ58" s="399">
        <v>0</v>
      </c>
      <c r="AR58" s="88">
        <v>215.09</v>
      </c>
      <c r="AU58" s="399">
        <v>63</v>
      </c>
      <c r="AV58" s="399">
        <v>441</v>
      </c>
      <c r="AY58" s="88">
        <v>0.38423333333333332</v>
      </c>
      <c r="AZ58" s="432">
        <v>446</v>
      </c>
      <c r="BA58" s="440">
        <v>651</v>
      </c>
      <c r="BC58" s="439">
        <v>0</v>
      </c>
      <c r="BD58" s="88">
        <v>0</v>
      </c>
      <c r="BE58" s="88">
        <v>0</v>
      </c>
      <c r="BF58" s="434">
        <v>-29935.355</v>
      </c>
      <c r="BG58" s="100">
        <v>-32791.47</v>
      </c>
      <c r="BH58" s="257"/>
      <c r="BI58" s="100"/>
      <c r="BJ58" s="257"/>
      <c r="BK58" s="100"/>
      <c r="BL58" s="100"/>
      <c r="BM58" s="100"/>
      <c r="BN58" s="257"/>
      <c r="BO58" s="100"/>
      <c r="BP58" s="100">
        <v>217242</v>
      </c>
      <c r="BQ58" s="100">
        <v>62326</v>
      </c>
      <c r="BR58" s="100">
        <v>163679.80649145006</v>
      </c>
      <c r="BS58" s="100">
        <v>9322.7729863398436</v>
      </c>
      <c r="BT58" s="100">
        <v>20546.144547529064</v>
      </c>
      <c r="BU58" s="100">
        <v>83560.398227846774</v>
      </c>
      <c r="BV58" s="100">
        <v>128322.02545125858</v>
      </c>
      <c r="BW58" s="100">
        <v>196867.21888913724</v>
      </c>
      <c r="BX58" s="100">
        <v>55474.804142205925</v>
      </c>
      <c r="BY58" s="100">
        <v>100521.38449145175</v>
      </c>
      <c r="BZ58" s="257"/>
      <c r="CA58" s="100"/>
      <c r="CB58" s="257"/>
      <c r="CC58" s="257"/>
      <c r="CD58" s="257"/>
      <c r="CE58" s="100">
        <v>133906.04585872657</v>
      </c>
      <c r="CF58" s="100">
        <v>72696.46235604478</v>
      </c>
      <c r="CG58" s="100">
        <v>70426.892613938646</v>
      </c>
      <c r="CH58" s="100">
        <v>426361.30558149749</v>
      </c>
      <c r="CI58" s="257"/>
      <c r="CJ58" s="437">
        <v>925287.16759762645</v>
      </c>
      <c r="CK58" s="404">
        <v>-402301</v>
      </c>
      <c r="CL58" s="404"/>
      <c r="CM58" s="437">
        <v>65641.400000000009</v>
      </c>
      <c r="CO58" s="434">
        <v>394329.63214579888</v>
      </c>
      <c r="CP58" s="437">
        <v>245409.57008009194</v>
      </c>
      <c r="CQ58" s="437">
        <v>-152260.93466969189</v>
      </c>
      <c r="CR58" s="437">
        <v>58395.141978718777</v>
      </c>
      <c r="CS58" s="257"/>
    </row>
    <row r="59" spans="1:97" x14ac:dyDescent="0.2">
      <c r="A59" s="100">
        <v>182</v>
      </c>
      <c r="B59" s="100" t="s">
        <v>370</v>
      </c>
      <c r="C59" s="100">
        <v>19347</v>
      </c>
      <c r="D59" s="257"/>
      <c r="E59" s="257"/>
      <c r="F59" s="257"/>
      <c r="G59" s="257"/>
      <c r="H59" s="325"/>
      <c r="I59" s="257"/>
      <c r="J59" s="257"/>
      <c r="K59" s="257"/>
      <c r="L59" s="257"/>
      <c r="M59" s="257"/>
      <c r="N59" s="257"/>
      <c r="O59" s="257"/>
      <c r="P59" s="257"/>
      <c r="Q59" s="100">
        <v>613</v>
      </c>
      <c r="R59" s="100">
        <v>139</v>
      </c>
      <c r="S59" s="100">
        <v>1117</v>
      </c>
      <c r="T59" s="100">
        <v>635</v>
      </c>
      <c r="U59" s="100">
        <v>16843</v>
      </c>
      <c r="V59" s="100"/>
      <c r="W59" s="100"/>
      <c r="X59" s="100"/>
      <c r="Y59" s="100"/>
      <c r="Z59" s="257"/>
      <c r="AA59" s="257"/>
      <c r="AB59" s="257"/>
      <c r="AC59" s="257"/>
      <c r="AD59" s="257"/>
      <c r="AE59" s="258">
        <v>0.96634361458400109</v>
      </c>
      <c r="AG59" s="441">
        <v>1076.5</v>
      </c>
      <c r="AH59" s="443">
        <v>8451</v>
      </c>
      <c r="AJ59" s="88">
        <v>476</v>
      </c>
      <c r="AM59" s="88">
        <v>0</v>
      </c>
      <c r="AN59" s="88">
        <v>25</v>
      </c>
      <c r="AP59" s="88">
        <v>0</v>
      </c>
      <c r="AQ59" s="399">
        <v>0</v>
      </c>
      <c r="AR59" s="88">
        <v>1571.41</v>
      </c>
      <c r="AU59" s="399">
        <v>586</v>
      </c>
      <c r="AV59" s="399">
        <v>4982</v>
      </c>
      <c r="AY59" s="88">
        <v>0.24018333333333333</v>
      </c>
      <c r="AZ59" s="432">
        <v>6999</v>
      </c>
      <c r="BA59" s="440">
        <v>7137</v>
      </c>
      <c r="BC59" s="439">
        <v>0</v>
      </c>
      <c r="BD59" s="88">
        <v>0</v>
      </c>
      <c r="BE59" s="88">
        <v>1</v>
      </c>
      <c r="BF59" s="434">
        <v>-973123.39249999996</v>
      </c>
      <c r="BG59" s="100">
        <v>-382029.27</v>
      </c>
      <c r="BH59" s="257"/>
      <c r="BI59" s="100"/>
      <c r="BJ59" s="257"/>
      <c r="BK59" s="100"/>
      <c r="BL59" s="100"/>
      <c r="BM59" s="100"/>
      <c r="BN59" s="257"/>
      <c r="BO59" s="100"/>
      <c r="BP59" s="100">
        <v>1709403</v>
      </c>
      <c r="BQ59" s="100">
        <v>519708</v>
      </c>
      <c r="BR59" s="100">
        <v>1219725.933246363</v>
      </c>
      <c r="BS59" s="100">
        <v>52030.813605313517</v>
      </c>
      <c r="BT59" s="100">
        <v>106519.75003969</v>
      </c>
      <c r="BU59" s="100">
        <v>662484.28336800437</v>
      </c>
      <c r="BV59" s="100">
        <v>949791.64044660295</v>
      </c>
      <c r="BW59" s="100">
        <v>1573152.60032277</v>
      </c>
      <c r="BX59" s="100">
        <v>463806.86793949269</v>
      </c>
      <c r="BY59" s="100">
        <v>847753.79835540731</v>
      </c>
      <c r="BZ59" s="257"/>
      <c r="CA59" s="100"/>
      <c r="CB59" s="257"/>
      <c r="CC59" s="257"/>
      <c r="CD59" s="257"/>
      <c r="CE59" s="100">
        <v>1031286.6775387488</v>
      </c>
      <c r="CF59" s="100">
        <v>634727.90323950676</v>
      </c>
      <c r="CG59" s="100">
        <v>618038.96043210279</v>
      </c>
      <c r="CH59" s="100">
        <v>3275389.5878337245</v>
      </c>
      <c r="CI59" s="257"/>
      <c r="CJ59" s="437">
        <v>2532216.7046914492</v>
      </c>
      <c r="CK59" s="404">
        <v>-1453363</v>
      </c>
      <c r="CL59" s="404"/>
      <c r="CM59" s="437">
        <v>-249855.038</v>
      </c>
      <c r="CO59" s="434">
        <v>-1701536.8844990539</v>
      </c>
      <c r="CP59" s="437">
        <v>-10645.735620644031</v>
      </c>
      <c r="CQ59" s="437">
        <v>-1750322.2240371534</v>
      </c>
      <c r="CR59" s="437">
        <v>671283.90484983497</v>
      </c>
      <c r="CS59" s="257"/>
    </row>
    <row r="60" spans="1:97" x14ac:dyDescent="0.2">
      <c r="A60" s="100">
        <v>186</v>
      </c>
      <c r="B60" s="100" t="s">
        <v>371</v>
      </c>
      <c r="C60" s="100">
        <v>45630</v>
      </c>
      <c r="D60" s="257"/>
      <c r="E60" s="257"/>
      <c r="F60" s="257"/>
      <c r="G60" s="257"/>
      <c r="H60" s="325"/>
      <c r="I60" s="257"/>
      <c r="J60" s="257"/>
      <c r="K60" s="257"/>
      <c r="L60" s="257"/>
      <c r="M60" s="257"/>
      <c r="N60" s="257"/>
      <c r="O60" s="257"/>
      <c r="P60" s="257"/>
      <c r="Q60" s="100">
        <v>2709</v>
      </c>
      <c r="R60" s="100">
        <v>525</v>
      </c>
      <c r="S60" s="100">
        <v>3180</v>
      </c>
      <c r="T60" s="100">
        <v>1618</v>
      </c>
      <c r="U60" s="100">
        <v>37598</v>
      </c>
      <c r="V60" s="100"/>
      <c r="W60" s="100"/>
      <c r="X60" s="100"/>
      <c r="Y60" s="100"/>
      <c r="Z60" s="257"/>
      <c r="AA60" s="257"/>
      <c r="AB60" s="257"/>
      <c r="AC60" s="257"/>
      <c r="AD60" s="257"/>
      <c r="AE60" s="258">
        <v>1.0211742137686126</v>
      </c>
      <c r="AG60" s="441">
        <v>2081.8333333333335</v>
      </c>
      <c r="AH60" s="443">
        <v>22945</v>
      </c>
      <c r="AJ60" s="88">
        <v>3299</v>
      </c>
      <c r="AM60" s="88">
        <v>0</v>
      </c>
      <c r="AN60" s="88">
        <v>471</v>
      </c>
      <c r="AP60" s="88">
        <v>0</v>
      </c>
      <c r="AQ60" s="399">
        <v>0</v>
      </c>
      <c r="AR60" s="88">
        <v>37.54</v>
      </c>
      <c r="AU60" s="399">
        <v>2117</v>
      </c>
      <c r="AV60" s="399">
        <v>15305</v>
      </c>
      <c r="AY60" s="88">
        <v>0</v>
      </c>
      <c r="AZ60" s="432">
        <v>13853</v>
      </c>
      <c r="BA60" s="440">
        <v>21254</v>
      </c>
      <c r="BC60" s="439">
        <v>1.44</v>
      </c>
      <c r="BD60" s="88">
        <v>0</v>
      </c>
      <c r="BE60" s="88">
        <v>4</v>
      </c>
      <c r="BF60" s="434">
        <v>-4170484.0180500001</v>
      </c>
      <c r="BG60" s="100">
        <v>-853980.55</v>
      </c>
      <c r="BH60" s="257"/>
      <c r="BI60" s="100"/>
      <c r="BJ60" s="257"/>
      <c r="BK60" s="100"/>
      <c r="BL60" s="100"/>
      <c r="BM60" s="100"/>
      <c r="BN60" s="257"/>
      <c r="BO60" s="100"/>
      <c r="BP60" s="100">
        <v>2359895</v>
      </c>
      <c r="BQ60" s="100">
        <v>788024</v>
      </c>
      <c r="BR60" s="100">
        <v>1560793.0796292792</v>
      </c>
      <c r="BS60" s="100">
        <v>16432.02133447396</v>
      </c>
      <c r="BT60" s="100">
        <v>-52180.456639471027</v>
      </c>
      <c r="BU60" s="100">
        <v>532891.37651828141</v>
      </c>
      <c r="BV60" s="100">
        <v>1745645.3373874046</v>
      </c>
      <c r="BW60" s="100">
        <v>2615186.7969610211</v>
      </c>
      <c r="BX60" s="100">
        <v>832380.76249253622</v>
      </c>
      <c r="BY60" s="100">
        <v>1405740.983470449</v>
      </c>
      <c r="BZ60" s="257"/>
      <c r="CA60" s="100"/>
      <c r="CB60" s="257"/>
      <c r="CC60" s="257"/>
      <c r="CD60" s="257"/>
      <c r="CE60" s="100">
        <v>1782545.3486394365</v>
      </c>
      <c r="CF60" s="100">
        <v>1280140.8701125057</v>
      </c>
      <c r="CG60" s="100">
        <v>1210190.4591886192</v>
      </c>
      <c r="CH60" s="100">
        <v>5398864.8071859898</v>
      </c>
      <c r="CI60" s="257"/>
      <c r="CJ60" s="437">
        <v>1016478.1334061795</v>
      </c>
      <c r="CK60" s="404">
        <v>-128115</v>
      </c>
      <c r="CL60" s="404"/>
      <c r="CM60" s="437">
        <v>-2565030.1997000002</v>
      </c>
      <c r="CO60" s="434">
        <v>-5513681.2232682928</v>
      </c>
      <c r="CP60" s="437">
        <v>-1814230.2849377443</v>
      </c>
      <c r="CQ60" s="437">
        <v>-4128144.0576221282</v>
      </c>
      <c r="CR60" s="437">
        <v>1583226.5766422686</v>
      </c>
      <c r="CS60" s="257"/>
    </row>
    <row r="61" spans="1:97" x14ac:dyDescent="0.2">
      <c r="A61" s="100">
        <v>202</v>
      </c>
      <c r="B61" s="100" t="s">
        <v>372</v>
      </c>
      <c r="C61" s="100">
        <v>35848</v>
      </c>
      <c r="D61" s="257"/>
      <c r="E61" s="257"/>
      <c r="F61" s="257"/>
      <c r="G61" s="257"/>
      <c r="H61" s="325"/>
      <c r="I61" s="257"/>
      <c r="J61" s="257"/>
      <c r="K61" s="257"/>
      <c r="L61" s="257"/>
      <c r="M61" s="257"/>
      <c r="N61" s="257"/>
      <c r="O61" s="257"/>
      <c r="P61" s="257"/>
      <c r="Q61" s="100">
        <v>2419</v>
      </c>
      <c r="R61" s="100">
        <v>455</v>
      </c>
      <c r="S61" s="100">
        <v>2778</v>
      </c>
      <c r="T61" s="100">
        <v>1384</v>
      </c>
      <c r="U61" s="100">
        <v>28812</v>
      </c>
      <c r="V61" s="100"/>
      <c r="W61" s="100"/>
      <c r="X61" s="100"/>
      <c r="Y61" s="100"/>
      <c r="Z61" s="257"/>
      <c r="AA61" s="257"/>
      <c r="AB61" s="257"/>
      <c r="AC61" s="257"/>
      <c r="AD61" s="257"/>
      <c r="AE61" s="258">
        <v>0.96117863325513653</v>
      </c>
      <c r="AG61" s="441">
        <v>911.16666666666663</v>
      </c>
      <c r="AH61" s="443">
        <v>16924</v>
      </c>
      <c r="AJ61" s="88">
        <v>2081</v>
      </c>
      <c r="AM61" s="88">
        <v>0</v>
      </c>
      <c r="AN61" s="88">
        <v>1740</v>
      </c>
      <c r="AP61" s="88">
        <v>3</v>
      </c>
      <c r="AQ61" s="399">
        <v>233</v>
      </c>
      <c r="AR61" s="88">
        <v>150.57</v>
      </c>
      <c r="AU61" s="399">
        <v>1129</v>
      </c>
      <c r="AV61" s="399">
        <v>12249</v>
      </c>
      <c r="AY61" s="88">
        <v>0</v>
      </c>
      <c r="AZ61" s="432">
        <v>10301</v>
      </c>
      <c r="BA61" s="440">
        <v>16276</v>
      </c>
      <c r="BC61" s="439">
        <v>1.84</v>
      </c>
      <c r="BD61" s="88">
        <v>0</v>
      </c>
      <c r="BE61" s="88">
        <v>0</v>
      </c>
      <c r="BF61" s="434">
        <v>-1173341.7675000001</v>
      </c>
      <c r="BG61" s="100">
        <v>-665953.07000000007</v>
      </c>
      <c r="BH61" s="257"/>
      <c r="BI61" s="100"/>
      <c r="BJ61" s="257"/>
      <c r="BK61" s="100"/>
      <c r="BL61" s="100"/>
      <c r="BM61" s="100"/>
      <c r="BN61" s="257"/>
      <c r="BO61" s="100"/>
      <c r="BP61" s="100">
        <v>1895488</v>
      </c>
      <c r="BQ61" s="100">
        <v>618556</v>
      </c>
      <c r="BR61" s="100">
        <v>1109986.7560428085</v>
      </c>
      <c r="BS61" s="100">
        <v>-1846.6552465841792</v>
      </c>
      <c r="BT61" s="100">
        <v>-517236.33327152382</v>
      </c>
      <c r="BU61" s="100">
        <v>530666.28017673804</v>
      </c>
      <c r="BV61" s="100">
        <v>1161563.2820562536</v>
      </c>
      <c r="BW61" s="100">
        <v>2246161.2971964781</v>
      </c>
      <c r="BX61" s="100">
        <v>554637.83078777185</v>
      </c>
      <c r="BY61" s="100">
        <v>1065917.3026987626</v>
      </c>
      <c r="BZ61" s="257"/>
      <c r="CA61" s="100"/>
      <c r="CB61" s="257"/>
      <c r="CC61" s="257"/>
      <c r="CD61" s="257"/>
      <c r="CE61" s="100">
        <v>1326344.0697368199</v>
      </c>
      <c r="CF61" s="100">
        <v>913121.79975888925</v>
      </c>
      <c r="CG61" s="100">
        <v>871074.14598632569</v>
      </c>
      <c r="CH61" s="100">
        <v>3738913.909100424</v>
      </c>
      <c r="CI61" s="257"/>
      <c r="CJ61" s="437">
        <v>658340.52202976041</v>
      </c>
      <c r="CK61" s="404">
        <v>-4023135</v>
      </c>
      <c r="CL61" s="404"/>
      <c r="CM61" s="437">
        <v>-2393264.5580999991</v>
      </c>
      <c r="CO61" s="434">
        <v>5606712.1049421523</v>
      </c>
      <c r="CP61" s="437">
        <v>2483541.7265126691</v>
      </c>
      <c r="CQ61" s="437">
        <v>-3243166.9554599617</v>
      </c>
      <c r="CR61" s="437">
        <v>1243819.9938521157</v>
      </c>
      <c r="CS61" s="257"/>
    </row>
    <row r="62" spans="1:97" x14ac:dyDescent="0.2">
      <c r="A62" s="100">
        <v>204</v>
      </c>
      <c r="B62" s="100" t="s">
        <v>373</v>
      </c>
      <c r="C62" s="100">
        <v>2689</v>
      </c>
      <c r="D62" s="257"/>
      <c r="E62" s="257"/>
      <c r="F62" s="257"/>
      <c r="G62" s="257"/>
      <c r="H62" s="325"/>
      <c r="I62" s="257"/>
      <c r="J62" s="257"/>
      <c r="K62" s="257"/>
      <c r="L62" s="257"/>
      <c r="M62" s="257"/>
      <c r="N62" s="257"/>
      <c r="O62" s="257"/>
      <c r="P62" s="257"/>
      <c r="Q62" s="100">
        <v>78</v>
      </c>
      <c r="R62" s="100">
        <v>15</v>
      </c>
      <c r="S62" s="100">
        <v>142</v>
      </c>
      <c r="T62" s="100">
        <v>69</v>
      </c>
      <c r="U62" s="100">
        <v>2385</v>
      </c>
      <c r="V62" s="100"/>
      <c r="W62" s="100"/>
      <c r="X62" s="100"/>
      <c r="Y62" s="100"/>
      <c r="Z62" s="257"/>
      <c r="AA62" s="257"/>
      <c r="AB62" s="257"/>
      <c r="AC62" s="257"/>
      <c r="AD62" s="257"/>
      <c r="AE62" s="258">
        <v>0.77412855050957474</v>
      </c>
      <c r="AG62" s="441">
        <v>112.5</v>
      </c>
      <c r="AH62" s="443">
        <v>1054</v>
      </c>
      <c r="AJ62" s="88">
        <v>50</v>
      </c>
      <c r="AM62" s="88">
        <v>0</v>
      </c>
      <c r="AN62" s="88">
        <v>4</v>
      </c>
      <c r="AP62" s="88">
        <v>0</v>
      </c>
      <c r="AQ62" s="399">
        <v>0</v>
      </c>
      <c r="AR62" s="88">
        <v>674.08</v>
      </c>
      <c r="AU62" s="399">
        <v>114</v>
      </c>
      <c r="AV62" s="399">
        <v>650</v>
      </c>
      <c r="AY62" s="88">
        <v>1.1962833333333334</v>
      </c>
      <c r="AZ62" s="432">
        <v>769</v>
      </c>
      <c r="BA62" s="440">
        <v>892</v>
      </c>
      <c r="BC62" s="439">
        <v>0</v>
      </c>
      <c r="BD62" s="88">
        <v>0</v>
      </c>
      <c r="BE62" s="88">
        <v>0</v>
      </c>
      <c r="BF62" s="434">
        <v>-125209.075</v>
      </c>
      <c r="BG62" s="100">
        <v>-53922.47</v>
      </c>
      <c r="BH62" s="257"/>
      <c r="BI62" s="100"/>
      <c r="BJ62" s="257"/>
      <c r="BK62" s="100"/>
      <c r="BL62" s="100"/>
      <c r="BM62" s="100"/>
      <c r="BN62" s="257"/>
      <c r="BO62" s="100"/>
      <c r="BP62" s="100">
        <v>355721</v>
      </c>
      <c r="BQ62" s="100">
        <v>98791</v>
      </c>
      <c r="BR62" s="100">
        <v>249680.16830031399</v>
      </c>
      <c r="BS62" s="100">
        <v>13431.18733569948</v>
      </c>
      <c r="BT62" s="100">
        <v>37694.398625109789</v>
      </c>
      <c r="BU62" s="100">
        <v>138561.89410991914</v>
      </c>
      <c r="BV62" s="100">
        <v>169510.29152716341</v>
      </c>
      <c r="BW62" s="100">
        <v>257725.92299652047</v>
      </c>
      <c r="BX62" s="100">
        <v>73820.344471284756</v>
      </c>
      <c r="BY62" s="100">
        <v>151372.51474612678</v>
      </c>
      <c r="BZ62" s="257"/>
      <c r="CA62" s="100"/>
      <c r="CB62" s="257"/>
      <c r="CC62" s="257"/>
      <c r="CD62" s="257"/>
      <c r="CE62" s="100">
        <v>210947.05753419004</v>
      </c>
      <c r="CF62" s="100">
        <v>107571.5697510874</v>
      </c>
      <c r="CG62" s="100">
        <v>99416.727377678602</v>
      </c>
      <c r="CH62" s="100">
        <v>618298.41845865559</v>
      </c>
      <c r="CI62" s="257"/>
      <c r="CJ62" s="437">
        <v>1129991.0250743905</v>
      </c>
      <c r="CK62" s="404">
        <v>-613746</v>
      </c>
      <c r="CL62" s="404"/>
      <c r="CM62" s="437">
        <v>-830896.3004500001</v>
      </c>
      <c r="CO62" s="434">
        <v>-782390.53640098392</v>
      </c>
      <c r="CP62" s="437">
        <v>-903495.94533230993</v>
      </c>
      <c r="CQ62" s="437">
        <v>-243273.7096415933</v>
      </c>
      <c r="CR62" s="437">
        <v>93300.378360531671</v>
      </c>
      <c r="CS62" s="257"/>
    </row>
    <row r="63" spans="1:97" x14ac:dyDescent="0.2">
      <c r="A63" s="100">
        <v>205</v>
      </c>
      <c r="B63" s="100" t="s">
        <v>374</v>
      </c>
      <c r="C63" s="100">
        <v>36297</v>
      </c>
      <c r="D63" s="257"/>
      <c r="E63" s="257"/>
      <c r="F63" s="257"/>
      <c r="G63" s="257"/>
      <c r="H63" s="325"/>
      <c r="I63" s="257"/>
      <c r="J63" s="257"/>
      <c r="K63" s="257"/>
      <c r="L63" s="257"/>
      <c r="M63" s="257"/>
      <c r="N63" s="257"/>
      <c r="O63" s="257"/>
      <c r="P63" s="257"/>
      <c r="Q63" s="100">
        <v>1759</v>
      </c>
      <c r="R63" s="100">
        <v>382</v>
      </c>
      <c r="S63" s="100">
        <v>2452</v>
      </c>
      <c r="T63" s="100">
        <v>1285</v>
      </c>
      <c r="U63" s="100">
        <v>30419</v>
      </c>
      <c r="V63" s="100"/>
      <c r="W63" s="100"/>
      <c r="X63" s="100"/>
      <c r="Y63" s="100"/>
      <c r="Z63" s="257"/>
      <c r="AA63" s="257"/>
      <c r="AB63" s="257"/>
      <c r="AC63" s="257"/>
      <c r="AD63" s="257"/>
      <c r="AE63" s="258">
        <v>0.95087482851765048</v>
      </c>
      <c r="AG63" s="441">
        <v>1483.0833333333333</v>
      </c>
      <c r="AH63" s="443">
        <v>16620</v>
      </c>
      <c r="AJ63" s="88">
        <v>1852</v>
      </c>
      <c r="AM63" s="88">
        <v>0</v>
      </c>
      <c r="AN63" s="88">
        <v>38</v>
      </c>
      <c r="AP63" s="88">
        <v>0</v>
      </c>
      <c r="AQ63" s="399">
        <v>0</v>
      </c>
      <c r="AR63" s="88">
        <v>1834.83</v>
      </c>
      <c r="AU63" s="399">
        <v>1139</v>
      </c>
      <c r="AV63" s="399">
        <v>10417</v>
      </c>
      <c r="AY63" s="88">
        <v>0.18211666666666668</v>
      </c>
      <c r="AZ63" s="432">
        <v>15653</v>
      </c>
      <c r="BA63" s="440">
        <v>14875</v>
      </c>
      <c r="BC63" s="439">
        <v>0</v>
      </c>
      <c r="BD63" s="88">
        <v>0</v>
      </c>
      <c r="BE63" s="88">
        <v>2</v>
      </c>
      <c r="BF63" s="434">
        <v>-1970000.21915</v>
      </c>
      <c r="BG63" s="100">
        <v>-702452.07000000007</v>
      </c>
      <c r="BH63" s="257"/>
      <c r="BI63" s="100"/>
      <c r="BJ63" s="257"/>
      <c r="BK63" s="100"/>
      <c r="BL63" s="100"/>
      <c r="BM63" s="100"/>
      <c r="BN63" s="257"/>
      <c r="BO63" s="100"/>
      <c r="BP63" s="100">
        <v>2592766</v>
      </c>
      <c r="BQ63" s="100">
        <v>851137</v>
      </c>
      <c r="BR63" s="100">
        <v>1854193.7933830146</v>
      </c>
      <c r="BS63" s="100">
        <v>75734.944627949691</v>
      </c>
      <c r="BT63" s="100">
        <v>347880.491883763</v>
      </c>
      <c r="BU63" s="100">
        <v>1027227.4196650238</v>
      </c>
      <c r="BV63" s="100">
        <v>1791204.8751561167</v>
      </c>
      <c r="BW63" s="100">
        <v>2813546.3021177156</v>
      </c>
      <c r="BX63" s="100">
        <v>835976.783384323</v>
      </c>
      <c r="BY63" s="100">
        <v>1533689.2892897481</v>
      </c>
      <c r="BZ63" s="257"/>
      <c r="CA63" s="100"/>
      <c r="CB63" s="257"/>
      <c r="CC63" s="257"/>
      <c r="CD63" s="257"/>
      <c r="CE63" s="100">
        <v>1872950.2847681872</v>
      </c>
      <c r="CF63" s="100">
        <v>1188753.3701668836</v>
      </c>
      <c r="CG63" s="100">
        <v>1181703.7255586723</v>
      </c>
      <c r="CH63" s="100">
        <v>5718120.9029471334</v>
      </c>
      <c r="CI63" s="257"/>
      <c r="CJ63" s="437">
        <v>12709206.49113602</v>
      </c>
      <c r="CK63" s="404">
        <v>32465711</v>
      </c>
      <c r="CL63" s="404"/>
      <c r="CM63" s="437">
        <v>-286121.91149999993</v>
      </c>
      <c r="CO63" s="434">
        <v>-5510659.806209174</v>
      </c>
      <c r="CP63" s="437">
        <v>-3009612.897266929</v>
      </c>
      <c r="CQ63" s="437">
        <v>-3283787.9653629274</v>
      </c>
      <c r="CR63" s="437">
        <v>1259398.9711239189</v>
      </c>
      <c r="CS63" s="257"/>
    </row>
    <row r="64" spans="1:97" x14ac:dyDescent="0.2">
      <c r="A64" s="100">
        <v>208</v>
      </c>
      <c r="B64" s="100" t="s">
        <v>375</v>
      </c>
      <c r="C64" s="100">
        <v>12335</v>
      </c>
      <c r="D64" s="257"/>
      <c r="E64" s="257"/>
      <c r="F64" s="257"/>
      <c r="G64" s="257"/>
      <c r="H64" s="325"/>
      <c r="I64" s="257"/>
      <c r="J64" s="257"/>
      <c r="K64" s="257"/>
      <c r="L64" s="257"/>
      <c r="M64" s="257"/>
      <c r="N64" s="257"/>
      <c r="O64" s="257"/>
      <c r="P64" s="257"/>
      <c r="Q64" s="100">
        <v>739</v>
      </c>
      <c r="R64" s="100">
        <v>136</v>
      </c>
      <c r="S64" s="100">
        <v>965</v>
      </c>
      <c r="T64" s="100">
        <v>517</v>
      </c>
      <c r="U64" s="100">
        <v>9978</v>
      </c>
      <c r="V64" s="100"/>
      <c r="W64" s="100"/>
      <c r="X64" s="100"/>
      <c r="Y64" s="100"/>
      <c r="Z64" s="257"/>
      <c r="AA64" s="257"/>
      <c r="AB64" s="257"/>
      <c r="AC64" s="257"/>
      <c r="AD64" s="257"/>
      <c r="AE64" s="258">
        <v>1.0647692001985105</v>
      </c>
      <c r="AG64" s="441">
        <v>363.91666666666669</v>
      </c>
      <c r="AH64" s="443">
        <v>5408</v>
      </c>
      <c r="AJ64" s="88">
        <v>386</v>
      </c>
      <c r="AM64" s="88">
        <v>0</v>
      </c>
      <c r="AN64" s="88">
        <v>55</v>
      </c>
      <c r="AP64" s="88">
        <v>0</v>
      </c>
      <c r="AQ64" s="399">
        <v>0</v>
      </c>
      <c r="AR64" s="88">
        <v>924.1</v>
      </c>
      <c r="AU64" s="399">
        <v>411</v>
      </c>
      <c r="AV64" s="399">
        <v>3387</v>
      </c>
      <c r="AY64" s="88">
        <v>0.45220000000000005</v>
      </c>
      <c r="AZ64" s="432">
        <v>4581</v>
      </c>
      <c r="BA64" s="440">
        <v>4977</v>
      </c>
      <c r="BC64" s="439">
        <v>0</v>
      </c>
      <c r="BD64" s="88">
        <v>0</v>
      </c>
      <c r="BE64" s="88">
        <v>3</v>
      </c>
      <c r="BF64" s="434">
        <v>-274133.92249999999</v>
      </c>
      <c r="BG64" s="100">
        <v>-238204</v>
      </c>
      <c r="BH64" s="257"/>
      <c r="BI64" s="100"/>
      <c r="BJ64" s="257"/>
      <c r="BK64" s="100"/>
      <c r="BL64" s="100"/>
      <c r="BM64" s="100"/>
      <c r="BN64" s="257"/>
      <c r="BO64" s="100"/>
      <c r="BP64" s="100">
        <v>1129537</v>
      </c>
      <c r="BQ64" s="100">
        <v>361572</v>
      </c>
      <c r="BR64" s="100">
        <v>874686.77811864042</v>
      </c>
      <c r="BS64" s="100">
        <v>40153.217458564672</v>
      </c>
      <c r="BT64" s="100">
        <v>-24432.856551359495</v>
      </c>
      <c r="BU64" s="100">
        <v>371268.24533248646</v>
      </c>
      <c r="BV64" s="100">
        <v>697889.44049193198</v>
      </c>
      <c r="BW64" s="100">
        <v>1075183.5111417584</v>
      </c>
      <c r="BX64" s="100">
        <v>341540.5014360135</v>
      </c>
      <c r="BY64" s="100">
        <v>582309.9376593543</v>
      </c>
      <c r="BZ64" s="257"/>
      <c r="CA64" s="100"/>
      <c r="CB64" s="257"/>
      <c r="CC64" s="257"/>
      <c r="CD64" s="257"/>
      <c r="CE64" s="100">
        <v>841522.22568522813</v>
      </c>
      <c r="CF64" s="100">
        <v>451158.05144734302</v>
      </c>
      <c r="CG64" s="100">
        <v>467630.62856472319</v>
      </c>
      <c r="CH64" s="100">
        <v>2423142.9183948599</v>
      </c>
      <c r="CI64" s="257"/>
      <c r="CJ64" s="437">
        <v>5776803.9278499866</v>
      </c>
      <c r="CK64" s="404">
        <v>-143385</v>
      </c>
      <c r="CL64" s="404"/>
      <c r="CM64" s="437">
        <v>-20647.203999999998</v>
      </c>
      <c r="CO64" s="434">
        <v>1089083.1731218144</v>
      </c>
      <c r="CP64" s="437">
        <v>144009.94444883187</v>
      </c>
      <c r="CQ64" s="437">
        <v>-1115946.8978910574</v>
      </c>
      <c r="CR64" s="437">
        <v>427988.16179886874</v>
      </c>
      <c r="CS64" s="257"/>
    </row>
    <row r="65" spans="1:97" x14ac:dyDescent="0.2">
      <c r="A65" s="100">
        <v>211</v>
      </c>
      <c r="B65" s="100" t="s">
        <v>376</v>
      </c>
      <c r="C65" s="100">
        <v>32959</v>
      </c>
      <c r="D65" s="257"/>
      <c r="E65" s="257"/>
      <c r="F65" s="257"/>
      <c r="G65" s="257"/>
      <c r="H65" s="325"/>
      <c r="I65" s="257"/>
      <c r="J65" s="257"/>
      <c r="K65" s="257"/>
      <c r="L65" s="257"/>
      <c r="M65" s="257"/>
      <c r="N65" s="257"/>
      <c r="O65" s="257"/>
      <c r="P65" s="257"/>
      <c r="Q65" s="100">
        <v>2045</v>
      </c>
      <c r="R65" s="100">
        <v>443</v>
      </c>
      <c r="S65" s="100">
        <v>2613</v>
      </c>
      <c r="T65" s="100">
        <v>1374</v>
      </c>
      <c r="U65" s="100">
        <v>26484</v>
      </c>
      <c r="V65" s="100"/>
      <c r="W65" s="100"/>
      <c r="X65" s="100"/>
      <c r="Y65" s="100"/>
      <c r="Z65" s="257"/>
      <c r="AA65" s="257"/>
      <c r="AB65" s="257"/>
      <c r="AC65" s="257"/>
      <c r="AD65" s="257"/>
      <c r="AE65" s="258">
        <v>1.0070953834753185</v>
      </c>
      <c r="AG65" s="441">
        <v>1059.5</v>
      </c>
      <c r="AH65" s="443">
        <v>15562</v>
      </c>
      <c r="AJ65" s="88">
        <v>986</v>
      </c>
      <c r="AM65" s="88">
        <v>0</v>
      </c>
      <c r="AN65" s="88">
        <v>78</v>
      </c>
      <c r="AP65" s="88">
        <v>0</v>
      </c>
      <c r="AQ65" s="399">
        <v>0</v>
      </c>
      <c r="AR65" s="88">
        <v>658.02</v>
      </c>
      <c r="AU65" s="399">
        <v>881</v>
      </c>
      <c r="AV65" s="399">
        <v>11043</v>
      </c>
      <c r="AY65" s="88">
        <v>0</v>
      </c>
      <c r="AZ65" s="432">
        <v>8890</v>
      </c>
      <c r="BA65" s="440">
        <v>14719</v>
      </c>
      <c r="BC65" s="439">
        <v>1.1299999999999999</v>
      </c>
      <c r="BD65" s="88">
        <v>0</v>
      </c>
      <c r="BE65" s="88">
        <v>2</v>
      </c>
      <c r="BF65" s="434">
        <v>-1117032.6775</v>
      </c>
      <c r="BG65" s="100">
        <v>-618830.94000000006</v>
      </c>
      <c r="BH65" s="257"/>
      <c r="BI65" s="100"/>
      <c r="BJ65" s="257"/>
      <c r="BK65" s="100"/>
      <c r="BL65" s="100"/>
      <c r="BM65" s="100"/>
      <c r="BN65" s="257"/>
      <c r="BO65" s="100"/>
      <c r="BP65" s="100">
        <v>2052330</v>
      </c>
      <c r="BQ65" s="100">
        <v>652472</v>
      </c>
      <c r="BR65" s="100">
        <v>1279438.3668590477</v>
      </c>
      <c r="BS65" s="100">
        <v>18609.676418183368</v>
      </c>
      <c r="BT65" s="100">
        <v>58558.191724880795</v>
      </c>
      <c r="BU65" s="100">
        <v>669339.41618865496</v>
      </c>
      <c r="BV65" s="100">
        <v>1323883.3820436788</v>
      </c>
      <c r="BW65" s="100">
        <v>2274364.3120675283</v>
      </c>
      <c r="BX65" s="100">
        <v>569612.14842287172</v>
      </c>
      <c r="BY65" s="100">
        <v>1105365.9695999913</v>
      </c>
      <c r="BZ65" s="257"/>
      <c r="CA65" s="100"/>
      <c r="CB65" s="257"/>
      <c r="CC65" s="257"/>
      <c r="CD65" s="257"/>
      <c r="CE65" s="100">
        <v>1397718.227602798</v>
      </c>
      <c r="CF65" s="100">
        <v>931552.91710916208</v>
      </c>
      <c r="CG65" s="100">
        <v>877389.1685409582</v>
      </c>
      <c r="CH65" s="100">
        <v>4222130.48012006</v>
      </c>
      <c r="CI65" s="257"/>
      <c r="CJ65" s="437">
        <v>5317115.4541388405</v>
      </c>
      <c r="CK65" s="404">
        <v>-4423890</v>
      </c>
      <c r="CL65" s="404"/>
      <c r="CM65" s="437">
        <v>-1152386.9917500005</v>
      </c>
      <c r="CO65" s="434">
        <v>223390.48923013205</v>
      </c>
      <c r="CP65" s="437">
        <v>16205.492875597387</v>
      </c>
      <c r="CQ65" s="437">
        <v>-2981799.2547702766</v>
      </c>
      <c r="CR65" s="437">
        <v>1143580.2046800905</v>
      </c>
      <c r="CS65" s="257"/>
    </row>
    <row r="66" spans="1:97" x14ac:dyDescent="0.2">
      <c r="A66" s="100">
        <v>213</v>
      </c>
      <c r="B66" s="100" t="s">
        <v>377</v>
      </c>
      <c r="C66" s="100">
        <v>5154</v>
      </c>
      <c r="D66" s="257"/>
      <c r="E66" s="257"/>
      <c r="F66" s="257"/>
      <c r="G66" s="257"/>
      <c r="H66" s="325"/>
      <c r="I66" s="257"/>
      <c r="J66" s="257"/>
      <c r="K66" s="257"/>
      <c r="L66" s="257"/>
      <c r="M66" s="257"/>
      <c r="N66" s="257"/>
      <c r="O66" s="257"/>
      <c r="P66" s="257"/>
      <c r="Q66" s="100">
        <v>167</v>
      </c>
      <c r="R66" s="100">
        <v>32</v>
      </c>
      <c r="S66" s="100">
        <v>267</v>
      </c>
      <c r="T66" s="100">
        <v>156</v>
      </c>
      <c r="U66" s="100">
        <v>4532</v>
      </c>
      <c r="V66" s="100"/>
      <c r="W66" s="100"/>
      <c r="X66" s="100"/>
      <c r="Y66" s="100"/>
      <c r="Z66" s="257"/>
      <c r="AA66" s="257"/>
      <c r="AB66" s="257"/>
      <c r="AC66" s="257"/>
      <c r="AD66" s="257"/>
      <c r="AE66" s="258">
        <v>0.78923640429513719</v>
      </c>
      <c r="AG66" s="441">
        <v>192</v>
      </c>
      <c r="AH66" s="443">
        <v>2052</v>
      </c>
      <c r="AJ66" s="88">
        <v>94</v>
      </c>
      <c r="AM66" s="88">
        <v>0</v>
      </c>
      <c r="AN66" s="88">
        <v>10</v>
      </c>
      <c r="AP66" s="88">
        <v>0</v>
      </c>
      <c r="AQ66" s="399">
        <v>0</v>
      </c>
      <c r="AR66" s="88">
        <v>1068.8900000000001</v>
      </c>
      <c r="AU66" s="399">
        <v>156</v>
      </c>
      <c r="AV66" s="399">
        <v>1175</v>
      </c>
      <c r="AY66" s="88">
        <v>1.0241166666666668</v>
      </c>
      <c r="AZ66" s="432">
        <v>1545</v>
      </c>
      <c r="BA66" s="440">
        <v>1834</v>
      </c>
      <c r="BC66" s="439">
        <v>0</v>
      </c>
      <c r="BD66" s="88">
        <v>0</v>
      </c>
      <c r="BE66" s="88">
        <v>0</v>
      </c>
      <c r="BF66" s="434">
        <v>-198915.68</v>
      </c>
      <c r="BG66" s="100">
        <v>-102043.52</v>
      </c>
      <c r="BH66" s="257"/>
      <c r="BI66" s="100"/>
      <c r="BJ66" s="257"/>
      <c r="BK66" s="100"/>
      <c r="BL66" s="100"/>
      <c r="BM66" s="100"/>
      <c r="BN66" s="257"/>
      <c r="BO66" s="100"/>
      <c r="BP66" s="100">
        <v>651314</v>
      </c>
      <c r="BQ66" s="100">
        <v>187331</v>
      </c>
      <c r="BR66" s="100">
        <v>420197.39121155959</v>
      </c>
      <c r="BS66" s="100">
        <v>23328.671378826199</v>
      </c>
      <c r="BT66" s="100">
        <v>53778.542156053358</v>
      </c>
      <c r="BU66" s="100">
        <v>224519.73819760809</v>
      </c>
      <c r="BV66" s="100">
        <v>316250.04276992328</v>
      </c>
      <c r="BW66" s="100">
        <v>487700.42877747031</v>
      </c>
      <c r="BX66" s="100">
        <v>147284.10950619541</v>
      </c>
      <c r="BY66" s="100">
        <v>262226.24189561693</v>
      </c>
      <c r="BZ66" s="257"/>
      <c r="CA66" s="100"/>
      <c r="CB66" s="257"/>
      <c r="CC66" s="257"/>
      <c r="CD66" s="257"/>
      <c r="CE66" s="100">
        <v>371316.05710509483</v>
      </c>
      <c r="CF66" s="100">
        <v>201801.63601443227</v>
      </c>
      <c r="CG66" s="100">
        <v>181018.31053635565</v>
      </c>
      <c r="CH66" s="100">
        <v>1110295.7370382252</v>
      </c>
      <c r="CI66" s="257"/>
      <c r="CJ66" s="437">
        <v>1203811.5481204316</v>
      </c>
      <c r="CK66" s="404">
        <v>-242448</v>
      </c>
      <c r="CL66" s="404"/>
      <c r="CM66" s="437">
        <v>-114902.28700000001</v>
      </c>
      <c r="CO66" s="434">
        <v>-470155.46297591989</v>
      </c>
      <c r="CP66" s="437">
        <v>-100298.55197629183</v>
      </c>
      <c r="CQ66" s="437">
        <v>-466282.14930932387</v>
      </c>
      <c r="CR66" s="437">
        <v>178828.6166121905</v>
      </c>
      <c r="CS66" s="257"/>
    </row>
    <row r="67" spans="1:97" x14ac:dyDescent="0.2">
      <c r="A67" s="100">
        <v>214</v>
      </c>
      <c r="B67" s="100" t="s">
        <v>378</v>
      </c>
      <c r="C67" s="100">
        <v>12528</v>
      </c>
      <c r="D67" s="257"/>
      <c r="E67" s="257"/>
      <c r="F67" s="257"/>
      <c r="G67" s="257"/>
      <c r="H67" s="325"/>
      <c r="I67" s="257"/>
      <c r="J67" s="257"/>
      <c r="K67" s="257"/>
      <c r="L67" s="257"/>
      <c r="M67" s="257"/>
      <c r="N67" s="257"/>
      <c r="O67" s="257"/>
      <c r="P67" s="257"/>
      <c r="Q67" s="100">
        <v>583</v>
      </c>
      <c r="R67" s="100">
        <v>116</v>
      </c>
      <c r="S67" s="100">
        <v>789</v>
      </c>
      <c r="T67" s="100">
        <v>383</v>
      </c>
      <c r="U67" s="100">
        <v>10657</v>
      </c>
      <c r="V67" s="100"/>
      <c r="W67" s="100"/>
      <c r="X67" s="100"/>
      <c r="Y67" s="100"/>
      <c r="Z67" s="257"/>
      <c r="AA67" s="257"/>
      <c r="AB67" s="257"/>
      <c r="AC67" s="257"/>
      <c r="AD67" s="257"/>
      <c r="AE67" s="258">
        <v>0.99518148921584471</v>
      </c>
      <c r="AG67" s="441">
        <v>481.58333333333331</v>
      </c>
      <c r="AH67" s="443">
        <v>5525</v>
      </c>
      <c r="AJ67" s="88">
        <v>556</v>
      </c>
      <c r="AM67" s="88">
        <v>0</v>
      </c>
      <c r="AN67" s="88">
        <v>11</v>
      </c>
      <c r="AP67" s="88">
        <v>0</v>
      </c>
      <c r="AQ67" s="399">
        <v>0</v>
      </c>
      <c r="AR67" s="88">
        <v>1021.25</v>
      </c>
      <c r="AU67" s="399">
        <v>533</v>
      </c>
      <c r="AV67" s="399">
        <v>3341</v>
      </c>
      <c r="AY67" s="88">
        <v>0.30081666666666668</v>
      </c>
      <c r="AZ67" s="432">
        <v>5328</v>
      </c>
      <c r="BA67" s="440">
        <v>4873</v>
      </c>
      <c r="BC67" s="439">
        <v>0</v>
      </c>
      <c r="BD67" s="88">
        <v>0</v>
      </c>
      <c r="BE67" s="88">
        <v>0</v>
      </c>
      <c r="BF67" s="434">
        <v>-317642.45500000002</v>
      </c>
      <c r="BG67" s="100">
        <v>-245081.18000000002</v>
      </c>
      <c r="BH67" s="257"/>
      <c r="BI67" s="100"/>
      <c r="BJ67" s="257"/>
      <c r="BK67" s="100"/>
      <c r="BL67" s="100"/>
      <c r="BM67" s="100"/>
      <c r="BN67" s="257"/>
      <c r="BO67" s="100"/>
      <c r="BP67" s="100">
        <v>1258360</v>
      </c>
      <c r="BQ67" s="100">
        <v>421034</v>
      </c>
      <c r="BR67" s="100">
        <v>1066554.4085110556</v>
      </c>
      <c r="BS67" s="100">
        <v>54399.034779693975</v>
      </c>
      <c r="BT67" s="100">
        <v>121871.93094268852</v>
      </c>
      <c r="BU67" s="100">
        <v>479461.13960020477</v>
      </c>
      <c r="BV67" s="100">
        <v>774197.03540308145</v>
      </c>
      <c r="BW67" s="100">
        <v>1162685.492595321</v>
      </c>
      <c r="BX67" s="100">
        <v>365207.37812721427</v>
      </c>
      <c r="BY67" s="100">
        <v>646525.63333498</v>
      </c>
      <c r="BZ67" s="257"/>
      <c r="CA67" s="100"/>
      <c r="CB67" s="257"/>
      <c r="CC67" s="257"/>
      <c r="CD67" s="257"/>
      <c r="CE67" s="100">
        <v>872733.21328999323</v>
      </c>
      <c r="CF67" s="100">
        <v>491633.55474048841</v>
      </c>
      <c r="CG67" s="100">
        <v>476130.79631216405</v>
      </c>
      <c r="CH67" s="100">
        <v>2646942.193622163</v>
      </c>
      <c r="CI67" s="257"/>
      <c r="CJ67" s="437">
        <v>5190839.3998318166</v>
      </c>
      <c r="CK67" s="404">
        <v>-223316</v>
      </c>
      <c r="CL67" s="404"/>
      <c r="CM67" s="437">
        <v>195506.94249999992</v>
      </c>
      <c r="CO67" s="434">
        <v>-361333.04991936445</v>
      </c>
      <c r="CP67" s="437">
        <v>197159.10578017076</v>
      </c>
      <c r="CQ67" s="437">
        <v>-1133407.5992524659</v>
      </c>
      <c r="CR67" s="437">
        <v>434684.69323196012</v>
      </c>
      <c r="CS67" s="257"/>
    </row>
    <row r="68" spans="1:97" x14ac:dyDescent="0.2">
      <c r="A68" s="100">
        <v>216</v>
      </c>
      <c r="B68" s="100" t="s">
        <v>379</v>
      </c>
      <c r="C68" s="100">
        <v>1269</v>
      </c>
      <c r="D68" s="257"/>
      <c r="E68" s="257"/>
      <c r="F68" s="257"/>
      <c r="G68" s="257"/>
      <c r="H68" s="325"/>
      <c r="I68" s="257"/>
      <c r="J68" s="257"/>
      <c r="K68" s="257"/>
      <c r="L68" s="257"/>
      <c r="M68" s="257"/>
      <c r="N68" s="257"/>
      <c r="O68" s="257"/>
      <c r="P68" s="257"/>
      <c r="Q68" s="100">
        <v>46</v>
      </c>
      <c r="R68" s="100">
        <v>8</v>
      </c>
      <c r="S68" s="100">
        <v>61</v>
      </c>
      <c r="T68" s="100">
        <v>40</v>
      </c>
      <c r="U68" s="100">
        <v>1114</v>
      </c>
      <c r="V68" s="100"/>
      <c r="W68" s="100"/>
      <c r="X68" s="100"/>
      <c r="Y68" s="100"/>
      <c r="Z68" s="257"/>
      <c r="AA68" s="257"/>
      <c r="AB68" s="257"/>
      <c r="AC68" s="257"/>
      <c r="AD68" s="257"/>
      <c r="AE68" s="258">
        <v>0.92359733205456751</v>
      </c>
      <c r="AG68" s="441">
        <v>61.25</v>
      </c>
      <c r="AH68" s="443">
        <v>500</v>
      </c>
      <c r="AJ68" s="88">
        <v>23</v>
      </c>
      <c r="AM68" s="88">
        <v>0</v>
      </c>
      <c r="AN68" s="88">
        <v>1</v>
      </c>
      <c r="AP68" s="88">
        <v>0</v>
      </c>
      <c r="AQ68" s="399">
        <v>0</v>
      </c>
      <c r="AR68" s="88">
        <v>445</v>
      </c>
      <c r="AU68" s="399">
        <v>44</v>
      </c>
      <c r="AV68" s="399">
        <v>278</v>
      </c>
      <c r="AY68" s="88">
        <v>1.5251000000000001</v>
      </c>
      <c r="AZ68" s="432">
        <v>382</v>
      </c>
      <c r="BA68" s="440">
        <v>429</v>
      </c>
      <c r="BC68" s="439">
        <v>0</v>
      </c>
      <c r="BD68" s="88">
        <v>0</v>
      </c>
      <c r="BE68" s="88">
        <v>0</v>
      </c>
      <c r="BF68" s="434">
        <v>-31251.03</v>
      </c>
      <c r="BG68" s="100">
        <v>-25414.83</v>
      </c>
      <c r="BH68" s="257"/>
      <c r="BI68" s="100"/>
      <c r="BJ68" s="257"/>
      <c r="BK68" s="100"/>
      <c r="BL68" s="100"/>
      <c r="BM68" s="100"/>
      <c r="BN68" s="257"/>
      <c r="BO68" s="100"/>
      <c r="BP68" s="100">
        <v>158615</v>
      </c>
      <c r="BQ68" s="100">
        <v>47512</v>
      </c>
      <c r="BR68" s="100">
        <v>119051.56090819609</v>
      </c>
      <c r="BS68" s="100">
        <v>7616.3543238918255</v>
      </c>
      <c r="BT68" s="100">
        <v>21503.490366428287</v>
      </c>
      <c r="BU68" s="100">
        <v>69878.340021947151</v>
      </c>
      <c r="BV68" s="100">
        <v>85699.80887111144</v>
      </c>
      <c r="BW68" s="100">
        <v>125186.9110305073</v>
      </c>
      <c r="BX68" s="100">
        <v>40962.804342577336</v>
      </c>
      <c r="BY68" s="100">
        <v>73882.999396501851</v>
      </c>
      <c r="BZ68" s="257"/>
      <c r="CA68" s="100"/>
      <c r="CB68" s="257"/>
      <c r="CC68" s="257"/>
      <c r="CD68" s="257"/>
      <c r="CE68" s="100">
        <v>102594.63270089612</v>
      </c>
      <c r="CF68" s="100">
        <v>53522.176944315106</v>
      </c>
      <c r="CG68" s="100">
        <v>49844.162064037351</v>
      </c>
      <c r="CH68" s="100">
        <v>300791.69579398894</v>
      </c>
      <c r="CI68" s="257"/>
      <c r="CJ68" s="437">
        <v>508158.78204722999</v>
      </c>
      <c r="CK68" s="404">
        <v>-269315</v>
      </c>
      <c r="CL68" s="404"/>
      <c r="CM68" s="437">
        <v>65641.399999999994</v>
      </c>
      <c r="CO68" s="434">
        <v>82687.974615637228</v>
      </c>
      <c r="CP68" s="437">
        <v>-12007.441913227249</v>
      </c>
      <c r="CQ68" s="437">
        <v>-114806.37320014201</v>
      </c>
      <c r="CR68" s="437">
        <v>44030.561598926994</v>
      </c>
      <c r="CS68" s="257"/>
    </row>
    <row r="69" spans="1:97" x14ac:dyDescent="0.2">
      <c r="A69" s="100">
        <v>217</v>
      </c>
      <c r="B69" s="100" t="s">
        <v>380</v>
      </c>
      <c r="C69" s="100">
        <v>5352</v>
      </c>
      <c r="D69" s="257"/>
      <c r="E69" s="257"/>
      <c r="F69" s="257"/>
      <c r="G69" s="257"/>
      <c r="H69" s="325"/>
      <c r="I69" s="257"/>
      <c r="J69" s="257"/>
      <c r="K69" s="257"/>
      <c r="L69" s="257"/>
      <c r="M69" s="257"/>
      <c r="N69" s="257"/>
      <c r="O69" s="257"/>
      <c r="P69" s="257"/>
      <c r="Q69" s="100">
        <v>309</v>
      </c>
      <c r="R69" s="100">
        <v>67</v>
      </c>
      <c r="S69" s="100">
        <v>447</v>
      </c>
      <c r="T69" s="100">
        <v>191</v>
      </c>
      <c r="U69" s="100">
        <v>4338</v>
      </c>
      <c r="V69" s="100"/>
      <c r="W69" s="100"/>
      <c r="X69" s="100"/>
      <c r="Y69" s="100"/>
      <c r="Z69" s="257"/>
      <c r="AA69" s="257"/>
      <c r="AB69" s="257"/>
      <c r="AC69" s="257"/>
      <c r="AD69" s="257"/>
      <c r="AE69" s="258">
        <v>1.0595465652098417</v>
      </c>
      <c r="AG69" s="441">
        <v>167.33333333333334</v>
      </c>
      <c r="AH69" s="443">
        <v>2431</v>
      </c>
      <c r="AJ69" s="88">
        <v>131</v>
      </c>
      <c r="AM69" s="88">
        <v>0</v>
      </c>
      <c r="AN69" s="88">
        <v>21</v>
      </c>
      <c r="AP69" s="88">
        <v>0</v>
      </c>
      <c r="AQ69" s="399">
        <v>0</v>
      </c>
      <c r="AR69" s="88">
        <v>468.04</v>
      </c>
      <c r="AU69" s="399">
        <v>199</v>
      </c>
      <c r="AV69" s="399">
        <v>1475</v>
      </c>
      <c r="AY69" s="88">
        <v>0.19186666666666666</v>
      </c>
      <c r="AZ69" s="432">
        <v>2042</v>
      </c>
      <c r="BA69" s="440">
        <v>2225</v>
      </c>
      <c r="BC69" s="439">
        <v>0</v>
      </c>
      <c r="BD69" s="88">
        <v>0</v>
      </c>
      <c r="BE69" s="88">
        <v>0</v>
      </c>
      <c r="BF69" s="434">
        <v>-121579.155</v>
      </c>
      <c r="BG69" s="100">
        <v>-104233.46</v>
      </c>
      <c r="BH69" s="257"/>
      <c r="BI69" s="100"/>
      <c r="BJ69" s="257"/>
      <c r="BK69" s="100"/>
      <c r="BL69" s="100"/>
      <c r="BM69" s="100"/>
      <c r="BN69" s="257"/>
      <c r="BO69" s="100"/>
      <c r="BP69" s="100">
        <v>472563</v>
      </c>
      <c r="BQ69" s="100">
        <v>155789</v>
      </c>
      <c r="BR69" s="100">
        <v>373453.80252586701</v>
      </c>
      <c r="BS69" s="100">
        <v>18040.573836712447</v>
      </c>
      <c r="BT69" s="100">
        <v>72786.557660049046</v>
      </c>
      <c r="BU69" s="100">
        <v>176020.83461088591</v>
      </c>
      <c r="BV69" s="100">
        <v>301129.87290488865</v>
      </c>
      <c r="BW69" s="100">
        <v>492919.3720727344</v>
      </c>
      <c r="BX69" s="100">
        <v>137422.61225023714</v>
      </c>
      <c r="BY69" s="100">
        <v>254096.82971160897</v>
      </c>
      <c r="BZ69" s="257"/>
      <c r="CA69" s="100"/>
      <c r="CB69" s="257"/>
      <c r="CC69" s="257"/>
      <c r="CD69" s="257"/>
      <c r="CE69" s="100">
        <v>352688.1636357854</v>
      </c>
      <c r="CF69" s="100">
        <v>205683.64919256553</v>
      </c>
      <c r="CG69" s="100">
        <v>197948.88346104958</v>
      </c>
      <c r="CH69" s="100">
        <v>1051504.0723747611</v>
      </c>
      <c r="CI69" s="257"/>
      <c r="CJ69" s="437">
        <v>2723056.9866396575</v>
      </c>
      <c r="CK69" s="404">
        <v>89092</v>
      </c>
      <c r="CL69" s="404"/>
      <c r="CM69" s="437">
        <v>-20960.4925</v>
      </c>
      <c r="CO69" s="434">
        <v>-724681.07728443574</v>
      </c>
      <c r="CP69" s="437">
        <v>-823410.02328289824</v>
      </c>
      <c r="CQ69" s="437">
        <v>-484195.20044693467</v>
      </c>
      <c r="CR69" s="437">
        <v>185698.63331556917</v>
      </c>
      <c r="CS69" s="257"/>
    </row>
    <row r="70" spans="1:97" x14ac:dyDescent="0.2">
      <c r="A70" s="100">
        <v>218</v>
      </c>
      <c r="B70" s="100" t="s">
        <v>381</v>
      </c>
      <c r="C70" s="100">
        <v>1200</v>
      </c>
      <c r="D70" s="257"/>
      <c r="E70" s="257"/>
      <c r="F70" s="257"/>
      <c r="G70" s="257"/>
      <c r="H70" s="325"/>
      <c r="I70" s="257"/>
      <c r="J70" s="257"/>
      <c r="K70" s="257"/>
      <c r="L70" s="257"/>
      <c r="M70" s="257"/>
      <c r="N70" s="257"/>
      <c r="O70" s="257"/>
      <c r="P70" s="257"/>
      <c r="Q70" s="100">
        <v>37</v>
      </c>
      <c r="R70" s="100">
        <v>11</v>
      </c>
      <c r="S70" s="100">
        <v>62</v>
      </c>
      <c r="T70" s="100">
        <v>27</v>
      </c>
      <c r="U70" s="100">
        <v>1063</v>
      </c>
      <c r="V70" s="100"/>
      <c r="W70" s="100"/>
      <c r="X70" s="100"/>
      <c r="Y70" s="100"/>
      <c r="Z70" s="257"/>
      <c r="AA70" s="257"/>
      <c r="AB70" s="257"/>
      <c r="AC70" s="257"/>
      <c r="AD70" s="257"/>
      <c r="AE70" s="258">
        <v>0.65035239778955645</v>
      </c>
      <c r="AG70" s="441">
        <v>32.833333333333336</v>
      </c>
      <c r="AH70" s="443">
        <v>526</v>
      </c>
      <c r="AJ70" s="88">
        <v>19</v>
      </c>
      <c r="AM70" s="88">
        <v>0</v>
      </c>
      <c r="AN70" s="88">
        <v>20</v>
      </c>
      <c r="AP70" s="88">
        <v>0</v>
      </c>
      <c r="AQ70" s="399">
        <v>0</v>
      </c>
      <c r="AR70" s="88">
        <v>185.58</v>
      </c>
      <c r="AU70" s="399">
        <v>46</v>
      </c>
      <c r="AV70" s="399">
        <v>278</v>
      </c>
      <c r="AY70" s="88">
        <v>0.60636666666666672</v>
      </c>
      <c r="AZ70" s="432">
        <v>364</v>
      </c>
      <c r="BA70" s="440">
        <v>479</v>
      </c>
      <c r="BC70" s="439">
        <v>0</v>
      </c>
      <c r="BD70" s="88">
        <v>0</v>
      </c>
      <c r="BE70" s="88">
        <v>0</v>
      </c>
      <c r="BF70" s="434">
        <v>-23562.215</v>
      </c>
      <c r="BG70" s="100">
        <v>-23186.47</v>
      </c>
      <c r="BH70" s="257"/>
      <c r="BI70" s="100"/>
      <c r="BJ70" s="257"/>
      <c r="BK70" s="100"/>
      <c r="BL70" s="100"/>
      <c r="BM70" s="100"/>
      <c r="BN70" s="257"/>
      <c r="BO70" s="100"/>
      <c r="BP70" s="100">
        <v>162602</v>
      </c>
      <c r="BQ70" s="100">
        <v>51113</v>
      </c>
      <c r="BR70" s="100">
        <v>118966.60017293353</v>
      </c>
      <c r="BS70" s="100">
        <v>8090.2336913199497</v>
      </c>
      <c r="BT70" s="100">
        <v>21888.878572067195</v>
      </c>
      <c r="BU70" s="100">
        <v>65271.605706748553</v>
      </c>
      <c r="BV70" s="100">
        <v>96252.527131040391</v>
      </c>
      <c r="BW70" s="100">
        <v>159066.55231614559</v>
      </c>
      <c r="BX70" s="100">
        <v>50378.740840166589</v>
      </c>
      <c r="BY70" s="100">
        <v>77954.387211566165</v>
      </c>
      <c r="BZ70" s="257"/>
      <c r="CA70" s="100"/>
      <c r="CB70" s="257"/>
      <c r="CC70" s="257"/>
      <c r="CD70" s="257"/>
      <c r="CE70" s="100">
        <v>108771.4209370696</v>
      </c>
      <c r="CF70" s="100">
        <v>57114.206207231044</v>
      </c>
      <c r="CG70" s="100">
        <v>58568.078126388209</v>
      </c>
      <c r="CH70" s="100">
        <v>336771.41445973481</v>
      </c>
      <c r="CI70" s="257"/>
      <c r="CJ70" s="437">
        <v>625806.49527986499</v>
      </c>
      <c r="CK70" s="404">
        <v>-281292</v>
      </c>
      <c r="CL70" s="404"/>
      <c r="CM70" s="437">
        <v>-325148.70749999996</v>
      </c>
      <c r="CO70" s="434">
        <v>331449.52588746767</v>
      </c>
      <c r="CP70" s="437">
        <v>157534.01600627735</v>
      </c>
      <c r="CQ70" s="437">
        <v>-108563.94628855037</v>
      </c>
      <c r="CR70" s="437">
        <v>41636.464868961695</v>
      </c>
      <c r="CS70" s="257"/>
    </row>
    <row r="71" spans="1:97" x14ac:dyDescent="0.2">
      <c r="A71" s="100">
        <v>224</v>
      </c>
      <c r="B71" s="100" t="s">
        <v>382</v>
      </c>
      <c r="C71" s="100">
        <v>8603</v>
      </c>
      <c r="D71" s="257"/>
      <c r="E71" s="257"/>
      <c r="F71" s="257"/>
      <c r="G71" s="257"/>
      <c r="H71" s="325"/>
      <c r="I71" s="257"/>
      <c r="J71" s="257"/>
      <c r="K71" s="257"/>
      <c r="L71" s="257"/>
      <c r="M71" s="257"/>
      <c r="N71" s="257"/>
      <c r="O71" s="257"/>
      <c r="P71" s="257"/>
      <c r="Q71" s="100">
        <v>344</v>
      </c>
      <c r="R71" s="100">
        <v>76</v>
      </c>
      <c r="S71" s="100">
        <v>573</v>
      </c>
      <c r="T71" s="100">
        <v>343</v>
      </c>
      <c r="U71" s="100">
        <v>7267</v>
      </c>
      <c r="V71" s="100"/>
      <c r="W71" s="100"/>
      <c r="X71" s="100"/>
      <c r="Y71" s="100"/>
      <c r="Z71" s="257"/>
      <c r="AA71" s="257"/>
      <c r="AB71" s="257"/>
      <c r="AC71" s="257"/>
      <c r="AD71" s="257"/>
      <c r="AE71" s="258">
        <v>0.78585817099442412</v>
      </c>
      <c r="AG71" s="441">
        <v>372.08333333333331</v>
      </c>
      <c r="AH71" s="443">
        <v>3951</v>
      </c>
      <c r="AJ71" s="88">
        <v>653</v>
      </c>
      <c r="AM71" s="88">
        <v>0</v>
      </c>
      <c r="AN71" s="88">
        <v>66</v>
      </c>
      <c r="AP71" s="88">
        <v>0</v>
      </c>
      <c r="AQ71" s="399">
        <v>0</v>
      </c>
      <c r="AR71" s="88">
        <v>242.44</v>
      </c>
      <c r="AU71" s="399">
        <v>593</v>
      </c>
      <c r="AV71" s="399">
        <v>2654</v>
      </c>
      <c r="AY71" s="88">
        <v>0</v>
      </c>
      <c r="AZ71" s="432">
        <v>2743</v>
      </c>
      <c r="BA71" s="440">
        <v>3566</v>
      </c>
      <c r="BC71" s="439">
        <v>0</v>
      </c>
      <c r="BD71" s="88">
        <v>0</v>
      </c>
      <c r="BE71" s="88">
        <v>1</v>
      </c>
      <c r="BF71" s="434">
        <v>-499338.91499999998</v>
      </c>
      <c r="BG71" s="100">
        <v>-167050.16</v>
      </c>
      <c r="BH71" s="257"/>
      <c r="BI71" s="100"/>
      <c r="BJ71" s="257"/>
      <c r="BK71" s="100"/>
      <c r="BL71" s="100"/>
      <c r="BM71" s="100"/>
      <c r="BN71" s="257"/>
      <c r="BO71" s="100"/>
      <c r="BP71" s="100">
        <v>685735</v>
      </c>
      <c r="BQ71" s="100">
        <v>228313</v>
      </c>
      <c r="BR71" s="100">
        <v>466962.71765660605</v>
      </c>
      <c r="BS71" s="100">
        <v>11345.000723738151</v>
      </c>
      <c r="BT71" s="100">
        <v>67552.377431298548</v>
      </c>
      <c r="BU71" s="100">
        <v>178336.21752535802</v>
      </c>
      <c r="BV71" s="100">
        <v>429863.58683494903</v>
      </c>
      <c r="BW71" s="100">
        <v>726820.3431030754</v>
      </c>
      <c r="BX71" s="100">
        <v>196777.54589011226</v>
      </c>
      <c r="BY71" s="100">
        <v>363343.81477334449</v>
      </c>
      <c r="BZ71" s="257"/>
      <c r="CA71" s="100"/>
      <c r="CB71" s="257"/>
      <c r="CC71" s="257"/>
      <c r="CD71" s="257"/>
      <c r="CE71" s="100">
        <v>456143.48341494775</v>
      </c>
      <c r="CF71" s="100">
        <v>292608.95223541628</v>
      </c>
      <c r="CG71" s="100">
        <v>289132.1402789306</v>
      </c>
      <c r="CH71" s="100">
        <v>1434676.713547938</v>
      </c>
      <c r="CI71" s="257"/>
      <c r="CJ71" s="437">
        <v>3737573.1131356121</v>
      </c>
      <c r="CK71" s="404">
        <v>-319768</v>
      </c>
      <c r="CL71" s="404"/>
      <c r="CM71" s="437">
        <v>321627.94149999996</v>
      </c>
      <c r="CO71" s="434">
        <v>-208331.86232323016</v>
      </c>
      <c r="CP71" s="437">
        <v>-179599.2811465273</v>
      </c>
      <c r="CQ71" s="437">
        <v>-778313.02493366576</v>
      </c>
      <c r="CR71" s="437">
        <v>298498.75605639786</v>
      </c>
      <c r="CS71" s="257"/>
    </row>
    <row r="72" spans="1:97" x14ac:dyDescent="0.2">
      <c r="A72" s="100">
        <v>226</v>
      </c>
      <c r="B72" s="100" t="s">
        <v>383</v>
      </c>
      <c r="C72" s="100">
        <v>3665</v>
      </c>
      <c r="D72" s="257"/>
      <c r="E72" s="257"/>
      <c r="F72" s="257"/>
      <c r="G72" s="257"/>
      <c r="H72" s="325"/>
      <c r="I72" s="257"/>
      <c r="J72" s="257"/>
      <c r="K72" s="257"/>
      <c r="L72" s="257"/>
      <c r="M72" s="257"/>
      <c r="N72" s="257"/>
      <c r="O72" s="257"/>
      <c r="P72" s="257"/>
      <c r="Q72" s="100">
        <v>118</v>
      </c>
      <c r="R72" s="100">
        <v>34</v>
      </c>
      <c r="S72" s="100">
        <v>190</v>
      </c>
      <c r="T72" s="100">
        <v>124</v>
      </c>
      <c r="U72" s="100">
        <v>3199</v>
      </c>
      <c r="V72" s="100"/>
      <c r="W72" s="100"/>
      <c r="X72" s="100"/>
      <c r="Y72" s="100"/>
      <c r="Z72" s="257"/>
      <c r="AA72" s="257"/>
      <c r="AB72" s="257"/>
      <c r="AC72" s="257"/>
      <c r="AD72" s="257"/>
      <c r="AE72" s="258">
        <v>0.92206962287503758</v>
      </c>
      <c r="AG72" s="441">
        <v>166</v>
      </c>
      <c r="AH72" s="443">
        <v>1543</v>
      </c>
      <c r="AJ72" s="88">
        <v>55</v>
      </c>
      <c r="AM72" s="88">
        <v>0</v>
      </c>
      <c r="AN72" s="88">
        <v>1</v>
      </c>
      <c r="AP72" s="88">
        <v>0</v>
      </c>
      <c r="AQ72" s="399">
        <v>0</v>
      </c>
      <c r="AR72" s="88">
        <v>887.06</v>
      </c>
      <c r="AU72" s="399">
        <v>104</v>
      </c>
      <c r="AV72" s="399">
        <v>870</v>
      </c>
      <c r="AY72" s="88">
        <v>1.3321833333333335</v>
      </c>
      <c r="AZ72" s="432">
        <v>1301</v>
      </c>
      <c r="BA72" s="440">
        <v>1294</v>
      </c>
      <c r="BC72" s="439">
        <v>0</v>
      </c>
      <c r="BD72" s="88">
        <v>0</v>
      </c>
      <c r="BE72" s="88">
        <v>0</v>
      </c>
      <c r="BF72" s="434">
        <v>-89497.03</v>
      </c>
      <c r="BG72" s="100">
        <v>-74112.180000000008</v>
      </c>
      <c r="BH72" s="257"/>
      <c r="BI72" s="100"/>
      <c r="BJ72" s="257"/>
      <c r="BK72" s="100"/>
      <c r="BL72" s="100"/>
      <c r="BM72" s="100"/>
      <c r="BN72" s="257"/>
      <c r="BO72" s="100"/>
      <c r="BP72" s="100">
        <v>418140</v>
      </c>
      <c r="BQ72" s="100">
        <v>130108</v>
      </c>
      <c r="BR72" s="100">
        <v>326875.13753496442</v>
      </c>
      <c r="BS72" s="100">
        <v>18659.542831763487</v>
      </c>
      <c r="BT72" s="100">
        <v>35891.785018527073</v>
      </c>
      <c r="BU72" s="100">
        <v>158948.51525087937</v>
      </c>
      <c r="BV72" s="100">
        <v>230569.23956807284</v>
      </c>
      <c r="BW72" s="100">
        <v>370414.31477540807</v>
      </c>
      <c r="BX72" s="100">
        <v>114099.50544567108</v>
      </c>
      <c r="BY72" s="100">
        <v>203734.13966411629</v>
      </c>
      <c r="BZ72" s="257"/>
      <c r="CA72" s="100"/>
      <c r="CB72" s="257"/>
      <c r="CC72" s="257"/>
      <c r="CD72" s="257"/>
      <c r="CE72" s="100">
        <v>278815.83560663444</v>
      </c>
      <c r="CF72" s="100">
        <v>154196.14401359082</v>
      </c>
      <c r="CG72" s="100">
        <v>145985.88212760576</v>
      </c>
      <c r="CH72" s="100">
        <v>803308.13348792423</v>
      </c>
      <c r="CI72" s="257"/>
      <c r="CJ72" s="437">
        <v>1643870.6161931041</v>
      </c>
      <c r="CK72" s="404">
        <v>89341</v>
      </c>
      <c r="CL72" s="404"/>
      <c r="CM72" s="437">
        <v>31328.850000000006</v>
      </c>
      <c r="CO72" s="434">
        <v>391225.04565508093</v>
      </c>
      <c r="CP72" s="437">
        <v>202551.66148807408</v>
      </c>
      <c r="CQ72" s="437">
        <v>-331572.38595628092</v>
      </c>
      <c r="CR72" s="437">
        <v>127164.70312062051</v>
      </c>
      <c r="CS72" s="257"/>
    </row>
    <row r="73" spans="1:97" x14ac:dyDescent="0.2">
      <c r="A73" s="100">
        <v>230</v>
      </c>
      <c r="B73" s="100" t="s">
        <v>384</v>
      </c>
      <c r="C73" s="100">
        <v>2240</v>
      </c>
      <c r="D73" s="257"/>
      <c r="E73" s="257"/>
      <c r="F73" s="257"/>
      <c r="G73" s="257"/>
      <c r="H73" s="325"/>
      <c r="I73" s="257"/>
      <c r="J73" s="257"/>
      <c r="K73" s="257"/>
      <c r="L73" s="257"/>
      <c r="M73" s="257"/>
      <c r="N73" s="257"/>
      <c r="O73" s="257"/>
      <c r="P73" s="257"/>
      <c r="Q73" s="100">
        <v>98</v>
      </c>
      <c r="R73" s="100">
        <v>17</v>
      </c>
      <c r="S73" s="100">
        <v>128</v>
      </c>
      <c r="T73" s="100">
        <v>58</v>
      </c>
      <c r="U73" s="100">
        <v>1939</v>
      </c>
      <c r="V73" s="100"/>
      <c r="W73" s="100"/>
      <c r="X73" s="100"/>
      <c r="Y73" s="100"/>
      <c r="Z73" s="257"/>
      <c r="AA73" s="257"/>
      <c r="AB73" s="257"/>
      <c r="AC73" s="257"/>
      <c r="AD73" s="257"/>
      <c r="AE73" s="258">
        <v>1.0175993072589253</v>
      </c>
      <c r="AG73" s="441">
        <v>70.083333333333329</v>
      </c>
      <c r="AH73" s="443">
        <v>972</v>
      </c>
      <c r="AJ73" s="88">
        <v>95</v>
      </c>
      <c r="AM73" s="88">
        <v>0</v>
      </c>
      <c r="AN73" s="88">
        <v>1</v>
      </c>
      <c r="AP73" s="88">
        <v>0</v>
      </c>
      <c r="AQ73" s="399">
        <v>0</v>
      </c>
      <c r="AR73" s="88">
        <v>502.22</v>
      </c>
      <c r="AU73" s="399">
        <v>122</v>
      </c>
      <c r="AV73" s="399">
        <v>573</v>
      </c>
      <c r="AY73" s="88">
        <v>1.0844166666666666</v>
      </c>
      <c r="AZ73" s="432">
        <v>703</v>
      </c>
      <c r="BA73" s="440">
        <v>855</v>
      </c>
      <c r="BC73" s="439">
        <v>0</v>
      </c>
      <c r="BD73" s="88">
        <v>0</v>
      </c>
      <c r="BE73" s="88">
        <v>0</v>
      </c>
      <c r="BF73" s="434">
        <v>-29129.955000000002</v>
      </c>
      <c r="BG73" s="100">
        <v>-44605.62</v>
      </c>
      <c r="BH73" s="257"/>
      <c r="BI73" s="100"/>
      <c r="BJ73" s="257"/>
      <c r="BK73" s="100"/>
      <c r="BL73" s="100"/>
      <c r="BM73" s="100"/>
      <c r="BN73" s="257"/>
      <c r="BO73" s="100"/>
      <c r="BP73" s="100">
        <v>291060</v>
      </c>
      <c r="BQ73" s="100">
        <v>92413</v>
      </c>
      <c r="BR73" s="100">
        <v>256894.05377211169</v>
      </c>
      <c r="BS73" s="100">
        <v>15394.886270220215</v>
      </c>
      <c r="BT73" s="100">
        <v>35647.9445174762</v>
      </c>
      <c r="BU73" s="100">
        <v>106520.14217974393</v>
      </c>
      <c r="BV73" s="100">
        <v>169559.83785104705</v>
      </c>
      <c r="BW73" s="100">
        <v>240230.03207086163</v>
      </c>
      <c r="BX73" s="100">
        <v>84367.24290657333</v>
      </c>
      <c r="BY73" s="100">
        <v>135286.77090386141</v>
      </c>
      <c r="BZ73" s="257"/>
      <c r="CA73" s="100"/>
      <c r="CB73" s="257"/>
      <c r="CC73" s="257"/>
      <c r="CD73" s="257"/>
      <c r="CE73" s="100">
        <v>187251.82395396824</v>
      </c>
      <c r="CF73" s="100">
        <v>104374.68264764173</v>
      </c>
      <c r="CG73" s="100">
        <v>103578.77459522549</v>
      </c>
      <c r="CH73" s="100">
        <v>594525.25691554428</v>
      </c>
      <c r="CI73" s="257"/>
      <c r="CJ73" s="437">
        <v>1331798.1766675536</v>
      </c>
      <c r="CK73" s="404">
        <v>-356583</v>
      </c>
      <c r="CL73" s="404"/>
      <c r="CM73" s="437">
        <v>71012.060000000012</v>
      </c>
      <c r="CO73" s="434">
        <v>27410.335717009206</v>
      </c>
      <c r="CP73" s="437">
        <v>410.42016080539361</v>
      </c>
      <c r="CQ73" s="437">
        <v>-202652.69973862736</v>
      </c>
      <c r="CR73" s="437">
        <v>77721.401088728497</v>
      </c>
      <c r="CS73" s="257"/>
    </row>
    <row r="74" spans="1:97" x14ac:dyDescent="0.2">
      <c r="A74" s="100">
        <v>231</v>
      </c>
      <c r="B74" s="100" t="s">
        <v>385</v>
      </c>
      <c r="C74" s="100">
        <v>1256</v>
      </c>
      <c r="D74" s="257"/>
      <c r="E74" s="257"/>
      <c r="F74" s="257"/>
      <c r="G74" s="257"/>
      <c r="H74" s="325"/>
      <c r="I74" s="257"/>
      <c r="J74" s="257"/>
      <c r="K74" s="257"/>
      <c r="L74" s="257"/>
      <c r="M74" s="257"/>
      <c r="N74" s="257"/>
      <c r="O74" s="257"/>
      <c r="P74" s="257"/>
      <c r="Q74" s="100">
        <v>51</v>
      </c>
      <c r="R74" s="100">
        <v>16</v>
      </c>
      <c r="S74" s="100">
        <v>66</v>
      </c>
      <c r="T74" s="100">
        <v>28</v>
      </c>
      <c r="U74" s="100">
        <v>1095</v>
      </c>
      <c r="V74" s="100"/>
      <c r="W74" s="100"/>
      <c r="X74" s="100"/>
      <c r="Y74" s="100"/>
      <c r="Z74" s="257"/>
      <c r="AA74" s="257"/>
      <c r="AB74" s="257"/>
      <c r="AC74" s="257"/>
      <c r="AD74" s="257"/>
      <c r="AE74" s="258">
        <v>0.68380665466774593</v>
      </c>
      <c r="AG74" s="441">
        <v>40.833333333333336</v>
      </c>
      <c r="AH74" s="443">
        <v>493</v>
      </c>
      <c r="AJ74" s="88">
        <v>173</v>
      </c>
      <c r="AM74" s="88">
        <v>1</v>
      </c>
      <c r="AN74" s="88">
        <v>338</v>
      </c>
      <c r="AP74" s="88">
        <v>0</v>
      </c>
      <c r="AQ74" s="399">
        <v>0</v>
      </c>
      <c r="AR74" s="88">
        <v>10.64</v>
      </c>
      <c r="AU74" s="399">
        <v>91</v>
      </c>
      <c r="AV74" s="399">
        <v>301</v>
      </c>
      <c r="AY74" s="88">
        <v>0.82343333333333335</v>
      </c>
      <c r="AZ74" s="432">
        <v>482</v>
      </c>
      <c r="BA74" s="440">
        <v>473</v>
      </c>
      <c r="BC74" s="439">
        <v>0.28999999999999998</v>
      </c>
      <c r="BD74" s="88">
        <v>0</v>
      </c>
      <c r="BE74" s="88">
        <v>0</v>
      </c>
      <c r="BF74" s="434">
        <v>-29157.205000000002</v>
      </c>
      <c r="BG74" s="100">
        <v>-24550.38</v>
      </c>
      <c r="BH74" s="257"/>
      <c r="BI74" s="100"/>
      <c r="BJ74" s="257"/>
      <c r="BK74" s="100"/>
      <c r="BL74" s="100"/>
      <c r="BM74" s="100"/>
      <c r="BN74" s="257"/>
      <c r="BO74" s="100"/>
      <c r="BP74" s="100">
        <v>96307</v>
      </c>
      <c r="BQ74" s="100">
        <v>37918</v>
      </c>
      <c r="BR74" s="100">
        <v>84599.721059853749</v>
      </c>
      <c r="BS74" s="100">
        <v>4667.1104411968627</v>
      </c>
      <c r="BT74" s="100">
        <v>14013.607726811122</v>
      </c>
      <c r="BU74" s="100">
        <v>34434.394086437955</v>
      </c>
      <c r="BV74" s="100">
        <v>64977.746840366635</v>
      </c>
      <c r="BW74" s="100">
        <v>108592.87659227524</v>
      </c>
      <c r="BX74" s="100">
        <v>32056.051184232758</v>
      </c>
      <c r="BY74" s="100">
        <v>55307.081604828636</v>
      </c>
      <c r="BZ74" s="257"/>
      <c r="CA74" s="100"/>
      <c r="CB74" s="257"/>
      <c r="CC74" s="257"/>
      <c r="CD74" s="257"/>
      <c r="CE74" s="100">
        <v>63409.498823403919</v>
      </c>
      <c r="CF74" s="100">
        <v>43996.724071266763</v>
      </c>
      <c r="CG74" s="100">
        <v>40651.785189271672</v>
      </c>
      <c r="CH74" s="100">
        <v>223024.6317243746</v>
      </c>
      <c r="CI74" s="257"/>
      <c r="CJ74" s="437">
        <v>-15346.034040523788</v>
      </c>
      <c r="CK74" s="404">
        <v>-24650</v>
      </c>
      <c r="CL74" s="404"/>
      <c r="CM74" s="437">
        <v>-199833.3075</v>
      </c>
      <c r="CO74" s="434">
        <v>-858531.67340093525</v>
      </c>
      <c r="CP74" s="437">
        <v>-517733.57919408032</v>
      </c>
      <c r="CQ74" s="437">
        <v>-113630.26378201606</v>
      </c>
      <c r="CR74" s="437">
        <v>43579.499896179907</v>
      </c>
      <c r="CS74" s="257"/>
    </row>
    <row r="75" spans="1:97" x14ac:dyDescent="0.2">
      <c r="A75" s="100">
        <v>232</v>
      </c>
      <c r="B75" s="100" t="s">
        <v>386</v>
      </c>
      <c r="C75" s="100">
        <v>12750</v>
      </c>
      <c r="D75" s="257"/>
      <c r="E75" s="257"/>
      <c r="F75" s="257"/>
      <c r="G75" s="257"/>
      <c r="H75" s="325"/>
      <c r="I75" s="257"/>
      <c r="J75" s="257"/>
      <c r="K75" s="257"/>
      <c r="L75" s="257"/>
      <c r="M75" s="257"/>
      <c r="N75" s="257"/>
      <c r="O75" s="257"/>
      <c r="P75" s="257"/>
      <c r="Q75" s="100">
        <v>580</v>
      </c>
      <c r="R75" s="100">
        <v>123</v>
      </c>
      <c r="S75" s="100">
        <v>849</v>
      </c>
      <c r="T75" s="100">
        <v>461</v>
      </c>
      <c r="U75" s="100">
        <v>10737</v>
      </c>
      <c r="V75" s="100"/>
      <c r="W75" s="100"/>
      <c r="X75" s="100"/>
      <c r="Y75" s="100"/>
      <c r="Z75" s="257"/>
      <c r="AA75" s="257"/>
      <c r="AB75" s="257"/>
      <c r="AC75" s="257"/>
      <c r="AD75" s="257"/>
      <c r="AE75" s="258">
        <v>1.0972945599310526</v>
      </c>
      <c r="AG75" s="441">
        <v>471.91666666666669</v>
      </c>
      <c r="AH75" s="443">
        <v>5660</v>
      </c>
      <c r="AJ75" s="88">
        <v>379</v>
      </c>
      <c r="AM75" s="88">
        <v>0</v>
      </c>
      <c r="AN75" s="88">
        <v>45</v>
      </c>
      <c r="AP75" s="88">
        <v>0</v>
      </c>
      <c r="AQ75" s="399">
        <v>0</v>
      </c>
      <c r="AR75" s="88">
        <v>1298.98</v>
      </c>
      <c r="AU75" s="399">
        <v>520</v>
      </c>
      <c r="AV75" s="399">
        <v>3496</v>
      </c>
      <c r="AY75" s="88">
        <v>9.5499999999999995E-3</v>
      </c>
      <c r="AZ75" s="432">
        <v>5231</v>
      </c>
      <c r="BA75" s="440">
        <v>5046</v>
      </c>
      <c r="BC75" s="439">
        <v>0</v>
      </c>
      <c r="BD75" s="88">
        <v>0</v>
      </c>
      <c r="BE75" s="88">
        <v>0</v>
      </c>
      <c r="BF75" s="434">
        <v>-509538.34499999997</v>
      </c>
      <c r="BG75" s="100">
        <v>-249864.47</v>
      </c>
      <c r="BH75" s="257"/>
      <c r="BI75" s="100"/>
      <c r="BJ75" s="257"/>
      <c r="BK75" s="100"/>
      <c r="BL75" s="100"/>
      <c r="BM75" s="100"/>
      <c r="BN75" s="257"/>
      <c r="BO75" s="100"/>
      <c r="BP75" s="100">
        <v>1348002</v>
      </c>
      <c r="BQ75" s="100">
        <v>442548</v>
      </c>
      <c r="BR75" s="100">
        <v>1109041.4400691977</v>
      </c>
      <c r="BS75" s="100">
        <v>52325.639226816202</v>
      </c>
      <c r="BT75" s="100">
        <v>142064.68655123145</v>
      </c>
      <c r="BU75" s="100">
        <v>519039.0985858991</v>
      </c>
      <c r="BV75" s="100">
        <v>837154.95961515105</v>
      </c>
      <c r="BW75" s="100">
        <v>1257961.1728310033</v>
      </c>
      <c r="BX75" s="100">
        <v>390550.81660916161</v>
      </c>
      <c r="BY75" s="100">
        <v>682682.44747699576</v>
      </c>
      <c r="BZ75" s="257"/>
      <c r="CA75" s="100"/>
      <c r="CB75" s="257"/>
      <c r="CC75" s="257"/>
      <c r="CD75" s="257"/>
      <c r="CE75" s="100">
        <v>942314.58354477398</v>
      </c>
      <c r="CF75" s="100">
        <v>524246.8197146242</v>
      </c>
      <c r="CG75" s="100">
        <v>519615.80274472316</v>
      </c>
      <c r="CH75" s="100">
        <v>2833844.5446507484</v>
      </c>
      <c r="CI75" s="257"/>
      <c r="CJ75" s="437">
        <v>5331084.5739423959</v>
      </c>
      <c r="CK75" s="404">
        <v>-601507</v>
      </c>
      <c r="CL75" s="404"/>
      <c r="CM75" s="437">
        <v>-56839.484999999986</v>
      </c>
      <c r="CO75" s="434">
        <v>-24608.004442204303</v>
      </c>
      <c r="CP75" s="437">
        <v>-170278.0639251105</v>
      </c>
      <c r="CQ75" s="437">
        <v>-1153491.9293158478</v>
      </c>
      <c r="CR75" s="437">
        <v>442387.43923271802</v>
      </c>
      <c r="CS75" s="257"/>
    </row>
    <row r="76" spans="1:97" x14ac:dyDescent="0.2">
      <c r="A76" s="100">
        <v>233</v>
      </c>
      <c r="B76" s="100" t="s">
        <v>387</v>
      </c>
      <c r="C76" s="100">
        <v>15116</v>
      </c>
      <c r="D76" s="257"/>
      <c r="E76" s="257"/>
      <c r="F76" s="257"/>
      <c r="G76" s="257"/>
      <c r="H76" s="325"/>
      <c r="I76" s="257"/>
      <c r="J76" s="257"/>
      <c r="K76" s="257"/>
      <c r="L76" s="257"/>
      <c r="M76" s="257"/>
      <c r="N76" s="257"/>
      <c r="O76" s="257"/>
      <c r="P76" s="257"/>
      <c r="Q76" s="100">
        <v>656</v>
      </c>
      <c r="R76" s="100">
        <v>133</v>
      </c>
      <c r="S76" s="100">
        <v>993</v>
      </c>
      <c r="T76" s="100">
        <v>577</v>
      </c>
      <c r="U76" s="100">
        <v>12757</v>
      </c>
      <c r="V76" s="100"/>
      <c r="W76" s="100"/>
      <c r="X76" s="100"/>
      <c r="Y76" s="100"/>
      <c r="Z76" s="257"/>
      <c r="AA76" s="257"/>
      <c r="AB76" s="257"/>
      <c r="AC76" s="257"/>
      <c r="AD76" s="257"/>
      <c r="AE76" s="258">
        <v>0.78471554960066225</v>
      </c>
      <c r="AG76" s="441">
        <v>385.91666666666669</v>
      </c>
      <c r="AH76" s="443">
        <v>6571</v>
      </c>
      <c r="AJ76" s="88">
        <v>499</v>
      </c>
      <c r="AM76" s="88">
        <v>0</v>
      </c>
      <c r="AN76" s="88">
        <v>97</v>
      </c>
      <c r="AP76" s="88">
        <v>0</v>
      </c>
      <c r="AQ76" s="399">
        <v>0</v>
      </c>
      <c r="AR76" s="88">
        <v>1313.85</v>
      </c>
      <c r="AU76" s="399">
        <v>533</v>
      </c>
      <c r="AV76" s="399">
        <v>4005</v>
      </c>
      <c r="AY76" s="88">
        <v>0</v>
      </c>
      <c r="AZ76" s="432">
        <v>6098</v>
      </c>
      <c r="BA76" s="440">
        <v>6007</v>
      </c>
      <c r="BC76" s="439">
        <v>0</v>
      </c>
      <c r="BD76" s="88">
        <v>0</v>
      </c>
      <c r="BE76" s="88">
        <v>0</v>
      </c>
      <c r="BF76" s="434">
        <v>-423307.37874999997</v>
      </c>
      <c r="BG76" s="100">
        <v>-298023.94</v>
      </c>
      <c r="BH76" s="257"/>
      <c r="BI76" s="100"/>
      <c r="BJ76" s="257"/>
      <c r="BK76" s="100"/>
      <c r="BL76" s="100"/>
      <c r="BM76" s="100"/>
      <c r="BN76" s="257"/>
      <c r="BO76" s="100"/>
      <c r="BP76" s="100">
        <v>1591871</v>
      </c>
      <c r="BQ76" s="100">
        <v>502839</v>
      </c>
      <c r="BR76" s="100">
        <v>1326433.255680016</v>
      </c>
      <c r="BS76" s="100">
        <v>67143.612239502181</v>
      </c>
      <c r="BT76" s="100">
        <v>136521.67357738214</v>
      </c>
      <c r="BU76" s="100">
        <v>582007.16153547459</v>
      </c>
      <c r="BV76" s="100">
        <v>978436.1017883895</v>
      </c>
      <c r="BW76" s="100">
        <v>1595489.3984866217</v>
      </c>
      <c r="BX76" s="100">
        <v>447314.79661685019</v>
      </c>
      <c r="BY76" s="100">
        <v>813149.67861265258</v>
      </c>
      <c r="BZ76" s="257"/>
      <c r="CA76" s="100"/>
      <c r="CB76" s="257"/>
      <c r="CC76" s="257"/>
      <c r="CD76" s="257"/>
      <c r="CE76" s="100">
        <v>1097121.6731470108</v>
      </c>
      <c r="CF76" s="100">
        <v>614333.86330422282</v>
      </c>
      <c r="CG76" s="100">
        <v>601703.25428792776</v>
      </c>
      <c r="CH76" s="100">
        <v>3392006.8512649895</v>
      </c>
      <c r="CI76" s="257"/>
      <c r="CJ76" s="437">
        <v>6990857.8582752366</v>
      </c>
      <c r="CK76" s="404">
        <v>65167</v>
      </c>
      <c r="CL76" s="404"/>
      <c r="CM76" s="437">
        <v>-67655.397499999963</v>
      </c>
      <c r="CO76" s="434">
        <v>2112707.7632209132</v>
      </c>
      <c r="CP76" s="437">
        <v>242086.53230290112</v>
      </c>
      <c r="CQ76" s="437">
        <v>-1367543.843414773</v>
      </c>
      <c r="CR76" s="437">
        <v>524480.6691326875</v>
      </c>
      <c r="CS76" s="257"/>
    </row>
    <row r="77" spans="1:97" x14ac:dyDescent="0.2">
      <c r="A77" s="100">
        <v>235</v>
      </c>
      <c r="B77" s="100" t="s">
        <v>388</v>
      </c>
      <c r="C77" s="100">
        <v>10284</v>
      </c>
      <c r="D77" s="257"/>
      <c r="E77" s="257"/>
      <c r="F77" s="257"/>
      <c r="G77" s="257"/>
      <c r="H77" s="325"/>
      <c r="I77" s="257"/>
      <c r="J77" s="257"/>
      <c r="K77" s="257"/>
      <c r="L77" s="257"/>
      <c r="M77" s="257"/>
      <c r="N77" s="257"/>
      <c r="O77" s="257"/>
      <c r="P77" s="257"/>
      <c r="Q77" s="100">
        <v>557</v>
      </c>
      <c r="R77" s="100">
        <v>131</v>
      </c>
      <c r="S77" s="100">
        <v>833</v>
      </c>
      <c r="T77" s="100">
        <v>479</v>
      </c>
      <c r="U77" s="100">
        <v>8284</v>
      </c>
      <c r="V77" s="100"/>
      <c r="W77" s="100"/>
      <c r="X77" s="100"/>
      <c r="Y77" s="100"/>
      <c r="Z77" s="257"/>
      <c r="AA77" s="257"/>
      <c r="AB77" s="257"/>
      <c r="AC77" s="257"/>
      <c r="AD77" s="257"/>
      <c r="AE77" s="258">
        <v>1.0067585760622428</v>
      </c>
      <c r="AG77" s="441">
        <v>264.66666666666669</v>
      </c>
      <c r="AH77" s="443">
        <v>4715</v>
      </c>
      <c r="AJ77" s="88">
        <v>1015</v>
      </c>
      <c r="AM77" s="88">
        <v>1</v>
      </c>
      <c r="AN77" s="88">
        <v>3159</v>
      </c>
      <c r="AP77" s="88">
        <v>0</v>
      </c>
      <c r="AQ77" s="399">
        <v>0</v>
      </c>
      <c r="AR77" s="88">
        <v>5.89</v>
      </c>
      <c r="AU77" s="399">
        <v>334</v>
      </c>
      <c r="AV77" s="399">
        <v>3223</v>
      </c>
      <c r="AY77" s="88">
        <v>0</v>
      </c>
      <c r="AZ77" s="432">
        <v>2367</v>
      </c>
      <c r="BA77" s="440">
        <v>4490</v>
      </c>
      <c r="BC77" s="439">
        <v>1.65</v>
      </c>
      <c r="BD77" s="88">
        <v>0</v>
      </c>
      <c r="BE77" s="88">
        <v>3</v>
      </c>
      <c r="BF77" s="434">
        <v>-371887.88500000001</v>
      </c>
      <c r="BG77" s="100">
        <v>-195519.38</v>
      </c>
      <c r="BH77" s="257"/>
      <c r="BI77" s="100"/>
      <c r="BJ77" s="257"/>
      <c r="BK77" s="100"/>
      <c r="BL77" s="100"/>
      <c r="BM77" s="100"/>
      <c r="BN77" s="257"/>
      <c r="BO77" s="100"/>
      <c r="BP77" s="100">
        <v>400853</v>
      </c>
      <c r="BQ77" s="100">
        <v>140968</v>
      </c>
      <c r="BR77" s="100">
        <v>243665.55433787196</v>
      </c>
      <c r="BS77" s="100">
        <v>-364.47450453780249</v>
      </c>
      <c r="BT77" s="100">
        <v>-473805.29871285387</v>
      </c>
      <c r="BU77" s="100">
        <v>-38842.979278355189</v>
      </c>
      <c r="BV77" s="100">
        <v>238687.31922770882</v>
      </c>
      <c r="BW77" s="100">
        <v>389412.30320669874</v>
      </c>
      <c r="BX77" s="100">
        <v>143400.37083215994</v>
      </c>
      <c r="BY77" s="100">
        <v>228980.30962155422</v>
      </c>
      <c r="BZ77" s="257"/>
      <c r="CA77" s="100"/>
      <c r="CB77" s="257"/>
      <c r="CC77" s="257"/>
      <c r="CD77" s="257"/>
      <c r="CE77" s="100">
        <v>319679.37208902265</v>
      </c>
      <c r="CF77" s="100">
        <v>195225.44614448989</v>
      </c>
      <c r="CG77" s="100">
        <v>191317.71296848933</v>
      </c>
      <c r="CH77" s="100">
        <v>655476.00876194029</v>
      </c>
      <c r="CI77" s="257"/>
      <c r="CJ77" s="437">
        <v>-1675133.5221422266</v>
      </c>
      <c r="CK77" s="404">
        <v>2923081</v>
      </c>
      <c r="CL77" s="404"/>
      <c r="CM77" s="437">
        <v>2266815.3520999998</v>
      </c>
      <c r="CO77" s="434">
        <v>9959939.9220709</v>
      </c>
      <c r="CP77" s="437">
        <v>3022216.3268880392</v>
      </c>
      <c r="CQ77" s="437">
        <v>-930393.01969287673</v>
      </c>
      <c r="CR77" s="437">
        <v>356824.50392700173</v>
      </c>
      <c r="CS77" s="257"/>
    </row>
    <row r="78" spans="1:97" x14ac:dyDescent="0.2">
      <c r="A78" s="100">
        <v>236</v>
      </c>
      <c r="B78" s="100" t="s">
        <v>389</v>
      </c>
      <c r="C78" s="100">
        <v>4198</v>
      </c>
      <c r="D78" s="257"/>
      <c r="E78" s="257"/>
      <c r="F78" s="257"/>
      <c r="G78" s="257"/>
      <c r="H78" s="325"/>
      <c r="I78" s="257"/>
      <c r="J78" s="257"/>
      <c r="K78" s="257"/>
      <c r="L78" s="257"/>
      <c r="M78" s="257"/>
      <c r="N78" s="257"/>
      <c r="O78" s="257"/>
      <c r="P78" s="257"/>
      <c r="Q78" s="100">
        <v>227</v>
      </c>
      <c r="R78" s="100">
        <v>52</v>
      </c>
      <c r="S78" s="100">
        <v>360</v>
      </c>
      <c r="T78" s="100">
        <v>163</v>
      </c>
      <c r="U78" s="100">
        <v>3396</v>
      </c>
      <c r="V78" s="100"/>
      <c r="W78" s="100"/>
      <c r="X78" s="100"/>
      <c r="Y78" s="100"/>
      <c r="Z78" s="257"/>
      <c r="AA78" s="257"/>
      <c r="AB78" s="257"/>
      <c r="AC78" s="257"/>
      <c r="AD78" s="257"/>
      <c r="AE78" s="258">
        <v>0.57792703580470906</v>
      </c>
      <c r="AG78" s="441">
        <v>124.91666666666667</v>
      </c>
      <c r="AH78" s="443">
        <v>1957</v>
      </c>
      <c r="AJ78" s="88">
        <v>89</v>
      </c>
      <c r="AM78" s="88">
        <v>0</v>
      </c>
      <c r="AN78" s="88">
        <v>75</v>
      </c>
      <c r="AP78" s="88">
        <v>0</v>
      </c>
      <c r="AQ78" s="399">
        <v>0</v>
      </c>
      <c r="AR78" s="88">
        <v>353.91</v>
      </c>
      <c r="AU78" s="399">
        <v>120</v>
      </c>
      <c r="AV78" s="399">
        <v>1285</v>
      </c>
      <c r="AY78" s="88">
        <v>0.37173333333333336</v>
      </c>
      <c r="AZ78" s="432">
        <v>1556</v>
      </c>
      <c r="BA78" s="440">
        <v>1807</v>
      </c>
      <c r="BC78" s="439">
        <v>0</v>
      </c>
      <c r="BD78" s="88">
        <v>0</v>
      </c>
      <c r="BE78" s="88">
        <v>1</v>
      </c>
      <c r="BF78" s="434">
        <v>-63685.46</v>
      </c>
      <c r="BG78" s="100">
        <v>-81219.88</v>
      </c>
      <c r="BH78" s="257"/>
      <c r="BI78" s="100"/>
      <c r="BJ78" s="257"/>
      <c r="BK78" s="100"/>
      <c r="BL78" s="100"/>
      <c r="BM78" s="100"/>
      <c r="BN78" s="257"/>
      <c r="BO78" s="100"/>
      <c r="BP78" s="100">
        <v>368269</v>
      </c>
      <c r="BQ78" s="100">
        <v>129763</v>
      </c>
      <c r="BR78" s="100">
        <v>323098.58050311817</v>
      </c>
      <c r="BS78" s="100">
        <v>16486.611000444092</v>
      </c>
      <c r="BT78" s="100">
        <v>25574.44655187277</v>
      </c>
      <c r="BU78" s="100">
        <v>131319.51174693956</v>
      </c>
      <c r="BV78" s="100">
        <v>267335.26316431299</v>
      </c>
      <c r="BW78" s="100">
        <v>419922.67719256639</v>
      </c>
      <c r="BX78" s="100">
        <v>132581.03671430607</v>
      </c>
      <c r="BY78" s="100">
        <v>210045.25288471839</v>
      </c>
      <c r="BZ78" s="257"/>
      <c r="CA78" s="100"/>
      <c r="CB78" s="257"/>
      <c r="CC78" s="257"/>
      <c r="CD78" s="257"/>
      <c r="CE78" s="100">
        <v>289368.69822931342</v>
      </c>
      <c r="CF78" s="100">
        <v>171402.48256731732</v>
      </c>
      <c r="CG78" s="100">
        <v>179295.59696045818</v>
      </c>
      <c r="CH78" s="100">
        <v>887852.95850948663</v>
      </c>
      <c r="CI78" s="257"/>
      <c r="CJ78" s="437">
        <v>2256974.4482996222</v>
      </c>
      <c r="CK78" s="404">
        <v>761702</v>
      </c>
      <c r="CL78" s="404"/>
      <c r="CM78" s="437">
        <v>300801.71549999999</v>
      </c>
      <c r="CO78" s="434">
        <v>68219.634809129624</v>
      </c>
      <c r="CP78" s="437">
        <v>-262694.40135782573</v>
      </c>
      <c r="CQ78" s="437">
        <v>-379792.87209944538</v>
      </c>
      <c r="CR78" s="437">
        <v>145658.23293325101</v>
      </c>
      <c r="CS78" s="257"/>
    </row>
    <row r="79" spans="1:97" x14ac:dyDescent="0.2">
      <c r="A79" s="100">
        <v>239</v>
      </c>
      <c r="B79" s="100" t="s">
        <v>390</v>
      </c>
      <c r="C79" s="100">
        <v>2029</v>
      </c>
      <c r="D79" s="257"/>
      <c r="E79" s="257"/>
      <c r="F79" s="257"/>
      <c r="G79" s="257"/>
      <c r="H79" s="325"/>
      <c r="I79" s="257"/>
      <c r="J79" s="257"/>
      <c r="K79" s="257"/>
      <c r="L79" s="257"/>
      <c r="M79" s="257"/>
      <c r="N79" s="257"/>
      <c r="O79" s="257"/>
      <c r="P79" s="257"/>
      <c r="Q79" s="100">
        <v>76</v>
      </c>
      <c r="R79" s="100">
        <v>14</v>
      </c>
      <c r="S79" s="100">
        <v>92</v>
      </c>
      <c r="T79" s="100">
        <v>47</v>
      </c>
      <c r="U79" s="100">
        <v>1800</v>
      </c>
      <c r="V79" s="100"/>
      <c r="W79" s="100"/>
      <c r="X79" s="100"/>
      <c r="Y79" s="100"/>
      <c r="Z79" s="257"/>
      <c r="AA79" s="257"/>
      <c r="AB79" s="257"/>
      <c r="AC79" s="257"/>
      <c r="AD79" s="257"/>
      <c r="AE79" s="258">
        <v>0.9713149772315024</v>
      </c>
      <c r="AG79" s="441">
        <v>65.833333333333329</v>
      </c>
      <c r="AH79" s="443">
        <v>827</v>
      </c>
      <c r="AJ79" s="88">
        <v>39</v>
      </c>
      <c r="AM79" s="88">
        <v>0</v>
      </c>
      <c r="AN79" s="88">
        <v>2</v>
      </c>
      <c r="AP79" s="88">
        <v>0</v>
      </c>
      <c r="AQ79" s="399">
        <v>0</v>
      </c>
      <c r="AR79" s="88">
        <v>482.91</v>
      </c>
      <c r="AU79" s="399">
        <v>79</v>
      </c>
      <c r="AV79" s="399">
        <v>458</v>
      </c>
      <c r="AY79" s="88">
        <v>1.5529000000000002</v>
      </c>
      <c r="AZ79" s="432">
        <v>946</v>
      </c>
      <c r="BA79" s="440">
        <v>717</v>
      </c>
      <c r="BC79" s="439">
        <v>0</v>
      </c>
      <c r="BD79" s="88">
        <v>0</v>
      </c>
      <c r="BE79" s="88">
        <v>0</v>
      </c>
      <c r="BF79" s="434">
        <v>-60051.584999999999</v>
      </c>
      <c r="BG79" s="100">
        <v>-41397.550000000003</v>
      </c>
      <c r="BH79" s="257"/>
      <c r="BI79" s="100"/>
      <c r="BJ79" s="257"/>
      <c r="BK79" s="100"/>
      <c r="BL79" s="100"/>
      <c r="BM79" s="100"/>
      <c r="BN79" s="257"/>
      <c r="BO79" s="100"/>
      <c r="BP79" s="100">
        <v>226638</v>
      </c>
      <c r="BQ79" s="100">
        <v>72396</v>
      </c>
      <c r="BR79" s="100">
        <v>170170.74847539567</v>
      </c>
      <c r="BS79" s="100">
        <v>10042.96654919932</v>
      </c>
      <c r="BT79" s="100">
        <v>29392.025576901018</v>
      </c>
      <c r="BU79" s="100">
        <v>99747.906714946279</v>
      </c>
      <c r="BV79" s="100">
        <v>133009.60784867121</v>
      </c>
      <c r="BW79" s="100">
        <v>219225.60271605232</v>
      </c>
      <c r="BX79" s="100">
        <v>64395.621196392836</v>
      </c>
      <c r="BY79" s="100">
        <v>112596.59676961876</v>
      </c>
      <c r="BZ79" s="257"/>
      <c r="CA79" s="100"/>
      <c r="CB79" s="257"/>
      <c r="CC79" s="257"/>
      <c r="CD79" s="257"/>
      <c r="CE79" s="100">
        <v>158375.81928912736</v>
      </c>
      <c r="CF79" s="100">
        <v>83295.289142515816</v>
      </c>
      <c r="CG79" s="100">
        <v>81148.450006904895</v>
      </c>
      <c r="CH79" s="100">
        <v>462300.14243070059</v>
      </c>
      <c r="CI79" s="257"/>
      <c r="CJ79" s="437">
        <v>790843.28003277641</v>
      </c>
      <c r="CK79" s="404">
        <v>-410432</v>
      </c>
      <c r="CL79" s="404"/>
      <c r="CM79" s="437">
        <v>3699.7880000000005</v>
      </c>
      <c r="CO79" s="434">
        <v>275119.70624387899</v>
      </c>
      <c r="CP79" s="437">
        <v>-212610.967447637</v>
      </c>
      <c r="CQ79" s="437">
        <v>-183563.53918289058</v>
      </c>
      <c r="CR79" s="437">
        <v>70400.322682602738</v>
      </c>
      <c r="CS79" s="257"/>
    </row>
    <row r="80" spans="1:97" x14ac:dyDescent="0.2">
      <c r="A80" s="100">
        <v>240</v>
      </c>
      <c r="B80" s="100" t="s">
        <v>391</v>
      </c>
      <c r="C80" s="100">
        <v>19499</v>
      </c>
      <c r="D80" s="257"/>
      <c r="E80" s="257"/>
      <c r="F80" s="257"/>
      <c r="G80" s="257"/>
      <c r="H80" s="325"/>
      <c r="I80" s="257"/>
      <c r="J80" s="257"/>
      <c r="K80" s="257"/>
      <c r="L80" s="257"/>
      <c r="M80" s="257"/>
      <c r="N80" s="257"/>
      <c r="O80" s="257"/>
      <c r="P80" s="257"/>
      <c r="Q80" s="100">
        <v>831</v>
      </c>
      <c r="R80" s="100">
        <v>162</v>
      </c>
      <c r="S80" s="100">
        <v>1221</v>
      </c>
      <c r="T80" s="100">
        <v>666</v>
      </c>
      <c r="U80" s="100">
        <v>16619</v>
      </c>
      <c r="V80" s="100"/>
      <c r="W80" s="100"/>
      <c r="X80" s="100"/>
      <c r="Y80" s="100"/>
      <c r="Z80" s="257"/>
      <c r="AA80" s="257"/>
      <c r="AB80" s="257"/>
      <c r="AC80" s="257"/>
      <c r="AD80" s="257"/>
      <c r="AE80" s="258">
        <v>0.75966580043882226</v>
      </c>
      <c r="AG80" s="441">
        <v>1169.5</v>
      </c>
      <c r="AH80" s="443">
        <v>8670</v>
      </c>
      <c r="AJ80" s="88">
        <v>989</v>
      </c>
      <c r="AM80" s="88">
        <v>0</v>
      </c>
      <c r="AN80" s="88">
        <v>34</v>
      </c>
      <c r="AP80" s="88">
        <v>0</v>
      </c>
      <c r="AQ80" s="399">
        <v>0</v>
      </c>
      <c r="AR80" s="88">
        <v>95.38</v>
      </c>
      <c r="AU80" s="399">
        <v>780</v>
      </c>
      <c r="AV80" s="399">
        <v>5332</v>
      </c>
      <c r="AY80" s="88">
        <v>0.11808333333333333</v>
      </c>
      <c r="AZ80" s="432">
        <v>8462</v>
      </c>
      <c r="BA80" s="440">
        <v>6982</v>
      </c>
      <c r="BC80" s="439">
        <v>0</v>
      </c>
      <c r="BD80" s="88">
        <v>0</v>
      </c>
      <c r="BE80" s="88">
        <v>4</v>
      </c>
      <c r="BF80" s="434">
        <v>-1386628.3566999999</v>
      </c>
      <c r="BG80" s="100">
        <v>-392594.77</v>
      </c>
      <c r="BH80" s="257"/>
      <c r="BI80" s="100"/>
      <c r="BJ80" s="257"/>
      <c r="BK80" s="100"/>
      <c r="BL80" s="100"/>
      <c r="BM80" s="100"/>
      <c r="BN80" s="257"/>
      <c r="BO80" s="100"/>
      <c r="BP80" s="100">
        <v>1605369</v>
      </c>
      <c r="BQ80" s="100">
        <v>494139</v>
      </c>
      <c r="BR80" s="100">
        <v>1234156.5666300161</v>
      </c>
      <c r="BS80" s="100">
        <v>53563.426523705733</v>
      </c>
      <c r="BT80" s="100">
        <v>235749.92125511618</v>
      </c>
      <c r="BU80" s="100">
        <v>637343.63509223552</v>
      </c>
      <c r="BV80" s="100">
        <v>895758.6547334746</v>
      </c>
      <c r="BW80" s="100">
        <v>1519158.1806377419</v>
      </c>
      <c r="BX80" s="100">
        <v>410155.71480379323</v>
      </c>
      <c r="BY80" s="100">
        <v>830678.3206041255</v>
      </c>
      <c r="BZ80" s="257"/>
      <c r="CA80" s="100"/>
      <c r="CB80" s="257"/>
      <c r="CC80" s="257"/>
      <c r="CD80" s="257"/>
      <c r="CE80" s="100">
        <v>1037051.0910106816</v>
      </c>
      <c r="CF80" s="100">
        <v>610944.87164768472</v>
      </c>
      <c r="CG80" s="100">
        <v>593396.74207279808</v>
      </c>
      <c r="CH80" s="100">
        <v>3214817.9245309983</v>
      </c>
      <c r="CI80" s="257"/>
      <c r="CJ80" s="437">
        <v>5513901.5913543198</v>
      </c>
      <c r="CK80" s="404">
        <v>39622</v>
      </c>
      <c r="CL80" s="404"/>
      <c r="CM80" s="437">
        <v>-189196.41699999996</v>
      </c>
      <c r="CO80" s="434">
        <v>-7921581.4778817296</v>
      </c>
      <c r="CP80" s="437">
        <v>-4735034.6572382636</v>
      </c>
      <c r="CQ80" s="437">
        <v>-1764073.6572337032</v>
      </c>
      <c r="CR80" s="437">
        <v>676557.85706657008</v>
      </c>
      <c r="CS80" s="257"/>
    </row>
    <row r="81" spans="1:97" x14ac:dyDescent="0.2">
      <c r="A81" s="100">
        <v>320</v>
      </c>
      <c r="B81" s="100" t="s">
        <v>425</v>
      </c>
      <c r="C81" s="100">
        <v>6996</v>
      </c>
      <c r="D81" s="257"/>
      <c r="E81" s="257"/>
      <c r="F81" s="257"/>
      <c r="G81" s="257"/>
      <c r="H81" s="325"/>
      <c r="I81" s="257"/>
      <c r="J81" s="257"/>
      <c r="K81" s="257"/>
      <c r="L81" s="257"/>
      <c r="M81" s="257"/>
      <c r="N81" s="257"/>
      <c r="O81" s="257"/>
      <c r="P81" s="257"/>
      <c r="Q81" s="100">
        <v>223</v>
      </c>
      <c r="R81" s="100">
        <v>39</v>
      </c>
      <c r="S81" s="100">
        <v>310</v>
      </c>
      <c r="T81" s="100">
        <v>149</v>
      </c>
      <c r="U81" s="100">
        <v>6275</v>
      </c>
      <c r="V81" s="100"/>
      <c r="W81" s="100"/>
      <c r="X81" s="100"/>
      <c r="Y81" s="100"/>
      <c r="Z81" s="257"/>
      <c r="AA81" s="257"/>
      <c r="AB81" s="257"/>
      <c r="AC81" s="257"/>
      <c r="AD81" s="257"/>
      <c r="AE81" s="258">
        <v>0.92674852484158499</v>
      </c>
      <c r="AG81" s="441">
        <v>405.83333333333331</v>
      </c>
      <c r="AH81" s="443">
        <v>2778</v>
      </c>
      <c r="AJ81" s="88">
        <v>149</v>
      </c>
      <c r="AM81" s="88">
        <v>0</v>
      </c>
      <c r="AN81" s="88">
        <v>5</v>
      </c>
      <c r="AP81" s="88">
        <v>0</v>
      </c>
      <c r="AQ81" s="399">
        <v>0</v>
      </c>
      <c r="AR81" s="88">
        <v>3504.39</v>
      </c>
      <c r="AU81" s="399">
        <v>224</v>
      </c>
      <c r="AV81" s="399">
        <v>1552</v>
      </c>
      <c r="AY81" s="88">
        <v>1.4655333333333334</v>
      </c>
      <c r="AZ81" s="432">
        <v>2176</v>
      </c>
      <c r="BA81" s="440">
        <v>2320</v>
      </c>
      <c r="BC81" s="439">
        <v>0</v>
      </c>
      <c r="BD81" s="88">
        <v>0</v>
      </c>
      <c r="BE81" s="88">
        <v>3</v>
      </c>
      <c r="BF81" s="434">
        <v>-203968.27499999999</v>
      </c>
      <c r="BG81" s="100">
        <v>-138139.11000000002</v>
      </c>
      <c r="BH81" s="257"/>
      <c r="BI81" s="100"/>
      <c r="BJ81" s="257"/>
      <c r="BK81" s="100"/>
      <c r="BL81" s="100"/>
      <c r="BM81" s="100"/>
      <c r="BN81" s="257"/>
      <c r="BO81" s="100"/>
      <c r="BP81" s="100">
        <v>624747</v>
      </c>
      <c r="BQ81" s="100">
        <v>198738</v>
      </c>
      <c r="BR81" s="100">
        <v>550889.87076203129</v>
      </c>
      <c r="BS81" s="100">
        <v>29937.856057301051</v>
      </c>
      <c r="BT81" s="100">
        <v>97572.5961422533</v>
      </c>
      <c r="BU81" s="100">
        <v>274827.84891011514</v>
      </c>
      <c r="BV81" s="100">
        <v>359242.98619109433</v>
      </c>
      <c r="BW81" s="100">
        <v>642421.55214444455</v>
      </c>
      <c r="BX81" s="100">
        <v>183262.99810995691</v>
      </c>
      <c r="BY81" s="100">
        <v>335096.77977004676</v>
      </c>
      <c r="BZ81" s="257"/>
      <c r="CA81" s="100"/>
      <c r="CB81" s="257"/>
      <c r="CC81" s="257"/>
      <c r="CD81" s="257"/>
      <c r="CE81" s="100">
        <v>420631.1405987296</v>
      </c>
      <c r="CF81" s="100">
        <v>240691.98056754092</v>
      </c>
      <c r="CG81" s="100">
        <v>230777.09346189196</v>
      </c>
      <c r="CH81" s="100">
        <v>1333825.069367379</v>
      </c>
      <c r="CI81" s="257"/>
      <c r="CJ81" s="437">
        <v>2669439.6960359896</v>
      </c>
      <c r="CK81" s="404">
        <v>250732</v>
      </c>
      <c r="CL81" s="404"/>
      <c r="CM81" s="437">
        <v>-15246.707000000024</v>
      </c>
      <c r="CO81" s="434">
        <v>426974.0991582594</v>
      </c>
      <c r="CP81" s="437">
        <v>724729.16049459495</v>
      </c>
      <c r="CQ81" s="437">
        <v>-632927.80686224869</v>
      </c>
      <c r="CR81" s="437">
        <v>242740.5901860467</v>
      </c>
      <c r="CS81" s="257"/>
    </row>
    <row r="82" spans="1:97" x14ac:dyDescent="0.2">
      <c r="A82" s="100">
        <v>241</v>
      </c>
      <c r="B82" s="100" t="s">
        <v>392</v>
      </c>
      <c r="C82" s="100">
        <v>7771</v>
      </c>
      <c r="D82" s="257"/>
      <c r="E82" s="257"/>
      <c r="F82" s="257"/>
      <c r="G82" s="257"/>
      <c r="H82" s="325"/>
      <c r="I82" s="257"/>
      <c r="J82" s="257"/>
      <c r="K82" s="257"/>
      <c r="L82" s="257"/>
      <c r="M82" s="257"/>
      <c r="N82" s="257"/>
      <c r="O82" s="257"/>
      <c r="P82" s="257"/>
      <c r="Q82" s="100">
        <v>399</v>
      </c>
      <c r="R82" s="100">
        <v>82</v>
      </c>
      <c r="S82" s="100">
        <v>582</v>
      </c>
      <c r="T82" s="100">
        <v>305</v>
      </c>
      <c r="U82" s="100">
        <v>6403</v>
      </c>
      <c r="V82" s="100"/>
      <c r="W82" s="100"/>
      <c r="X82" s="100"/>
      <c r="Y82" s="100"/>
      <c r="Z82" s="257"/>
      <c r="AA82" s="257"/>
      <c r="AB82" s="257"/>
      <c r="AC82" s="257"/>
      <c r="AD82" s="257"/>
      <c r="AE82" s="258">
        <v>0.9709699574722761</v>
      </c>
      <c r="AG82" s="441">
        <v>296.33333333333331</v>
      </c>
      <c r="AH82" s="443">
        <v>3572</v>
      </c>
      <c r="AJ82" s="88">
        <v>78</v>
      </c>
      <c r="AM82" s="88">
        <v>0</v>
      </c>
      <c r="AN82" s="88">
        <v>11</v>
      </c>
      <c r="AP82" s="88">
        <v>0</v>
      </c>
      <c r="AQ82" s="399">
        <v>0</v>
      </c>
      <c r="AR82" s="88">
        <v>627.27</v>
      </c>
      <c r="AU82" s="399">
        <v>186</v>
      </c>
      <c r="AV82" s="399">
        <v>2286</v>
      </c>
      <c r="AY82" s="88">
        <v>9.1749999999999998E-2</v>
      </c>
      <c r="AZ82" s="432">
        <v>2717</v>
      </c>
      <c r="BA82" s="440">
        <v>3222</v>
      </c>
      <c r="BC82" s="439">
        <v>0</v>
      </c>
      <c r="BD82" s="88">
        <v>0</v>
      </c>
      <c r="BE82" s="88">
        <v>1</v>
      </c>
      <c r="BF82" s="434">
        <v>-145249.93</v>
      </c>
      <c r="BG82" s="100">
        <v>-153372.64000000001</v>
      </c>
      <c r="BH82" s="257"/>
      <c r="BI82" s="100"/>
      <c r="BJ82" s="257"/>
      <c r="BK82" s="100"/>
      <c r="BL82" s="100"/>
      <c r="BM82" s="100"/>
      <c r="BN82" s="257"/>
      <c r="BO82" s="100"/>
      <c r="BP82" s="100">
        <v>609472</v>
      </c>
      <c r="BQ82" s="100">
        <v>182802</v>
      </c>
      <c r="BR82" s="100">
        <v>410209.67641064292</v>
      </c>
      <c r="BS82" s="100">
        <v>10390.550986583485</v>
      </c>
      <c r="BT82" s="100">
        <v>43911.349839947958</v>
      </c>
      <c r="BU82" s="100">
        <v>190401.23360594365</v>
      </c>
      <c r="BV82" s="100">
        <v>342087.03241520521</v>
      </c>
      <c r="BW82" s="100">
        <v>603978.38263120328</v>
      </c>
      <c r="BX82" s="100">
        <v>150680.27355743415</v>
      </c>
      <c r="BY82" s="100">
        <v>289743.7860859026</v>
      </c>
      <c r="BZ82" s="257"/>
      <c r="CA82" s="100"/>
      <c r="CB82" s="257"/>
      <c r="CC82" s="257"/>
      <c r="CD82" s="257"/>
      <c r="CE82" s="100">
        <v>366354.93560880615</v>
      </c>
      <c r="CF82" s="100">
        <v>222926.04673287229</v>
      </c>
      <c r="CG82" s="100">
        <v>228190.71396795794</v>
      </c>
      <c r="CH82" s="100">
        <v>1132542.5612872744</v>
      </c>
      <c r="CI82" s="257"/>
      <c r="CJ82" s="437">
        <v>1649253.9476050371</v>
      </c>
      <c r="CK82" s="404">
        <v>-544728</v>
      </c>
      <c r="CL82" s="404"/>
      <c r="CM82" s="437">
        <v>173352.97000000003</v>
      </c>
      <c r="CO82" s="434">
        <v>-1734954.3654760574</v>
      </c>
      <c r="CP82" s="437">
        <v>-1116729.3863523209</v>
      </c>
      <c r="CQ82" s="437">
        <v>-703042.02217360411</v>
      </c>
      <c r="CR82" s="437">
        <v>269630.80708058446</v>
      </c>
      <c r="CS82" s="257"/>
    </row>
    <row r="83" spans="1:97" x14ac:dyDescent="0.2">
      <c r="A83" s="100">
        <v>322</v>
      </c>
      <c r="B83" s="100" t="s">
        <v>426</v>
      </c>
      <c r="C83" s="100">
        <v>6549</v>
      </c>
      <c r="D83" s="257"/>
      <c r="E83" s="257"/>
      <c r="F83" s="257"/>
      <c r="G83" s="257"/>
      <c r="H83" s="325"/>
      <c r="I83" s="257"/>
      <c r="J83" s="257"/>
      <c r="K83" s="257"/>
      <c r="L83" s="257"/>
      <c r="M83" s="257"/>
      <c r="N83" s="257"/>
      <c r="O83" s="257"/>
      <c r="P83" s="257"/>
      <c r="Q83" s="100">
        <v>259</v>
      </c>
      <c r="R83" s="100">
        <v>45</v>
      </c>
      <c r="S83" s="100">
        <v>346</v>
      </c>
      <c r="T83" s="100">
        <v>182</v>
      </c>
      <c r="U83" s="100">
        <v>5717</v>
      </c>
      <c r="V83" s="100"/>
      <c r="W83" s="100"/>
      <c r="X83" s="100"/>
      <c r="Y83" s="100"/>
      <c r="Z83" s="257"/>
      <c r="AA83" s="257"/>
      <c r="AB83" s="257"/>
      <c r="AC83" s="257"/>
      <c r="AD83" s="257"/>
      <c r="AE83" s="258">
        <v>0.9623289696523869</v>
      </c>
      <c r="AG83" s="441">
        <v>210.33333333333334</v>
      </c>
      <c r="AH83" s="443">
        <v>2743</v>
      </c>
      <c r="AJ83" s="88">
        <v>207</v>
      </c>
      <c r="AM83" s="88">
        <v>3</v>
      </c>
      <c r="AN83" s="88">
        <v>4396</v>
      </c>
      <c r="AP83" s="88">
        <v>1</v>
      </c>
      <c r="AQ83" s="399">
        <v>0</v>
      </c>
      <c r="AR83" s="88">
        <v>686.91</v>
      </c>
      <c r="AU83" s="399">
        <v>301</v>
      </c>
      <c r="AV83" s="399">
        <v>1691</v>
      </c>
      <c r="AY83" s="88">
        <v>1.2882500000000001</v>
      </c>
      <c r="AZ83" s="432">
        <v>2124</v>
      </c>
      <c r="BA83" s="440">
        <v>2509</v>
      </c>
      <c r="BC83" s="439">
        <v>0</v>
      </c>
      <c r="BD83" s="88">
        <v>0</v>
      </c>
      <c r="BE83" s="88">
        <v>0</v>
      </c>
      <c r="BF83" s="434">
        <v>-168457.81</v>
      </c>
      <c r="BG83" s="100">
        <v>-126958.89</v>
      </c>
      <c r="BH83" s="257"/>
      <c r="BI83" s="100"/>
      <c r="BJ83" s="257"/>
      <c r="BK83" s="100"/>
      <c r="BL83" s="100"/>
      <c r="BM83" s="100"/>
      <c r="BN83" s="257"/>
      <c r="BO83" s="100"/>
      <c r="BP83" s="100">
        <v>618448</v>
      </c>
      <c r="BQ83" s="100">
        <v>210429</v>
      </c>
      <c r="BR83" s="100">
        <v>506104.77098058606</v>
      </c>
      <c r="BS83" s="100">
        <v>23784.463471682662</v>
      </c>
      <c r="BT83" s="100">
        <v>39674.238062388489</v>
      </c>
      <c r="BU83" s="100">
        <v>215753.55380291198</v>
      </c>
      <c r="BV83" s="100">
        <v>259976.03473993632</v>
      </c>
      <c r="BW83" s="100">
        <v>608328.94764582033</v>
      </c>
      <c r="BX83" s="100">
        <v>197346.34516923071</v>
      </c>
      <c r="BY83" s="100">
        <v>324896.34520874429</v>
      </c>
      <c r="BZ83" s="257"/>
      <c r="CA83" s="100"/>
      <c r="CB83" s="257"/>
      <c r="CC83" s="257"/>
      <c r="CD83" s="257"/>
      <c r="CE83" s="100">
        <v>410485.27131033037</v>
      </c>
      <c r="CF83" s="100">
        <v>240625.25481357274</v>
      </c>
      <c r="CG83" s="100">
        <v>248584.81480400308</v>
      </c>
      <c r="CH83" s="100">
        <v>1264748.1416320186</v>
      </c>
      <c r="CI83" s="257"/>
      <c r="CJ83" s="437">
        <v>2066259.6257351311</v>
      </c>
      <c r="CK83" s="404">
        <v>-478852</v>
      </c>
      <c r="CL83" s="404"/>
      <c r="CM83" s="437">
        <v>110665.433</v>
      </c>
      <c r="CO83" s="434">
        <v>1131768.4655349874</v>
      </c>
      <c r="CP83" s="437">
        <v>1030274.3251793605</v>
      </c>
      <c r="CQ83" s="437">
        <v>-592487.7368697637</v>
      </c>
      <c r="CR83" s="437">
        <v>227231.00702235845</v>
      </c>
      <c r="CS83" s="257"/>
    </row>
    <row r="84" spans="1:97" x14ac:dyDescent="0.2">
      <c r="A84" s="100">
        <v>244</v>
      </c>
      <c r="B84" s="100" t="s">
        <v>393</v>
      </c>
      <c r="C84" s="100">
        <v>19300</v>
      </c>
      <c r="D84" s="257"/>
      <c r="E84" s="257"/>
      <c r="F84" s="257"/>
      <c r="G84" s="257"/>
      <c r="H84" s="325"/>
      <c r="I84" s="257"/>
      <c r="J84" s="257"/>
      <c r="K84" s="257"/>
      <c r="L84" s="257"/>
      <c r="M84" s="257"/>
      <c r="N84" s="257"/>
      <c r="O84" s="257"/>
      <c r="P84" s="257"/>
      <c r="Q84" s="100">
        <v>1558</v>
      </c>
      <c r="R84" s="100">
        <v>279</v>
      </c>
      <c r="S84" s="100">
        <v>1977</v>
      </c>
      <c r="T84" s="100">
        <v>968</v>
      </c>
      <c r="U84" s="100">
        <v>14518</v>
      </c>
      <c r="V84" s="100"/>
      <c r="W84" s="100"/>
      <c r="X84" s="100"/>
      <c r="Y84" s="100"/>
      <c r="Z84" s="257"/>
      <c r="AA84" s="257"/>
      <c r="AB84" s="257"/>
      <c r="AC84" s="257"/>
      <c r="AD84" s="257"/>
      <c r="AE84" s="258">
        <v>1.0747508200885645</v>
      </c>
      <c r="AG84" s="441">
        <v>611</v>
      </c>
      <c r="AH84" s="443">
        <v>9011</v>
      </c>
      <c r="AJ84" s="88">
        <v>266</v>
      </c>
      <c r="AM84" s="88">
        <v>0</v>
      </c>
      <c r="AN84" s="88">
        <v>33</v>
      </c>
      <c r="AP84" s="88">
        <v>0</v>
      </c>
      <c r="AQ84" s="399">
        <v>0</v>
      </c>
      <c r="AR84" s="88">
        <v>110.14</v>
      </c>
      <c r="AU84" s="399">
        <v>351</v>
      </c>
      <c r="AV84" s="399">
        <v>6390</v>
      </c>
      <c r="AY84" s="88">
        <v>0</v>
      </c>
      <c r="AZ84" s="432">
        <v>6875</v>
      </c>
      <c r="BA84" s="440">
        <v>8407</v>
      </c>
      <c r="BC84" s="439">
        <v>1.69</v>
      </c>
      <c r="BD84" s="88">
        <v>0</v>
      </c>
      <c r="BE84" s="88">
        <v>10</v>
      </c>
      <c r="BF84" s="434">
        <v>-381329.56</v>
      </c>
      <c r="BG84" s="100">
        <v>-361071.16000000003</v>
      </c>
      <c r="BH84" s="257"/>
      <c r="BI84" s="100"/>
      <c r="BJ84" s="257"/>
      <c r="BK84" s="100"/>
      <c r="BL84" s="100"/>
      <c r="BM84" s="100"/>
      <c r="BN84" s="257"/>
      <c r="BO84" s="100"/>
      <c r="BP84" s="100">
        <v>919994</v>
      </c>
      <c r="BQ84" s="100">
        <v>296488</v>
      </c>
      <c r="BR84" s="100">
        <v>624369.99195755285</v>
      </c>
      <c r="BS84" s="100">
        <v>3533.4607090591121</v>
      </c>
      <c r="BT84" s="100">
        <v>-19829.646823872132</v>
      </c>
      <c r="BU84" s="100">
        <v>344264.08235237317</v>
      </c>
      <c r="BV84" s="100">
        <v>711241.78541879682</v>
      </c>
      <c r="BW84" s="100">
        <v>1092587.5394141623</v>
      </c>
      <c r="BX84" s="100">
        <v>278912.67665120785</v>
      </c>
      <c r="BY84" s="100">
        <v>571050.62869571755</v>
      </c>
      <c r="BZ84" s="257"/>
      <c r="CA84" s="100"/>
      <c r="CB84" s="257"/>
      <c r="CC84" s="257"/>
      <c r="CD84" s="257"/>
      <c r="CE84" s="100">
        <v>719245.35847386217</v>
      </c>
      <c r="CF84" s="100">
        <v>494479.59968078649</v>
      </c>
      <c r="CG84" s="100">
        <v>482424.10247488704</v>
      </c>
      <c r="CH84" s="100">
        <v>2075376.9698116761</v>
      </c>
      <c r="CI84" s="257"/>
      <c r="CJ84" s="437">
        <v>3660954.0326702883</v>
      </c>
      <c r="CK84" s="404">
        <v>28240</v>
      </c>
      <c r="CL84" s="404"/>
      <c r="CM84" s="437">
        <v>109237.73254999996</v>
      </c>
      <c r="CO84" s="434">
        <v>562866.68047525338</v>
      </c>
      <c r="CP84" s="437">
        <v>-423996.74207926792</v>
      </c>
      <c r="CQ84" s="437">
        <v>-1746070.1361408518</v>
      </c>
      <c r="CR84" s="437">
        <v>669653.14330913394</v>
      </c>
      <c r="CS84" s="257"/>
    </row>
    <row r="85" spans="1:97" x14ac:dyDescent="0.2">
      <c r="A85" s="100">
        <v>245</v>
      </c>
      <c r="B85" s="100" t="s">
        <v>394</v>
      </c>
      <c r="C85" s="100">
        <v>37676</v>
      </c>
      <c r="D85" s="257"/>
      <c r="E85" s="257"/>
      <c r="F85" s="257"/>
      <c r="G85" s="257"/>
      <c r="H85" s="325"/>
      <c r="I85" s="257"/>
      <c r="J85" s="257"/>
      <c r="K85" s="257"/>
      <c r="L85" s="257"/>
      <c r="M85" s="257"/>
      <c r="N85" s="257"/>
      <c r="O85" s="257"/>
      <c r="P85" s="257"/>
      <c r="Q85" s="100">
        <v>2151</v>
      </c>
      <c r="R85" s="100">
        <v>394</v>
      </c>
      <c r="S85" s="100">
        <v>2516</v>
      </c>
      <c r="T85" s="100">
        <v>1363</v>
      </c>
      <c r="U85" s="100">
        <v>31252</v>
      </c>
      <c r="V85" s="100"/>
      <c r="W85" s="100"/>
      <c r="X85" s="100"/>
      <c r="Y85" s="100"/>
      <c r="Z85" s="257"/>
      <c r="AA85" s="257"/>
      <c r="AB85" s="257"/>
      <c r="AC85" s="257"/>
      <c r="AD85" s="257"/>
      <c r="AE85" s="258">
        <v>1.0721020685015952</v>
      </c>
      <c r="AG85" s="441">
        <v>1794.8333333333333</v>
      </c>
      <c r="AH85" s="443">
        <v>18809</v>
      </c>
      <c r="AJ85" s="88">
        <v>5491</v>
      </c>
      <c r="AM85" s="88">
        <v>0</v>
      </c>
      <c r="AN85" s="88">
        <v>467</v>
      </c>
      <c r="AP85" s="88">
        <v>0</v>
      </c>
      <c r="AQ85" s="399">
        <v>0</v>
      </c>
      <c r="AR85" s="88">
        <v>30.63</v>
      </c>
      <c r="AU85" s="399">
        <v>2591</v>
      </c>
      <c r="AV85" s="399">
        <v>12699</v>
      </c>
      <c r="AY85" s="88">
        <v>0</v>
      </c>
      <c r="AZ85" s="432">
        <v>12326</v>
      </c>
      <c r="BA85" s="440">
        <v>16786</v>
      </c>
      <c r="BC85" s="439">
        <v>0.83</v>
      </c>
      <c r="BD85" s="88">
        <v>0</v>
      </c>
      <c r="BE85" s="88">
        <v>0</v>
      </c>
      <c r="BF85" s="434">
        <v>-3939316.7192000002</v>
      </c>
      <c r="BG85" s="100">
        <v>-712787.05</v>
      </c>
      <c r="BH85" s="257"/>
      <c r="BI85" s="100"/>
      <c r="BJ85" s="257"/>
      <c r="BK85" s="100"/>
      <c r="BL85" s="100"/>
      <c r="BM85" s="100"/>
      <c r="BN85" s="257"/>
      <c r="BO85" s="100"/>
      <c r="BP85" s="100">
        <v>1849095</v>
      </c>
      <c r="BQ85" s="100">
        <v>688975</v>
      </c>
      <c r="BR85" s="100">
        <v>1471577.4084279276</v>
      </c>
      <c r="BS85" s="100">
        <v>31452.156286973168</v>
      </c>
      <c r="BT85" s="100">
        <v>-7625.7181453230778</v>
      </c>
      <c r="BU85" s="100">
        <v>604880.66728492966</v>
      </c>
      <c r="BV85" s="100">
        <v>1576612.4660045509</v>
      </c>
      <c r="BW85" s="100">
        <v>2363461.9138938366</v>
      </c>
      <c r="BX85" s="100">
        <v>782339.19321220042</v>
      </c>
      <c r="BY85" s="100">
        <v>1291310.6468326058</v>
      </c>
      <c r="BZ85" s="257"/>
      <c r="CA85" s="100"/>
      <c r="CB85" s="257"/>
      <c r="CC85" s="257"/>
      <c r="CD85" s="257"/>
      <c r="CE85" s="100">
        <v>1583190.8299106376</v>
      </c>
      <c r="CF85" s="100">
        <v>1171402.6386964861</v>
      </c>
      <c r="CG85" s="100">
        <v>1103623.2210843726</v>
      </c>
      <c r="CH85" s="100">
        <v>4824294.0159718813</v>
      </c>
      <c r="CI85" s="257"/>
      <c r="CJ85" s="437">
        <v>430942.73587921291</v>
      </c>
      <c r="CK85" s="404">
        <v>-2622359</v>
      </c>
      <c r="CL85" s="404"/>
      <c r="CM85" s="437">
        <v>-1207091.6394000002</v>
      </c>
      <c r="CO85" s="434">
        <v>-2329203.1207776675</v>
      </c>
      <c r="CP85" s="437">
        <v>18524.777741466889</v>
      </c>
      <c r="CQ85" s="437">
        <v>-3408546.0336395199</v>
      </c>
      <c r="CR85" s="437">
        <v>1307246.2086691675</v>
      </c>
      <c r="CS85" s="257"/>
    </row>
    <row r="86" spans="1:97" x14ac:dyDescent="0.2">
      <c r="A86" s="100">
        <v>249</v>
      </c>
      <c r="B86" s="100" t="s">
        <v>395</v>
      </c>
      <c r="C86" s="100">
        <v>9250</v>
      </c>
      <c r="D86" s="257"/>
      <c r="E86" s="257"/>
      <c r="F86" s="257"/>
      <c r="G86" s="257"/>
      <c r="H86" s="325"/>
      <c r="I86" s="257"/>
      <c r="J86" s="257"/>
      <c r="K86" s="257"/>
      <c r="L86" s="257"/>
      <c r="M86" s="257"/>
      <c r="N86" s="257"/>
      <c r="O86" s="257"/>
      <c r="P86" s="257"/>
      <c r="Q86" s="100">
        <v>343</v>
      </c>
      <c r="R86" s="100">
        <v>71</v>
      </c>
      <c r="S86" s="100">
        <v>567</v>
      </c>
      <c r="T86" s="100">
        <v>288</v>
      </c>
      <c r="U86" s="100">
        <v>7981</v>
      </c>
      <c r="V86" s="100"/>
      <c r="W86" s="100"/>
      <c r="X86" s="100"/>
      <c r="Y86" s="100"/>
      <c r="Z86" s="257"/>
      <c r="AA86" s="257"/>
      <c r="AB86" s="257"/>
      <c r="AC86" s="257"/>
      <c r="AD86" s="257"/>
      <c r="AE86" s="258">
        <v>0.84217451557671641</v>
      </c>
      <c r="AG86" s="441">
        <v>325.66666666666669</v>
      </c>
      <c r="AH86" s="443">
        <v>3807</v>
      </c>
      <c r="AJ86" s="88">
        <v>256</v>
      </c>
      <c r="AM86" s="88">
        <v>0</v>
      </c>
      <c r="AN86" s="88">
        <v>20</v>
      </c>
      <c r="AP86" s="88">
        <v>0</v>
      </c>
      <c r="AQ86" s="399">
        <v>0</v>
      </c>
      <c r="AR86" s="88">
        <v>1257.97</v>
      </c>
      <c r="AU86" s="399">
        <v>324</v>
      </c>
      <c r="AV86" s="399">
        <v>2334</v>
      </c>
      <c r="AY86" s="88">
        <v>0.77045000000000008</v>
      </c>
      <c r="AZ86" s="432">
        <v>3297</v>
      </c>
      <c r="BA86" s="440">
        <v>3365</v>
      </c>
      <c r="BC86" s="439">
        <v>0</v>
      </c>
      <c r="BD86" s="88">
        <v>0</v>
      </c>
      <c r="BE86" s="88">
        <v>0</v>
      </c>
      <c r="BF86" s="434">
        <v>-408128.03</v>
      </c>
      <c r="BG86" s="100">
        <v>-182226.06</v>
      </c>
      <c r="BH86" s="257"/>
      <c r="BI86" s="100"/>
      <c r="BJ86" s="257"/>
      <c r="BK86" s="100"/>
      <c r="BL86" s="100"/>
      <c r="BM86" s="100"/>
      <c r="BN86" s="257"/>
      <c r="BO86" s="100"/>
      <c r="BP86" s="100">
        <v>840543</v>
      </c>
      <c r="BQ86" s="100">
        <v>275658</v>
      </c>
      <c r="BR86" s="100">
        <v>616042.57695795619</v>
      </c>
      <c r="BS86" s="100">
        <v>27456.298720062765</v>
      </c>
      <c r="BT86" s="100">
        <v>-5142.0061319349597</v>
      </c>
      <c r="BU86" s="100">
        <v>332187.67621183069</v>
      </c>
      <c r="BV86" s="100">
        <v>495814.72137684812</v>
      </c>
      <c r="BW86" s="100">
        <v>841513.24110166484</v>
      </c>
      <c r="BX86" s="100">
        <v>232149.04226322219</v>
      </c>
      <c r="BY86" s="100">
        <v>434604.91427646816</v>
      </c>
      <c r="BZ86" s="257"/>
      <c r="CA86" s="100"/>
      <c r="CB86" s="257"/>
      <c r="CC86" s="257"/>
      <c r="CD86" s="257"/>
      <c r="CE86" s="100">
        <v>556004.31152348837</v>
      </c>
      <c r="CF86" s="100">
        <v>329383.73628972057</v>
      </c>
      <c r="CG86" s="100">
        <v>315125.90464347741</v>
      </c>
      <c r="CH86" s="100">
        <v>1665414.2069316842</v>
      </c>
      <c r="CI86" s="257"/>
      <c r="CJ86" s="437">
        <v>3375148.8711746689</v>
      </c>
      <c r="CK86" s="404">
        <v>267151</v>
      </c>
      <c r="CL86" s="404"/>
      <c r="CM86" s="437">
        <v>-37355.923999999999</v>
      </c>
      <c r="CO86" s="434">
        <v>320418.75846249727</v>
      </c>
      <c r="CP86" s="437">
        <v>672344.7216941925</v>
      </c>
      <c r="CQ86" s="437">
        <v>-836847.08597424242</v>
      </c>
      <c r="CR86" s="437">
        <v>320947.75003157975</v>
      </c>
      <c r="CS86" s="257"/>
    </row>
    <row r="87" spans="1:97" x14ac:dyDescent="0.2">
      <c r="A87" s="100">
        <v>250</v>
      </c>
      <c r="B87" s="100" t="s">
        <v>396</v>
      </c>
      <c r="C87" s="100">
        <v>1771</v>
      </c>
      <c r="D87" s="257"/>
      <c r="E87" s="257"/>
      <c r="F87" s="257"/>
      <c r="G87" s="257"/>
      <c r="H87" s="325"/>
      <c r="I87" s="257"/>
      <c r="J87" s="257"/>
      <c r="K87" s="257"/>
      <c r="L87" s="257"/>
      <c r="M87" s="257"/>
      <c r="N87" s="257"/>
      <c r="O87" s="257"/>
      <c r="P87" s="257"/>
      <c r="Q87" s="100">
        <v>55</v>
      </c>
      <c r="R87" s="100">
        <v>9</v>
      </c>
      <c r="S87" s="100">
        <v>112</v>
      </c>
      <c r="T87" s="100">
        <v>51</v>
      </c>
      <c r="U87" s="100">
        <v>1544</v>
      </c>
      <c r="V87" s="100"/>
      <c r="W87" s="100"/>
      <c r="X87" s="100"/>
      <c r="Y87" s="100"/>
      <c r="Z87" s="257"/>
      <c r="AA87" s="257"/>
      <c r="AB87" s="257"/>
      <c r="AC87" s="257"/>
      <c r="AD87" s="257"/>
      <c r="AE87" s="258">
        <v>0.76488382623209172</v>
      </c>
      <c r="AG87" s="441">
        <v>53.416666666666664</v>
      </c>
      <c r="AH87" s="443">
        <v>769</v>
      </c>
      <c r="AJ87" s="88">
        <v>30</v>
      </c>
      <c r="AM87" s="88">
        <v>0</v>
      </c>
      <c r="AN87" s="88">
        <v>0</v>
      </c>
      <c r="AP87" s="88">
        <v>0</v>
      </c>
      <c r="AQ87" s="399">
        <v>0</v>
      </c>
      <c r="AR87" s="88">
        <v>357.22</v>
      </c>
      <c r="AU87" s="399">
        <v>84</v>
      </c>
      <c r="AV87" s="399">
        <v>429</v>
      </c>
      <c r="AY87" s="88">
        <v>1.2127166666666667</v>
      </c>
      <c r="AZ87" s="432">
        <v>597</v>
      </c>
      <c r="BA87" s="440">
        <v>686</v>
      </c>
      <c r="BC87" s="439">
        <v>0</v>
      </c>
      <c r="BD87" s="88">
        <v>0</v>
      </c>
      <c r="BE87" s="88">
        <v>0</v>
      </c>
      <c r="BF87" s="434">
        <v>-53374.775000000001</v>
      </c>
      <c r="BG87" s="100">
        <v>-35000.620000000003</v>
      </c>
      <c r="BH87" s="257"/>
      <c r="BI87" s="100"/>
      <c r="BJ87" s="257"/>
      <c r="BK87" s="100"/>
      <c r="BL87" s="100"/>
      <c r="BM87" s="100"/>
      <c r="BN87" s="257"/>
      <c r="BO87" s="100"/>
      <c r="BP87" s="100">
        <v>219048</v>
      </c>
      <c r="BQ87" s="100">
        <v>68340</v>
      </c>
      <c r="BR87" s="100">
        <v>185745.72702158507</v>
      </c>
      <c r="BS87" s="100">
        <v>10832.417464142347</v>
      </c>
      <c r="BT87" s="100">
        <v>24966.191205261683</v>
      </c>
      <c r="BU87" s="100">
        <v>84210.026105412355</v>
      </c>
      <c r="BV87" s="100">
        <v>132963.33288116619</v>
      </c>
      <c r="BW87" s="100">
        <v>193905.06881895455</v>
      </c>
      <c r="BX87" s="100">
        <v>61753.686272541767</v>
      </c>
      <c r="BY87" s="100">
        <v>108331.39077097971</v>
      </c>
      <c r="BZ87" s="257"/>
      <c r="CA87" s="100"/>
      <c r="CB87" s="257"/>
      <c r="CC87" s="257"/>
      <c r="CD87" s="257"/>
      <c r="CE87" s="100">
        <v>148028.05784063262</v>
      </c>
      <c r="CF87" s="100">
        <v>79267.656680659013</v>
      </c>
      <c r="CG87" s="100">
        <v>78376.232778609716</v>
      </c>
      <c r="CH87" s="100">
        <v>441292.16868401034</v>
      </c>
      <c r="CI87" s="257"/>
      <c r="CJ87" s="437">
        <v>800408.86810264259</v>
      </c>
      <c r="CK87" s="404">
        <v>-365374</v>
      </c>
      <c r="CL87" s="404"/>
      <c r="CM87" s="437">
        <v>43412.834999999999</v>
      </c>
      <c r="CO87" s="434">
        <v>72091.004245145552</v>
      </c>
      <c r="CP87" s="437">
        <v>870.77665835380242</v>
      </c>
      <c r="CQ87" s="437">
        <v>-160222.29073085226</v>
      </c>
      <c r="CR87" s="437">
        <v>61448.482735775971</v>
      </c>
      <c r="CS87" s="257"/>
    </row>
    <row r="88" spans="1:97" x14ac:dyDescent="0.2">
      <c r="A88" s="100">
        <v>256</v>
      </c>
      <c r="B88" s="100" t="s">
        <v>397</v>
      </c>
      <c r="C88" s="100">
        <v>1554</v>
      </c>
      <c r="D88" s="257"/>
      <c r="E88" s="257"/>
      <c r="F88" s="257"/>
      <c r="G88" s="257"/>
      <c r="H88" s="325"/>
      <c r="I88" s="257"/>
      <c r="J88" s="257"/>
      <c r="K88" s="257"/>
      <c r="L88" s="257"/>
      <c r="M88" s="257"/>
      <c r="N88" s="257"/>
      <c r="O88" s="257"/>
      <c r="P88" s="257"/>
      <c r="Q88" s="100">
        <v>99</v>
      </c>
      <c r="R88" s="100">
        <v>20</v>
      </c>
      <c r="S88" s="100">
        <v>114</v>
      </c>
      <c r="T88" s="100">
        <v>58</v>
      </c>
      <c r="U88" s="100">
        <v>1263</v>
      </c>
      <c r="V88" s="100"/>
      <c r="W88" s="100"/>
      <c r="X88" s="100"/>
      <c r="Y88" s="100"/>
      <c r="Z88" s="257"/>
      <c r="AA88" s="257"/>
      <c r="AB88" s="257"/>
      <c r="AC88" s="257"/>
      <c r="AD88" s="257"/>
      <c r="AE88" s="258">
        <v>0.76876990820240088</v>
      </c>
      <c r="AG88" s="441">
        <v>63.166666666666664</v>
      </c>
      <c r="AH88" s="443">
        <v>589</v>
      </c>
      <c r="AJ88" s="88">
        <v>7</v>
      </c>
      <c r="AM88" s="88">
        <v>0</v>
      </c>
      <c r="AN88" s="88">
        <v>1</v>
      </c>
      <c r="AP88" s="88">
        <v>0</v>
      </c>
      <c r="AQ88" s="399">
        <v>0</v>
      </c>
      <c r="AR88" s="88">
        <v>460.2</v>
      </c>
      <c r="AU88" s="399">
        <v>41</v>
      </c>
      <c r="AV88" s="399">
        <v>305</v>
      </c>
      <c r="AY88" s="88">
        <v>1.6751833333333332</v>
      </c>
      <c r="AZ88" s="432">
        <v>444</v>
      </c>
      <c r="BA88" s="440">
        <v>505</v>
      </c>
      <c r="BC88" s="439">
        <v>0</v>
      </c>
      <c r="BD88" s="88">
        <v>0</v>
      </c>
      <c r="BE88" s="88">
        <v>1</v>
      </c>
      <c r="BF88" s="434">
        <v>-11765.834999999999</v>
      </c>
      <c r="BG88" s="100">
        <v>-30678.370000000003</v>
      </c>
      <c r="BH88" s="257"/>
      <c r="BI88" s="100"/>
      <c r="BJ88" s="257"/>
      <c r="BK88" s="100"/>
      <c r="BL88" s="100"/>
      <c r="BM88" s="100"/>
      <c r="BN88" s="257"/>
      <c r="BO88" s="100"/>
      <c r="BP88" s="100">
        <v>175069</v>
      </c>
      <c r="BQ88" s="100">
        <v>57344</v>
      </c>
      <c r="BR88" s="100">
        <v>155676.28894759898</v>
      </c>
      <c r="BS88" s="100">
        <v>8712.868785601755</v>
      </c>
      <c r="BT88" s="100">
        <v>29015.687809191466</v>
      </c>
      <c r="BU88" s="100">
        <v>73844.996498780718</v>
      </c>
      <c r="BV88" s="100">
        <v>86849.927610428742</v>
      </c>
      <c r="BW88" s="100">
        <v>141637.73046884115</v>
      </c>
      <c r="BX88" s="100">
        <v>38890.740848801601</v>
      </c>
      <c r="BY88" s="100">
        <v>73585.135208790874</v>
      </c>
      <c r="BZ88" s="257"/>
      <c r="CA88" s="100"/>
      <c r="CB88" s="257"/>
      <c r="CC88" s="257"/>
      <c r="CD88" s="257"/>
      <c r="CE88" s="100">
        <v>100839.37673970064</v>
      </c>
      <c r="CF88" s="100">
        <v>53588.463313596978</v>
      </c>
      <c r="CG88" s="100">
        <v>53288.014915222993</v>
      </c>
      <c r="CH88" s="100">
        <v>343315.21196814114</v>
      </c>
      <c r="CI88" s="257"/>
      <c r="CJ88" s="437">
        <v>851903.69821475446</v>
      </c>
      <c r="CK88" s="404">
        <v>368867</v>
      </c>
      <c r="CL88" s="404"/>
      <c r="CM88" s="437">
        <v>118005.33500000001</v>
      </c>
      <c r="CO88" s="434">
        <v>-362763.67221784615</v>
      </c>
      <c r="CP88" s="437">
        <v>-434949.22787797474</v>
      </c>
      <c r="CQ88" s="437">
        <v>-140590.31044367273</v>
      </c>
      <c r="CR88" s="437">
        <v>53919.222005305397</v>
      </c>
      <c r="CS88" s="257"/>
    </row>
    <row r="89" spans="1:97" x14ac:dyDescent="0.2">
      <c r="A89" s="100">
        <v>257</v>
      </c>
      <c r="B89" s="100" t="s">
        <v>398</v>
      </c>
      <c r="C89" s="100">
        <v>40722</v>
      </c>
      <c r="D89" s="257"/>
      <c r="E89" s="257"/>
      <c r="F89" s="257"/>
      <c r="G89" s="257"/>
      <c r="H89" s="325"/>
      <c r="I89" s="257"/>
      <c r="J89" s="257"/>
      <c r="K89" s="257"/>
      <c r="L89" s="257"/>
      <c r="M89" s="257"/>
      <c r="N89" s="257"/>
      <c r="O89" s="257"/>
      <c r="P89" s="257"/>
      <c r="Q89" s="100">
        <v>2434</v>
      </c>
      <c r="R89" s="100">
        <v>461</v>
      </c>
      <c r="S89" s="100">
        <v>3236</v>
      </c>
      <c r="T89" s="100">
        <v>1795</v>
      </c>
      <c r="U89" s="100">
        <v>32796</v>
      </c>
      <c r="V89" s="100"/>
      <c r="W89" s="100"/>
      <c r="X89" s="100"/>
      <c r="Y89" s="100"/>
      <c r="Z89" s="257"/>
      <c r="AA89" s="257"/>
      <c r="AB89" s="257"/>
      <c r="AC89" s="257"/>
      <c r="AD89" s="257"/>
      <c r="AE89" s="258">
        <v>0.91052271299831133</v>
      </c>
      <c r="AG89" s="441">
        <v>1371.6666666666667</v>
      </c>
      <c r="AH89" s="443">
        <v>20474</v>
      </c>
      <c r="AJ89" s="88">
        <v>4363</v>
      </c>
      <c r="AM89" s="88">
        <v>1</v>
      </c>
      <c r="AN89" s="88">
        <v>6239</v>
      </c>
      <c r="AP89" s="88">
        <v>3</v>
      </c>
      <c r="AQ89" s="399">
        <v>666</v>
      </c>
      <c r="AR89" s="88">
        <v>366.6</v>
      </c>
      <c r="AU89" s="399">
        <v>2078</v>
      </c>
      <c r="AV89" s="399">
        <v>14452</v>
      </c>
      <c r="AY89" s="88">
        <v>0</v>
      </c>
      <c r="AZ89" s="432">
        <v>11026</v>
      </c>
      <c r="BA89" s="440">
        <v>19264</v>
      </c>
      <c r="BC89" s="439">
        <v>0.95</v>
      </c>
      <c r="BD89" s="88">
        <v>0</v>
      </c>
      <c r="BE89" s="88">
        <v>9</v>
      </c>
      <c r="BF89" s="434">
        <v>-2276668.0687000002</v>
      </c>
      <c r="BG89" s="100">
        <v>-769975.22000000009</v>
      </c>
      <c r="BH89" s="257"/>
      <c r="BI89" s="100"/>
      <c r="BJ89" s="257"/>
      <c r="BK89" s="100"/>
      <c r="BL89" s="100"/>
      <c r="BM89" s="100"/>
      <c r="BN89" s="257"/>
      <c r="BO89" s="100"/>
      <c r="BP89" s="100">
        <v>2071727</v>
      </c>
      <c r="BQ89" s="100">
        <v>698246</v>
      </c>
      <c r="BR89" s="100">
        <v>1328514.603771267</v>
      </c>
      <c r="BS89" s="100">
        <v>-6999.6527070428774</v>
      </c>
      <c r="BT89" s="100">
        <v>-330038.78972372197</v>
      </c>
      <c r="BU89" s="100">
        <v>466855.07347990322</v>
      </c>
      <c r="BV89" s="100">
        <v>1443673.5638424095</v>
      </c>
      <c r="BW89" s="100">
        <v>2195705.4524508668</v>
      </c>
      <c r="BX89" s="100">
        <v>680587.71152935817</v>
      </c>
      <c r="BY89" s="100">
        <v>1222246.1061520812</v>
      </c>
      <c r="BZ89" s="257"/>
      <c r="CA89" s="100"/>
      <c r="CB89" s="257"/>
      <c r="CC89" s="257"/>
      <c r="CD89" s="257"/>
      <c r="CE89" s="100">
        <v>1501961.2373288022</v>
      </c>
      <c r="CF89" s="100">
        <v>1080365.8955797006</v>
      </c>
      <c r="CG89" s="100">
        <v>1013777.2027177487</v>
      </c>
      <c r="CH89" s="100">
        <v>4500387.5614631632</v>
      </c>
      <c r="CI89" s="257"/>
      <c r="CJ89" s="437">
        <v>-957594.10945789458</v>
      </c>
      <c r="CK89" s="404">
        <v>-2617706</v>
      </c>
      <c r="CL89" s="404"/>
      <c r="CM89" s="437">
        <v>-550468.78040000028</v>
      </c>
      <c r="CO89" s="434">
        <v>6725341.0657557379</v>
      </c>
      <c r="CP89" s="437">
        <v>4048240.6097632633</v>
      </c>
      <c r="CQ89" s="437">
        <v>-3684117.5173019571</v>
      </c>
      <c r="CR89" s="437">
        <v>1412933.4353282151</v>
      </c>
      <c r="CS89" s="257"/>
    </row>
    <row r="90" spans="1:97" x14ac:dyDescent="0.2">
      <c r="A90" s="100">
        <v>260</v>
      </c>
      <c r="B90" s="100" t="s">
        <v>399</v>
      </c>
      <c r="C90" s="100">
        <v>9727</v>
      </c>
      <c r="D90" s="257"/>
      <c r="E90" s="257"/>
      <c r="F90" s="257"/>
      <c r="G90" s="257"/>
      <c r="H90" s="325"/>
      <c r="I90" s="257"/>
      <c r="J90" s="257"/>
      <c r="K90" s="257"/>
      <c r="L90" s="257"/>
      <c r="M90" s="257"/>
      <c r="N90" s="257"/>
      <c r="O90" s="257"/>
      <c r="P90" s="257"/>
      <c r="Q90" s="100">
        <v>303</v>
      </c>
      <c r="R90" s="100">
        <v>71</v>
      </c>
      <c r="S90" s="100">
        <v>512</v>
      </c>
      <c r="T90" s="100">
        <v>255</v>
      </c>
      <c r="U90" s="100">
        <v>8586</v>
      </c>
      <c r="V90" s="100"/>
      <c r="W90" s="100"/>
      <c r="X90" s="100"/>
      <c r="Y90" s="100"/>
      <c r="Z90" s="257"/>
      <c r="AA90" s="257"/>
      <c r="AB90" s="257"/>
      <c r="AC90" s="257"/>
      <c r="AD90" s="257"/>
      <c r="AE90" s="258">
        <v>1.0613024967062985</v>
      </c>
      <c r="AG90" s="441">
        <v>526.25</v>
      </c>
      <c r="AH90" s="443">
        <v>3843</v>
      </c>
      <c r="AJ90" s="88">
        <v>624</v>
      </c>
      <c r="AM90" s="88">
        <v>0</v>
      </c>
      <c r="AN90" s="88">
        <v>3</v>
      </c>
      <c r="AP90" s="88">
        <v>3</v>
      </c>
      <c r="AQ90" s="399">
        <v>373</v>
      </c>
      <c r="AR90" s="88">
        <v>1253.82</v>
      </c>
      <c r="AU90" s="399">
        <v>343</v>
      </c>
      <c r="AV90" s="399">
        <v>2226</v>
      </c>
      <c r="AY90" s="88">
        <v>1.2096</v>
      </c>
      <c r="AZ90" s="432">
        <v>3161</v>
      </c>
      <c r="BA90" s="440">
        <v>3163</v>
      </c>
      <c r="BC90" s="439">
        <v>0</v>
      </c>
      <c r="BD90" s="88">
        <v>0</v>
      </c>
      <c r="BE90" s="88">
        <v>1</v>
      </c>
      <c r="BF90" s="434">
        <v>-283228.59000000003</v>
      </c>
      <c r="BG90" s="100">
        <v>-190812.93000000002</v>
      </c>
      <c r="BH90" s="257"/>
      <c r="BI90" s="100"/>
      <c r="BJ90" s="257"/>
      <c r="BK90" s="100"/>
      <c r="BL90" s="100"/>
      <c r="BM90" s="100"/>
      <c r="BN90" s="257"/>
      <c r="BO90" s="100"/>
      <c r="BP90" s="100">
        <v>1158136</v>
      </c>
      <c r="BQ90" s="100">
        <v>342783</v>
      </c>
      <c r="BR90" s="100">
        <v>900533.85848457483</v>
      </c>
      <c r="BS90" s="100">
        <v>48990.334723299318</v>
      </c>
      <c r="BT90" s="100">
        <v>122919.64991699434</v>
      </c>
      <c r="BU90" s="100">
        <v>445395.39128702896</v>
      </c>
      <c r="BV90" s="100">
        <v>568926.44705143874</v>
      </c>
      <c r="BW90" s="100">
        <v>934562.57136835251</v>
      </c>
      <c r="BX90" s="100">
        <v>276798.53308393044</v>
      </c>
      <c r="BY90" s="100">
        <v>502502.53184863873</v>
      </c>
      <c r="BZ90" s="257"/>
      <c r="CA90" s="100"/>
      <c r="CB90" s="257"/>
      <c r="CC90" s="257"/>
      <c r="CD90" s="257"/>
      <c r="CE90" s="100">
        <v>659193.28197050793</v>
      </c>
      <c r="CF90" s="100">
        <v>361744.24990345992</v>
      </c>
      <c r="CG90" s="100">
        <v>346458.70973592956</v>
      </c>
      <c r="CH90" s="100">
        <v>2104520.913554274</v>
      </c>
      <c r="CI90" s="257"/>
      <c r="CJ90" s="437">
        <v>5269298.3131798524</v>
      </c>
      <c r="CK90" s="404">
        <v>-171395</v>
      </c>
      <c r="CL90" s="404"/>
      <c r="CM90" s="437">
        <v>-41548.022500000006</v>
      </c>
      <c r="CO90" s="434">
        <v>2819458.0556181567</v>
      </c>
      <c r="CP90" s="437">
        <v>1650735.0408692514</v>
      </c>
      <c r="CQ90" s="437">
        <v>-880001.25462394126</v>
      </c>
      <c r="CR90" s="437">
        <v>337498.24481699202</v>
      </c>
      <c r="CS90" s="257"/>
    </row>
    <row r="91" spans="1:97" x14ac:dyDescent="0.2">
      <c r="A91" s="100">
        <v>261</v>
      </c>
      <c r="B91" s="100" t="s">
        <v>400</v>
      </c>
      <c r="C91" s="100">
        <v>6637</v>
      </c>
      <c r="D91" s="257"/>
      <c r="E91" s="257"/>
      <c r="F91" s="257"/>
      <c r="G91" s="257"/>
      <c r="H91" s="325"/>
      <c r="I91" s="257"/>
      <c r="J91" s="257"/>
      <c r="K91" s="257"/>
      <c r="L91" s="257"/>
      <c r="M91" s="257"/>
      <c r="N91" s="257"/>
      <c r="O91" s="257"/>
      <c r="P91" s="257"/>
      <c r="Q91" s="100">
        <v>335</v>
      </c>
      <c r="R91" s="100">
        <v>69</v>
      </c>
      <c r="S91" s="100">
        <v>426</v>
      </c>
      <c r="T91" s="100">
        <v>203</v>
      </c>
      <c r="U91" s="100">
        <v>5604</v>
      </c>
      <c r="V91" s="100"/>
      <c r="W91" s="100"/>
      <c r="X91" s="100"/>
      <c r="Y91" s="100"/>
      <c r="Z91" s="257"/>
      <c r="AA91" s="257"/>
      <c r="AB91" s="257"/>
      <c r="AC91" s="257"/>
      <c r="AD91" s="257"/>
      <c r="AE91" s="258">
        <v>0.88992380821318229</v>
      </c>
      <c r="AG91" s="441">
        <v>328.25</v>
      </c>
      <c r="AH91" s="443">
        <v>3411</v>
      </c>
      <c r="AJ91" s="88">
        <v>270</v>
      </c>
      <c r="AM91" s="88">
        <v>0</v>
      </c>
      <c r="AN91" s="88">
        <v>23</v>
      </c>
      <c r="AP91" s="88">
        <v>0</v>
      </c>
      <c r="AQ91" s="399">
        <v>0</v>
      </c>
      <c r="AR91" s="88">
        <v>8095.28</v>
      </c>
      <c r="AU91" s="399">
        <v>288</v>
      </c>
      <c r="AV91" s="399">
        <v>2229</v>
      </c>
      <c r="AY91" s="88">
        <v>1.62395</v>
      </c>
      <c r="AZ91" s="432">
        <v>3677</v>
      </c>
      <c r="BA91" s="440">
        <v>3201</v>
      </c>
      <c r="BC91" s="439">
        <v>0.95</v>
      </c>
      <c r="BD91" s="88">
        <v>0</v>
      </c>
      <c r="BE91" s="88">
        <v>27</v>
      </c>
      <c r="BF91" s="434">
        <v>-84416.717000000004</v>
      </c>
      <c r="BG91" s="100">
        <v>-123635.56000000001</v>
      </c>
      <c r="BH91" s="257"/>
      <c r="BI91" s="100"/>
      <c r="BJ91" s="257"/>
      <c r="BK91" s="100"/>
      <c r="BL91" s="100"/>
      <c r="BM91" s="100"/>
      <c r="BN91" s="257"/>
      <c r="BO91" s="100"/>
      <c r="BP91" s="100">
        <v>488612</v>
      </c>
      <c r="BQ91" s="100">
        <v>183601</v>
      </c>
      <c r="BR91" s="100">
        <v>457147.04143089999</v>
      </c>
      <c r="BS91" s="100">
        <v>22043.779874781118</v>
      </c>
      <c r="BT91" s="100">
        <v>46606.325551929287</v>
      </c>
      <c r="BU91" s="100">
        <v>166777.09429675119</v>
      </c>
      <c r="BV91" s="100">
        <v>428469.15121476783</v>
      </c>
      <c r="BW91" s="100">
        <v>556199.94981960289</v>
      </c>
      <c r="BX91" s="100">
        <v>214044.87345109828</v>
      </c>
      <c r="BY91" s="100">
        <v>316851.00909643696</v>
      </c>
      <c r="BZ91" s="257"/>
      <c r="CA91" s="100"/>
      <c r="CB91" s="257"/>
      <c r="CC91" s="257"/>
      <c r="CD91" s="257"/>
      <c r="CE91" s="100">
        <v>426453.61393505306</v>
      </c>
      <c r="CF91" s="100">
        <v>256027.24057549203</v>
      </c>
      <c r="CG91" s="100">
        <v>277617.71763263369</v>
      </c>
      <c r="CH91" s="100">
        <v>1207171.2267386289</v>
      </c>
      <c r="CI91" s="257"/>
      <c r="CJ91" s="437">
        <v>-325223.46925284469</v>
      </c>
      <c r="CK91" s="404">
        <v>61479</v>
      </c>
      <c r="CL91" s="404"/>
      <c r="CM91" s="437">
        <v>-29314.852499999979</v>
      </c>
      <c r="CO91" s="434">
        <v>609645.5223547935</v>
      </c>
      <c r="CP91" s="437">
        <v>1843925.8542115933</v>
      </c>
      <c r="CQ91" s="437">
        <v>-600449.09293092403</v>
      </c>
      <c r="CR91" s="437">
        <v>230284.34777941564</v>
      </c>
      <c r="CS91" s="257"/>
    </row>
    <row r="92" spans="1:97" x14ac:dyDescent="0.2">
      <c r="A92" s="100">
        <v>263</v>
      </c>
      <c r="B92" s="100" t="s">
        <v>401</v>
      </c>
      <c r="C92" s="100">
        <v>7597</v>
      </c>
      <c r="D92" s="257"/>
      <c r="E92" s="257"/>
      <c r="F92" s="257"/>
      <c r="G92" s="257"/>
      <c r="H92" s="325"/>
      <c r="I92" s="257"/>
      <c r="J92" s="257"/>
      <c r="K92" s="257"/>
      <c r="L92" s="257"/>
      <c r="M92" s="257"/>
      <c r="N92" s="257"/>
      <c r="O92" s="257"/>
      <c r="P92" s="257"/>
      <c r="Q92" s="100">
        <v>386</v>
      </c>
      <c r="R92" s="100">
        <v>68</v>
      </c>
      <c r="S92" s="100">
        <v>472</v>
      </c>
      <c r="T92" s="100">
        <v>241</v>
      </c>
      <c r="U92" s="100">
        <v>6430</v>
      </c>
      <c r="V92" s="100"/>
      <c r="W92" s="100"/>
      <c r="X92" s="100"/>
      <c r="Y92" s="100"/>
      <c r="Z92" s="257"/>
      <c r="AA92" s="257"/>
      <c r="AB92" s="257"/>
      <c r="AC92" s="257"/>
      <c r="AD92" s="257"/>
      <c r="AE92" s="258">
        <v>0.82666592387523019</v>
      </c>
      <c r="AG92" s="441">
        <v>334.16666666666669</v>
      </c>
      <c r="AH92" s="443">
        <v>3277</v>
      </c>
      <c r="AJ92" s="88">
        <v>119</v>
      </c>
      <c r="AM92" s="88">
        <v>0</v>
      </c>
      <c r="AN92" s="88">
        <v>0</v>
      </c>
      <c r="AP92" s="88">
        <v>0</v>
      </c>
      <c r="AQ92" s="399">
        <v>0</v>
      </c>
      <c r="AR92" s="88">
        <v>1328.19</v>
      </c>
      <c r="AU92" s="399">
        <v>248</v>
      </c>
      <c r="AV92" s="399">
        <v>1896</v>
      </c>
      <c r="AY92" s="88">
        <v>0.83309999999999995</v>
      </c>
      <c r="AZ92" s="432">
        <v>2312</v>
      </c>
      <c r="BA92" s="440">
        <v>2811</v>
      </c>
      <c r="BC92" s="439">
        <v>0</v>
      </c>
      <c r="BD92" s="88">
        <v>0</v>
      </c>
      <c r="BE92" s="88">
        <v>0</v>
      </c>
      <c r="BF92" s="434">
        <v>-275731.20500000002</v>
      </c>
      <c r="BG92" s="100">
        <v>-150875.34</v>
      </c>
      <c r="BH92" s="257"/>
      <c r="BI92" s="100"/>
      <c r="BJ92" s="257"/>
      <c r="BK92" s="100"/>
      <c r="BL92" s="100"/>
      <c r="BM92" s="100"/>
      <c r="BN92" s="257"/>
      <c r="BO92" s="100"/>
      <c r="BP92" s="100">
        <v>894473</v>
      </c>
      <c r="BQ92" s="100">
        <v>268110</v>
      </c>
      <c r="BR92" s="100">
        <v>682456.22900400998</v>
      </c>
      <c r="BS92" s="100">
        <v>33966.257956521804</v>
      </c>
      <c r="BT92" s="100">
        <v>110226.00985128019</v>
      </c>
      <c r="BU92" s="100">
        <v>363392.41017846076</v>
      </c>
      <c r="BV92" s="100">
        <v>470200.3889638611</v>
      </c>
      <c r="BW92" s="100">
        <v>789309.29366025375</v>
      </c>
      <c r="BX92" s="100">
        <v>215961.57414765589</v>
      </c>
      <c r="BY92" s="100">
        <v>413121.78828615317</v>
      </c>
      <c r="BZ92" s="257"/>
      <c r="CA92" s="100"/>
      <c r="CB92" s="257"/>
      <c r="CC92" s="257"/>
      <c r="CD92" s="257"/>
      <c r="CE92" s="100">
        <v>579002.40619078802</v>
      </c>
      <c r="CF92" s="100">
        <v>310689.53466281173</v>
      </c>
      <c r="CG92" s="100">
        <v>284031.1811357463</v>
      </c>
      <c r="CH92" s="100">
        <v>1805927.0038778996</v>
      </c>
      <c r="CI92" s="257"/>
      <c r="CJ92" s="437">
        <v>4502123.8269685572</v>
      </c>
      <c r="CK92" s="404">
        <v>-406236</v>
      </c>
      <c r="CL92" s="404"/>
      <c r="CM92" s="437">
        <v>170220.0849999999</v>
      </c>
      <c r="CO92" s="434">
        <v>1099202.779954009</v>
      </c>
      <c r="CP92" s="437">
        <v>488196.73583322216</v>
      </c>
      <c r="CQ92" s="437">
        <v>-687300.24996176432</v>
      </c>
      <c r="CR92" s="437">
        <v>263593.51967458503</v>
      </c>
      <c r="CS92" s="257"/>
    </row>
    <row r="93" spans="1:97" x14ac:dyDescent="0.2">
      <c r="A93" s="100">
        <v>265</v>
      </c>
      <c r="B93" s="100" t="s">
        <v>402</v>
      </c>
      <c r="C93" s="100">
        <v>1064</v>
      </c>
      <c r="D93" s="257"/>
      <c r="E93" s="257"/>
      <c r="F93" s="257"/>
      <c r="G93" s="257"/>
      <c r="H93" s="325"/>
      <c r="I93" s="257"/>
      <c r="J93" s="257"/>
      <c r="K93" s="257"/>
      <c r="L93" s="257"/>
      <c r="M93" s="257"/>
      <c r="N93" s="257"/>
      <c r="O93" s="257"/>
      <c r="P93" s="257"/>
      <c r="Q93" s="100">
        <v>53</v>
      </c>
      <c r="R93" s="100">
        <v>9</v>
      </c>
      <c r="S93" s="100">
        <v>54</v>
      </c>
      <c r="T93" s="100">
        <v>38</v>
      </c>
      <c r="U93" s="100">
        <v>910</v>
      </c>
      <c r="V93" s="100"/>
      <c r="W93" s="100"/>
      <c r="X93" s="100"/>
      <c r="Y93" s="100"/>
      <c r="Z93" s="257"/>
      <c r="AA93" s="257"/>
      <c r="AB93" s="257"/>
      <c r="AC93" s="257"/>
      <c r="AD93" s="257"/>
      <c r="AE93" s="258">
        <v>0.75909060300733966</v>
      </c>
      <c r="AG93" s="441">
        <v>53.916666666666664</v>
      </c>
      <c r="AH93" s="443">
        <v>404</v>
      </c>
      <c r="AJ93" s="88">
        <v>19</v>
      </c>
      <c r="AM93" s="88">
        <v>0</v>
      </c>
      <c r="AN93" s="88">
        <v>0</v>
      </c>
      <c r="AP93" s="88">
        <v>3</v>
      </c>
      <c r="AQ93" s="399">
        <v>83</v>
      </c>
      <c r="AR93" s="88">
        <v>483.96</v>
      </c>
      <c r="AU93" s="399">
        <v>42</v>
      </c>
      <c r="AV93" s="399">
        <v>229</v>
      </c>
      <c r="AY93" s="88">
        <v>1.7096</v>
      </c>
      <c r="AZ93" s="432">
        <v>243</v>
      </c>
      <c r="BA93" s="440">
        <v>353</v>
      </c>
      <c r="BC93" s="439">
        <v>0</v>
      </c>
      <c r="BD93" s="88">
        <v>0</v>
      </c>
      <c r="BE93" s="88">
        <v>0</v>
      </c>
      <c r="BF93" s="434">
        <v>-33282.294999999998</v>
      </c>
      <c r="BG93" s="100">
        <v>-21265.47</v>
      </c>
      <c r="BH93" s="257"/>
      <c r="BI93" s="100"/>
      <c r="BJ93" s="257"/>
      <c r="BK93" s="100"/>
      <c r="BL93" s="100"/>
      <c r="BM93" s="100"/>
      <c r="BN93" s="257"/>
      <c r="BO93" s="100"/>
      <c r="BP93" s="100">
        <v>130215</v>
      </c>
      <c r="BQ93" s="100">
        <v>39878</v>
      </c>
      <c r="BR93" s="100">
        <v>113824.44832960851</v>
      </c>
      <c r="BS93" s="100">
        <v>7034.2469685500973</v>
      </c>
      <c r="BT93" s="100">
        <v>18972.256087466867</v>
      </c>
      <c r="BU93" s="100">
        <v>56149.436150356327</v>
      </c>
      <c r="BV93" s="100">
        <v>64664.567997659287</v>
      </c>
      <c r="BW93" s="100">
        <v>103518.21061302294</v>
      </c>
      <c r="BX93" s="100">
        <v>34343.098103926037</v>
      </c>
      <c r="BY93" s="100">
        <v>61106.554905231227</v>
      </c>
      <c r="BZ93" s="257"/>
      <c r="CA93" s="100"/>
      <c r="CB93" s="257"/>
      <c r="CC93" s="257"/>
      <c r="CD93" s="257"/>
      <c r="CE93" s="100">
        <v>72505.267260058521</v>
      </c>
      <c r="CF93" s="100">
        <v>38856.099635553583</v>
      </c>
      <c r="CG93" s="100">
        <v>41043.706951925633</v>
      </c>
      <c r="CH93" s="100">
        <v>244194.61411271486</v>
      </c>
      <c r="CI93" s="257"/>
      <c r="CJ93" s="437">
        <v>352735.55910361098</v>
      </c>
      <c r="CK93" s="404">
        <v>-284366</v>
      </c>
      <c r="CL93" s="404"/>
      <c r="CM93" s="437">
        <v>-77576.2</v>
      </c>
      <c r="CO93" s="434">
        <v>405500.36943385511</v>
      </c>
      <c r="CP93" s="437">
        <v>169928.18931290039</v>
      </c>
      <c r="CQ93" s="437">
        <v>-96260.032375847994</v>
      </c>
      <c r="CR93" s="437">
        <v>36917.665517146037</v>
      </c>
      <c r="CS93" s="257"/>
    </row>
    <row r="94" spans="1:97" x14ac:dyDescent="0.2">
      <c r="A94" s="100">
        <v>271</v>
      </c>
      <c r="B94" s="100" t="s">
        <v>403</v>
      </c>
      <c r="C94" s="100">
        <v>6903</v>
      </c>
      <c r="D94" s="257"/>
      <c r="E94" s="257"/>
      <c r="F94" s="257"/>
      <c r="G94" s="257"/>
      <c r="H94" s="325"/>
      <c r="I94" s="257"/>
      <c r="J94" s="257"/>
      <c r="K94" s="257"/>
      <c r="L94" s="257"/>
      <c r="M94" s="257"/>
      <c r="N94" s="257"/>
      <c r="O94" s="257"/>
      <c r="P94" s="257"/>
      <c r="Q94" s="100">
        <v>294</v>
      </c>
      <c r="R94" s="100">
        <v>58</v>
      </c>
      <c r="S94" s="100">
        <v>365</v>
      </c>
      <c r="T94" s="100">
        <v>221</v>
      </c>
      <c r="U94" s="100">
        <v>5965</v>
      </c>
      <c r="V94" s="100"/>
      <c r="W94" s="100"/>
      <c r="X94" s="100"/>
      <c r="Y94" s="100"/>
      <c r="Z94" s="257"/>
      <c r="AA94" s="257"/>
      <c r="AB94" s="257"/>
      <c r="AC94" s="257"/>
      <c r="AD94" s="257"/>
      <c r="AE94" s="258">
        <v>1.0647578860597111</v>
      </c>
      <c r="AG94" s="441">
        <v>242.5</v>
      </c>
      <c r="AH94" s="443">
        <v>3001</v>
      </c>
      <c r="AJ94" s="88">
        <v>235</v>
      </c>
      <c r="AM94" s="88">
        <v>0</v>
      </c>
      <c r="AN94" s="88">
        <v>16</v>
      </c>
      <c r="AP94" s="88">
        <v>0</v>
      </c>
      <c r="AQ94" s="399">
        <v>0</v>
      </c>
      <c r="AR94" s="88">
        <v>480.42</v>
      </c>
      <c r="AU94" s="399">
        <v>282</v>
      </c>
      <c r="AV94" s="399">
        <v>1847</v>
      </c>
      <c r="AY94" s="88">
        <v>0</v>
      </c>
      <c r="AZ94" s="432">
        <v>2358</v>
      </c>
      <c r="BA94" s="440">
        <v>2690</v>
      </c>
      <c r="BC94" s="439">
        <v>0</v>
      </c>
      <c r="BD94" s="88">
        <v>0</v>
      </c>
      <c r="BE94" s="88">
        <v>0</v>
      </c>
      <c r="BF94" s="434">
        <v>-260031.535</v>
      </c>
      <c r="BG94" s="100">
        <v>-134719.73000000001</v>
      </c>
      <c r="BH94" s="257"/>
      <c r="BI94" s="100"/>
      <c r="BJ94" s="257"/>
      <c r="BK94" s="100"/>
      <c r="BL94" s="100"/>
      <c r="BM94" s="100"/>
      <c r="BN94" s="257"/>
      <c r="BO94" s="100"/>
      <c r="BP94" s="100">
        <v>687986</v>
      </c>
      <c r="BQ94" s="100">
        <v>217878</v>
      </c>
      <c r="BR94" s="100">
        <v>550817.71506448451</v>
      </c>
      <c r="BS94" s="100">
        <v>28134.764337881366</v>
      </c>
      <c r="BT94" s="100">
        <v>78832.714251765457</v>
      </c>
      <c r="BU94" s="100">
        <v>250297.46366490252</v>
      </c>
      <c r="BV94" s="100">
        <v>386403.06824146118</v>
      </c>
      <c r="BW94" s="100">
        <v>667130.23187730578</v>
      </c>
      <c r="BX94" s="100">
        <v>191411.11518916511</v>
      </c>
      <c r="BY94" s="100">
        <v>341146.33984664205</v>
      </c>
      <c r="BZ94" s="257"/>
      <c r="CA94" s="100"/>
      <c r="CB94" s="257"/>
      <c r="CC94" s="257"/>
      <c r="CD94" s="257"/>
      <c r="CE94" s="100">
        <v>445519.83668827493</v>
      </c>
      <c r="CF94" s="100">
        <v>254752.16362010833</v>
      </c>
      <c r="CG94" s="100">
        <v>254062.03929480663</v>
      </c>
      <c r="CH94" s="100">
        <v>1410926.1071647825</v>
      </c>
      <c r="CI94" s="257"/>
      <c r="CJ94" s="437">
        <v>2979268.6270577195</v>
      </c>
      <c r="CK94" s="404">
        <v>-383925</v>
      </c>
      <c r="CL94" s="404"/>
      <c r="CM94" s="437">
        <v>19517.87354999996</v>
      </c>
      <c r="CO94" s="434">
        <v>-696417.97751523822</v>
      </c>
      <c r="CP94" s="437">
        <v>-375622.2255429147</v>
      </c>
      <c r="CQ94" s="437">
        <v>-624514.10102488601</v>
      </c>
      <c r="CR94" s="437">
        <v>239513.76415870216</v>
      </c>
      <c r="CS94" s="257"/>
    </row>
    <row r="95" spans="1:97" x14ac:dyDescent="0.2">
      <c r="A95" s="100">
        <v>272</v>
      </c>
      <c r="B95" s="100" t="s">
        <v>404</v>
      </c>
      <c r="C95" s="100">
        <v>48006</v>
      </c>
      <c r="D95" s="257"/>
      <c r="E95" s="257"/>
      <c r="F95" s="257"/>
      <c r="G95" s="257"/>
      <c r="H95" s="325"/>
      <c r="I95" s="257"/>
      <c r="J95" s="257"/>
      <c r="K95" s="257"/>
      <c r="L95" s="257"/>
      <c r="M95" s="257"/>
      <c r="N95" s="257"/>
      <c r="O95" s="257"/>
      <c r="P95" s="257"/>
      <c r="Q95" s="100">
        <v>3052</v>
      </c>
      <c r="R95" s="100">
        <v>573</v>
      </c>
      <c r="S95" s="100">
        <v>3841</v>
      </c>
      <c r="T95" s="100">
        <v>1918</v>
      </c>
      <c r="U95" s="100">
        <v>38622</v>
      </c>
      <c r="V95" s="100"/>
      <c r="W95" s="100"/>
      <c r="X95" s="100"/>
      <c r="Y95" s="100"/>
      <c r="Z95" s="257"/>
      <c r="AA95" s="257"/>
      <c r="AB95" s="257"/>
      <c r="AC95" s="257"/>
      <c r="AD95" s="257"/>
      <c r="AE95" s="258">
        <v>1.0339568561465162</v>
      </c>
      <c r="AG95" s="441">
        <v>1731.9166666666667</v>
      </c>
      <c r="AH95" s="443">
        <v>21854</v>
      </c>
      <c r="AJ95" s="88">
        <v>2016</v>
      </c>
      <c r="AM95" s="88">
        <v>1</v>
      </c>
      <c r="AN95" s="88">
        <v>5876</v>
      </c>
      <c r="AP95" s="88">
        <v>0</v>
      </c>
      <c r="AQ95" s="399">
        <v>0</v>
      </c>
      <c r="AR95" s="88">
        <v>1446.27</v>
      </c>
      <c r="AU95" s="399">
        <v>1219</v>
      </c>
      <c r="AV95" s="399">
        <v>14258</v>
      </c>
      <c r="AY95" s="88">
        <v>0</v>
      </c>
      <c r="AZ95" s="432">
        <v>20962</v>
      </c>
      <c r="BA95" s="440">
        <v>20001</v>
      </c>
      <c r="BC95" s="439">
        <v>0.23</v>
      </c>
      <c r="BD95" s="88">
        <v>0</v>
      </c>
      <c r="BE95" s="88">
        <v>1</v>
      </c>
      <c r="BF95" s="434">
        <v>-1715879.7185</v>
      </c>
      <c r="BG95" s="100">
        <v>-917700.12</v>
      </c>
      <c r="BH95" s="257"/>
      <c r="BI95" s="100"/>
      <c r="BJ95" s="257"/>
      <c r="BK95" s="100"/>
      <c r="BL95" s="100"/>
      <c r="BM95" s="100"/>
      <c r="BN95" s="257"/>
      <c r="BO95" s="100"/>
      <c r="BP95" s="100">
        <v>3497904</v>
      </c>
      <c r="BQ95" s="100">
        <v>1150390</v>
      </c>
      <c r="BR95" s="100">
        <v>2560170.552761876</v>
      </c>
      <c r="BS95" s="100">
        <v>94908.111185189307</v>
      </c>
      <c r="BT95" s="100">
        <v>213758.12329429368</v>
      </c>
      <c r="BU95" s="100">
        <v>1350195.8835155452</v>
      </c>
      <c r="BV95" s="100">
        <v>2318477.8260197202</v>
      </c>
      <c r="BW95" s="100">
        <v>3666399.0029617329</v>
      </c>
      <c r="BX95" s="100">
        <v>1089465.1001585778</v>
      </c>
      <c r="BY95" s="100">
        <v>1979008.618864164</v>
      </c>
      <c r="BZ95" s="257"/>
      <c r="CA95" s="100"/>
      <c r="CB95" s="257"/>
      <c r="CC95" s="257"/>
      <c r="CD95" s="257"/>
      <c r="CE95" s="100">
        <v>2506295.7796810432</v>
      </c>
      <c r="CF95" s="100">
        <v>1547086.8261575757</v>
      </c>
      <c r="CG95" s="100">
        <v>1561766.0650295035</v>
      </c>
      <c r="CH95" s="100">
        <v>7579135.5495966859</v>
      </c>
      <c r="CI95" s="257"/>
      <c r="CJ95" s="437">
        <v>9098678.0138255227</v>
      </c>
      <c r="CK95" s="404">
        <v>-961069</v>
      </c>
      <c r="CL95" s="404"/>
      <c r="CM95" s="437">
        <v>15888.20250000013</v>
      </c>
      <c r="CO95" s="434">
        <v>-9738230.4455543701</v>
      </c>
      <c r="CP95" s="437">
        <v>-4498144.4554629494</v>
      </c>
      <c r="CQ95" s="437">
        <v>-4343100.6712734578</v>
      </c>
      <c r="CR95" s="437">
        <v>1665666.7770828127</v>
      </c>
      <c r="CS95" s="257"/>
    </row>
    <row r="96" spans="1:97" x14ac:dyDescent="0.2">
      <c r="A96" s="100">
        <v>273</v>
      </c>
      <c r="B96" s="100" t="s">
        <v>405</v>
      </c>
      <c r="C96" s="100">
        <v>3999</v>
      </c>
      <c r="D96" s="257"/>
      <c r="E96" s="257"/>
      <c r="F96" s="257"/>
      <c r="G96" s="257"/>
      <c r="H96" s="325"/>
      <c r="I96" s="257"/>
      <c r="J96" s="257"/>
      <c r="K96" s="257"/>
      <c r="L96" s="257"/>
      <c r="M96" s="257"/>
      <c r="N96" s="257"/>
      <c r="O96" s="257"/>
      <c r="P96" s="257"/>
      <c r="Q96" s="100">
        <v>212</v>
      </c>
      <c r="R96" s="100">
        <v>34</v>
      </c>
      <c r="S96" s="100">
        <v>294</v>
      </c>
      <c r="T96" s="100">
        <v>135</v>
      </c>
      <c r="U96" s="100">
        <v>3324</v>
      </c>
      <c r="V96" s="100"/>
      <c r="W96" s="100"/>
      <c r="X96" s="100"/>
      <c r="Y96" s="100"/>
      <c r="Z96" s="257"/>
      <c r="AA96" s="257"/>
      <c r="AB96" s="257"/>
      <c r="AC96" s="257"/>
      <c r="AD96" s="257"/>
      <c r="AE96" s="258">
        <v>0.92791243643993393</v>
      </c>
      <c r="AG96" s="441">
        <v>196.16666666666666</v>
      </c>
      <c r="AH96" s="443">
        <v>1846</v>
      </c>
      <c r="AJ96" s="88">
        <v>79</v>
      </c>
      <c r="AM96" s="88">
        <v>0</v>
      </c>
      <c r="AN96" s="88">
        <v>29</v>
      </c>
      <c r="AP96" s="88">
        <v>0</v>
      </c>
      <c r="AQ96" s="399">
        <v>0</v>
      </c>
      <c r="AR96" s="88">
        <v>2559.29</v>
      </c>
      <c r="AU96" s="399">
        <v>157</v>
      </c>
      <c r="AV96" s="399">
        <v>1193</v>
      </c>
      <c r="AY96" s="88">
        <v>1.8112166666666667</v>
      </c>
      <c r="AZ96" s="432">
        <v>1590</v>
      </c>
      <c r="BA96" s="440">
        <v>1725</v>
      </c>
      <c r="BC96" s="439">
        <v>1.31</v>
      </c>
      <c r="BD96" s="88">
        <v>0</v>
      </c>
      <c r="BE96" s="88">
        <v>3</v>
      </c>
      <c r="BF96" s="434">
        <v>-48762.6005</v>
      </c>
      <c r="BG96" s="100">
        <v>-75399.25</v>
      </c>
      <c r="BH96" s="257"/>
      <c r="BI96" s="100"/>
      <c r="BJ96" s="257"/>
      <c r="BK96" s="100"/>
      <c r="BL96" s="100"/>
      <c r="BM96" s="100"/>
      <c r="BN96" s="257"/>
      <c r="BO96" s="100"/>
      <c r="BP96" s="100">
        <v>309744</v>
      </c>
      <c r="BQ96" s="100">
        <v>129398</v>
      </c>
      <c r="BR96" s="100">
        <v>320372.58274171664</v>
      </c>
      <c r="BS96" s="100">
        <v>19615.744552480392</v>
      </c>
      <c r="BT96" s="100">
        <v>-4306.0185481817571</v>
      </c>
      <c r="BU96" s="100">
        <v>105900.97151327858</v>
      </c>
      <c r="BV96" s="100">
        <v>256747.69033972229</v>
      </c>
      <c r="BW96" s="100">
        <v>335575.45699918334</v>
      </c>
      <c r="BX96" s="100">
        <v>129767.92647972985</v>
      </c>
      <c r="BY96" s="100">
        <v>202432.04249117911</v>
      </c>
      <c r="BZ96" s="257"/>
      <c r="CA96" s="100"/>
      <c r="CB96" s="257"/>
      <c r="CC96" s="257"/>
      <c r="CD96" s="257"/>
      <c r="CE96" s="100">
        <v>273195.96903554496</v>
      </c>
      <c r="CF96" s="100">
        <v>154725.4620348303</v>
      </c>
      <c r="CG96" s="100">
        <v>168463.13837399677</v>
      </c>
      <c r="CH96" s="100">
        <v>745315.2943174633</v>
      </c>
      <c r="CI96" s="257"/>
      <c r="CJ96" s="437">
        <v>260824.51932381504</v>
      </c>
      <c r="CK96" s="404">
        <v>-228480</v>
      </c>
      <c r="CL96" s="404"/>
      <c r="CM96" s="437">
        <v>171159.95050000001</v>
      </c>
      <c r="CO96" s="434">
        <v>-709382.42537295585</v>
      </c>
      <c r="CP96" s="437">
        <v>953219.84498829453</v>
      </c>
      <c r="CQ96" s="437">
        <v>-361789.35100659414</v>
      </c>
      <c r="CR96" s="437">
        <v>138753.51917581484</v>
      </c>
      <c r="CS96" s="257"/>
    </row>
    <row r="97" spans="1:97" x14ac:dyDescent="0.2">
      <c r="A97" s="100">
        <v>275</v>
      </c>
      <c r="B97" s="100" t="s">
        <v>406</v>
      </c>
      <c r="C97" s="100">
        <v>2521</v>
      </c>
      <c r="D97" s="257"/>
      <c r="E97" s="257"/>
      <c r="F97" s="257"/>
      <c r="G97" s="257"/>
      <c r="H97" s="325"/>
      <c r="I97" s="257"/>
      <c r="J97" s="257"/>
      <c r="K97" s="257"/>
      <c r="L97" s="257"/>
      <c r="M97" s="257"/>
      <c r="N97" s="257"/>
      <c r="O97" s="257"/>
      <c r="P97" s="257"/>
      <c r="Q97" s="100">
        <v>97</v>
      </c>
      <c r="R97" s="100">
        <v>19</v>
      </c>
      <c r="S97" s="100">
        <v>141</v>
      </c>
      <c r="T97" s="100">
        <v>90</v>
      </c>
      <c r="U97" s="100">
        <v>2174</v>
      </c>
      <c r="V97" s="100"/>
      <c r="W97" s="100"/>
      <c r="X97" s="100"/>
      <c r="Y97" s="100"/>
      <c r="Z97" s="257"/>
      <c r="AA97" s="257"/>
      <c r="AB97" s="257"/>
      <c r="AC97" s="257"/>
      <c r="AD97" s="257"/>
      <c r="AE97" s="258">
        <v>0.95537698467005394</v>
      </c>
      <c r="AG97" s="441">
        <v>108.83333333333333</v>
      </c>
      <c r="AH97" s="443">
        <v>1056</v>
      </c>
      <c r="AJ97" s="88">
        <v>30</v>
      </c>
      <c r="AM97" s="88">
        <v>0</v>
      </c>
      <c r="AN97" s="88">
        <v>0</v>
      </c>
      <c r="AP97" s="88">
        <v>0</v>
      </c>
      <c r="AQ97" s="399">
        <v>0</v>
      </c>
      <c r="AR97" s="88">
        <v>512.94000000000005</v>
      </c>
      <c r="AU97" s="399">
        <v>69</v>
      </c>
      <c r="AV97" s="399">
        <v>600</v>
      </c>
      <c r="AY97" s="88">
        <v>0.98441666666666672</v>
      </c>
      <c r="AZ97" s="432">
        <v>771</v>
      </c>
      <c r="BA97" s="440">
        <v>943</v>
      </c>
      <c r="BC97" s="439">
        <v>0</v>
      </c>
      <c r="BD97" s="88">
        <v>0</v>
      </c>
      <c r="BE97" s="88">
        <v>0</v>
      </c>
      <c r="BF97" s="434">
        <v>-85686.31</v>
      </c>
      <c r="BG97" s="100">
        <v>-49811.53</v>
      </c>
      <c r="BH97" s="257"/>
      <c r="BI97" s="100"/>
      <c r="BJ97" s="257"/>
      <c r="BK97" s="100"/>
      <c r="BL97" s="100"/>
      <c r="BM97" s="100"/>
      <c r="BN97" s="257"/>
      <c r="BO97" s="100"/>
      <c r="BP97" s="100">
        <v>294459</v>
      </c>
      <c r="BQ97" s="100">
        <v>87146</v>
      </c>
      <c r="BR97" s="100">
        <v>235915.45482719719</v>
      </c>
      <c r="BS97" s="100">
        <v>10266.407253946101</v>
      </c>
      <c r="BT97" s="100">
        <v>901.36929787630459</v>
      </c>
      <c r="BU97" s="100">
        <v>107805.71061647929</v>
      </c>
      <c r="BV97" s="100">
        <v>154011.59345537188</v>
      </c>
      <c r="BW97" s="100">
        <v>238896.83094941953</v>
      </c>
      <c r="BX97" s="100">
        <v>69074.131125764907</v>
      </c>
      <c r="BY97" s="100">
        <v>127791.46348937791</v>
      </c>
      <c r="BZ97" s="257"/>
      <c r="CA97" s="100"/>
      <c r="CB97" s="257"/>
      <c r="CC97" s="257"/>
      <c r="CD97" s="257"/>
      <c r="CE97" s="100">
        <v>182832.14522112111</v>
      </c>
      <c r="CF97" s="100">
        <v>100309.9299488399</v>
      </c>
      <c r="CG97" s="100">
        <v>89389.739050278033</v>
      </c>
      <c r="CH97" s="100">
        <v>522312.78285279009</v>
      </c>
      <c r="CI97" s="257"/>
      <c r="CJ97" s="437">
        <v>1243660.6649856942</v>
      </c>
      <c r="CK97" s="404">
        <v>-66088</v>
      </c>
      <c r="CL97" s="404"/>
      <c r="CM97" s="437">
        <v>-701.16950000000361</v>
      </c>
      <c r="CO97" s="434">
        <v>181636.64018939339</v>
      </c>
      <c r="CP97" s="437">
        <v>234704.18457487045</v>
      </c>
      <c r="CQ97" s="437">
        <v>-228074.75716119623</v>
      </c>
      <c r="CR97" s="437">
        <v>87471.273278877023</v>
      </c>
      <c r="CS97" s="257"/>
    </row>
    <row r="98" spans="1:97" x14ac:dyDescent="0.2">
      <c r="A98" s="100">
        <v>276</v>
      </c>
      <c r="B98" s="100" t="s">
        <v>407</v>
      </c>
      <c r="C98" s="100">
        <v>15157</v>
      </c>
      <c r="D98" s="257"/>
      <c r="E98" s="257"/>
      <c r="F98" s="257"/>
      <c r="G98" s="257"/>
      <c r="H98" s="325"/>
      <c r="I98" s="257"/>
      <c r="J98" s="257"/>
      <c r="K98" s="257"/>
      <c r="L98" s="257"/>
      <c r="M98" s="257"/>
      <c r="N98" s="257"/>
      <c r="O98" s="257"/>
      <c r="P98" s="257"/>
      <c r="Q98" s="100">
        <v>1041</v>
      </c>
      <c r="R98" s="100">
        <v>207</v>
      </c>
      <c r="S98" s="100">
        <v>1428</v>
      </c>
      <c r="T98" s="100">
        <v>680</v>
      </c>
      <c r="U98" s="100">
        <v>11801</v>
      </c>
      <c r="V98" s="100"/>
      <c r="W98" s="100"/>
      <c r="X98" s="100"/>
      <c r="Y98" s="100"/>
      <c r="Z98" s="257"/>
      <c r="AA98" s="257"/>
      <c r="AB98" s="257"/>
      <c r="AC98" s="257"/>
      <c r="AD98" s="257"/>
      <c r="AE98" s="258">
        <v>0.91989764524745565</v>
      </c>
      <c r="AG98" s="441">
        <v>645.66666666666663</v>
      </c>
      <c r="AH98" s="443">
        <v>7248</v>
      </c>
      <c r="AJ98" s="88">
        <v>343</v>
      </c>
      <c r="AM98" s="88">
        <v>0</v>
      </c>
      <c r="AN98" s="88">
        <v>12</v>
      </c>
      <c r="AP98" s="88">
        <v>0</v>
      </c>
      <c r="AQ98" s="399">
        <v>0</v>
      </c>
      <c r="AR98" s="88">
        <v>799.82</v>
      </c>
      <c r="AU98" s="399">
        <v>326</v>
      </c>
      <c r="AV98" s="399">
        <v>5173</v>
      </c>
      <c r="AY98" s="88">
        <v>0</v>
      </c>
      <c r="AZ98" s="432">
        <v>3850</v>
      </c>
      <c r="BA98" s="440">
        <v>6616</v>
      </c>
      <c r="BC98" s="439">
        <v>0.75</v>
      </c>
      <c r="BD98" s="88">
        <v>0</v>
      </c>
      <c r="BE98" s="88">
        <v>1</v>
      </c>
      <c r="BF98" s="434">
        <v>-470801.65250000003</v>
      </c>
      <c r="BG98" s="100">
        <v>-285402.97000000003</v>
      </c>
      <c r="BH98" s="257"/>
      <c r="BI98" s="100"/>
      <c r="BJ98" s="257"/>
      <c r="BK98" s="100"/>
      <c r="BL98" s="100"/>
      <c r="BM98" s="100"/>
      <c r="BN98" s="257"/>
      <c r="BO98" s="100"/>
      <c r="BP98" s="100">
        <v>949206</v>
      </c>
      <c r="BQ98" s="100">
        <v>298870</v>
      </c>
      <c r="BR98" s="100">
        <v>652050.1110439254</v>
      </c>
      <c r="BS98" s="100">
        <v>10525.031466713928</v>
      </c>
      <c r="BT98" s="100">
        <v>-23583.385672022665</v>
      </c>
      <c r="BU98" s="100">
        <v>307887.29031200556</v>
      </c>
      <c r="BV98" s="100">
        <v>676315.89455412445</v>
      </c>
      <c r="BW98" s="100">
        <v>1056294.2022494939</v>
      </c>
      <c r="BX98" s="100">
        <v>278307.35855505778</v>
      </c>
      <c r="BY98" s="100">
        <v>547721.41044256464</v>
      </c>
      <c r="BZ98" s="257"/>
      <c r="CA98" s="100"/>
      <c r="CB98" s="257"/>
      <c r="CC98" s="257"/>
      <c r="CD98" s="257"/>
      <c r="CE98" s="100">
        <v>709461.04497525224</v>
      </c>
      <c r="CF98" s="100">
        <v>454415.90287986922</v>
      </c>
      <c r="CG98" s="100">
        <v>462741.91413479659</v>
      </c>
      <c r="CH98" s="100">
        <v>1992420.2016603905</v>
      </c>
      <c r="CI98" s="257"/>
      <c r="CJ98" s="437">
        <v>5382986.7960403142</v>
      </c>
      <c r="CK98" s="404">
        <v>-1871180</v>
      </c>
      <c r="CL98" s="404"/>
      <c r="CM98" s="437">
        <v>-237885.9254500001</v>
      </c>
      <c r="CO98" s="434">
        <v>1188832.1994041498</v>
      </c>
      <c r="CP98" s="437">
        <v>7452.4911409760489</v>
      </c>
      <c r="CQ98" s="437">
        <v>-1371253.1115796317</v>
      </c>
      <c r="CR98" s="437">
        <v>525903.24834904366</v>
      </c>
      <c r="CS98" s="257"/>
    </row>
    <row r="99" spans="1:97" x14ac:dyDescent="0.2">
      <c r="A99" s="100">
        <v>280</v>
      </c>
      <c r="B99" s="100" t="s">
        <v>408</v>
      </c>
      <c r="C99" s="100">
        <v>2024</v>
      </c>
      <c r="D99" s="257"/>
      <c r="E99" s="257"/>
      <c r="F99" s="257"/>
      <c r="G99" s="257"/>
      <c r="H99" s="325"/>
      <c r="I99" s="257"/>
      <c r="J99" s="257"/>
      <c r="K99" s="257"/>
      <c r="L99" s="257"/>
      <c r="M99" s="257"/>
      <c r="N99" s="257"/>
      <c r="O99" s="257"/>
      <c r="P99" s="257"/>
      <c r="Q99" s="100">
        <v>83</v>
      </c>
      <c r="R99" s="100">
        <v>17</v>
      </c>
      <c r="S99" s="100">
        <v>134</v>
      </c>
      <c r="T99" s="100">
        <v>70</v>
      </c>
      <c r="U99" s="100">
        <v>1720</v>
      </c>
      <c r="V99" s="100"/>
      <c r="W99" s="100"/>
      <c r="X99" s="100"/>
      <c r="Y99" s="100"/>
      <c r="Z99" s="257"/>
      <c r="AA99" s="257"/>
      <c r="AB99" s="257"/>
      <c r="AC99" s="257"/>
      <c r="AD99" s="257"/>
      <c r="AE99" s="258">
        <v>0.67635562963070994</v>
      </c>
      <c r="AG99" s="441">
        <v>51.5</v>
      </c>
      <c r="AH99" s="443">
        <v>988</v>
      </c>
      <c r="AJ99" s="88">
        <v>242</v>
      </c>
      <c r="AM99" s="88">
        <v>3</v>
      </c>
      <c r="AN99" s="88">
        <v>1706</v>
      </c>
      <c r="AP99" s="88">
        <v>0</v>
      </c>
      <c r="AQ99" s="399">
        <v>0</v>
      </c>
      <c r="AR99" s="88">
        <v>236.27</v>
      </c>
      <c r="AU99" s="399">
        <v>99</v>
      </c>
      <c r="AV99" s="399">
        <v>567</v>
      </c>
      <c r="AY99" s="88">
        <v>1.3017666666666665</v>
      </c>
      <c r="AZ99" s="432">
        <v>670</v>
      </c>
      <c r="BA99" s="440">
        <v>896</v>
      </c>
      <c r="BC99" s="439">
        <v>0</v>
      </c>
      <c r="BD99" s="88">
        <v>0</v>
      </c>
      <c r="BE99" s="88">
        <v>0</v>
      </c>
      <c r="BF99" s="434">
        <v>-33367.665000000001</v>
      </c>
      <c r="BG99" s="100">
        <v>-39726.28</v>
      </c>
      <c r="BH99" s="257"/>
      <c r="BI99" s="100"/>
      <c r="BJ99" s="257"/>
      <c r="BK99" s="100"/>
      <c r="BL99" s="100"/>
      <c r="BM99" s="100"/>
      <c r="BN99" s="257"/>
      <c r="BO99" s="100"/>
      <c r="BP99" s="100">
        <v>215330</v>
      </c>
      <c r="BQ99" s="100">
        <v>87084</v>
      </c>
      <c r="BR99" s="100">
        <v>208552.30023377578</v>
      </c>
      <c r="BS99" s="100">
        <v>13536.378379850774</v>
      </c>
      <c r="BT99" s="100">
        <v>38525.12046635463</v>
      </c>
      <c r="BU99" s="100">
        <v>77394.821795280601</v>
      </c>
      <c r="BV99" s="100">
        <v>160512.82890616357</v>
      </c>
      <c r="BW99" s="100">
        <v>219656.99072288661</v>
      </c>
      <c r="BX99" s="100">
        <v>86132.626176750142</v>
      </c>
      <c r="BY99" s="100">
        <v>127685.51874162783</v>
      </c>
      <c r="BZ99" s="257"/>
      <c r="CA99" s="100"/>
      <c r="CB99" s="257"/>
      <c r="CC99" s="257"/>
      <c r="CD99" s="257"/>
      <c r="CE99" s="100">
        <v>178957.23232617538</v>
      </c>
      <c r="CF99" s="100">
        <v>102573.40620221374</v>
      </c>
      <c r="CG99" s="100">
        <v>106700.32270903929</v>
      </c>
      <c r="CH99" s="100">
        <v>497206.74342637084</v>
      </c>
      <c r="CI99" s="257"/>
      <c r="CJ99" s="437">
        <v>923603.7752084129</v>
      </c>
      <c r="CK99" s="404">
        <v>-292942</v>
      </c>
      <c r="CL99" s="404"/>
      <c r="CM99" s="437">
        <v>-819025.65</v>
      </c>
      <c r="CO99" s="434">
        <v>104754.44466070471</v>
      </c>
      <c r="CP99" s="437">
        <v>293314.51060526399</v>
      </c>
      <c r="CQ99" s="437">
        <v>-183111.1894066883</v>
      </c>
      <c r="CR99" s="437">
        <v>70226.837412315392</v>
      </c>
      <c r="CS99" s="257"/>
    </row>
    <row r="100" spans="1:97" x14ac:dyDescent="0.2">
      <c r="A100" s="100">
        <v>284</v>
      </c>
      <c r="B100" s="100" t="s">
        <v>409</v>
      </c>
      <c r="C100" s="100">
        <v>2227</v>
      </c>
      <c r="D100" s="257"/>
      <c r="E100" s="257"/>
      <c r="F100" s="257"/>
      <c r="G100" s="257"/>
      <c r="H100" s="325"/>
      <c r="I100" s="257"/>
      <c r="J100" s="257"/>
      <c r="K100" s="257"/>
      <c r="L100" s="257"/>
      <c r="M100" s="257"/>
      <c r="N100" s="257"/>
      <c r="O100" s="257"/>
      <c r="P100" s="257"/>
      <c r="Q100" s="100">
        <v>91</v>
      </c>
      <c r="R100" s="100">
        <v>14</v>
      </c>
      <c r="S100" s="100">
        <v>129</v>
      </c>
      <c r="T100" s="100">
        <v>80</v>
      </c>
      <c r="U100" s="100">
        <v>1913</v>
      </c>
      <c r="V100" s="100"/>
      <c r="W100" s="100"/>
      <c r="X100" s="100"/>
      <c r="Y100" s="100"/>
      <c r="Z100" s="257"/>
      <c r="AA100" s="257"/>
      <c r="AB100" s="257"/>
      <c r="AC100" s="257"/>
      <c r="AD100" s="257"/>
      <c r="AE100" s="258">
        <v>0.90346558406804323</v>
      </c>
      <c r="AG100" s="441">
        <v>62.083333333333336</v>
      </c>
      <c r="AH100" s="443">
        <v>961</v>
      </c>
      <c r="AJ100" s="88">
        <v>103</v>
      </c>
      <c r="AM100" s="88">
        <v>0</v>
      </c>
      <c r="AN100" s="88">
        <v>9</v>
      </c>
      <c r="AP100" s="88">
        <v>0</v>
      </c>
      <c r="AQ100" s="399">
        <v>0</v>
      </c>
      <c r="AR100" s="88">
        <v>191.5</v>
      </c>
      <c r="AU100" s="399">
        <v>92</v>
      </c>
      <c r="AV100" s="399">
        <v>582</v>
      </c>
      <c r="AY100" s="88">
        <v>7.1333333333333335E-3</v>
      </c>
      <c r="AZ100" s="432">
        <v>913</v>
      </c>
      <c r="BA100" s="440">
        <v>891</v>
      </c>
      <c r="BC100" s="439">
        <v>0</v>
      </c>
      <c r="BD100" s="88">
        <v>0</v>
      </c>
      <c r="BE100" s="88">
        <v>0</v>
      </c>
      <c r="BF100" s="434">
        <v>-34526.385000000002</v>
      </c>
      <c r="BG100" s="100">
        <v>-44029.32</v>
      </c>
      <c r="BH100" s="257"/>
      <c r="BI100" s="100"/>
      <c r="BJ100" s="257"/>
      <c r="BK100" s="100"/>
      <c r="BL100" s="100"/>
      <c r="BM100" s="100"/>
      <c r="BN100" s="257"/>
      <c r="BO100" s="100"/>
      <c r="BP100" s="100">
        <v>238534</v>
      </c>
      <c r="BQ100" s="100">
        <v>77683</v>
      </c>
      <c r="BR100" s="100">
        <v>183775.91836874714</v>
      </c>
      <c r="BS100" s="100">
        <v>9914.9148331244687</v>
      </c>
      <c r="BT100" s="100">
        <v>25160.51397010668</v>
      </c>
      <c r="BU100" s="100">
        <v>84042.742812826997</v>
      </c>
      <c r="BV100" s="100">
        <v>143275.3160113607</v>
      </c>
      <c r="BW100" s="100">
        <v>216829.09495528831</v>
      </c>
      <c r="BX100" s="100">
        <v>70375.328508975159</v>
      </c>
      <c r="BY100" s="100">
        <v>115007.48072680269</v>
      </c>
      <c r="BZ100" s="257"/>
      <c r="CA100" s="100"/>
      <c r="CB100" s="257"/>
      <c r="CC100" s="257"/>
      <c r="CD100" s="257"/>
      <c r="CE100" s="100">
        <v>154574.85982862662</v>
      </c>
      <c r="CF100" s="100">
        <v>90877.086570370069</v>
      </c>
      <c r="CG100" s="100">
        <v>90519.647067337777</v>
      </c>
      <c r="CH100" s="100">
        <v>507174.86370960594</v>
      </c>
      <c r="CI100" s="257"/>
      <c r="CJ100" s="437">
        <v>1115363.590252762</v>
      </c>
      <c r="CK100" s="404">
        <v>840863</v>
      </c>
      <c r="CL100" s="404"/>
      <c r="CM100" s="437">
        <v>1150216.3500000003</v>
      </c>
      <c r="CO100" s="434">
        <v>495656.02135161019</v>
      </c>
      <c r="CP100" s="437">
        <v>437005.46957016032</v>
      </c>
      <c r="CQ100" s="437">
        <v>-201476.59032050139</v>
      </c>
      <c r="CR100" s="437">
        <v>77270.33938598141</v>
      </c>
      <c r="CS100" s="257"/>
    </row>
    <row r="101" spans="1:97" x14ac:dyDescent="0.2">
      <c r="A101" s="100">
        <v>285</v>
      </c>
      <c r="B101" s="100" t="s">
        <v>410</v>
      </c>
      <c r="C101" s="100">
        <v>50617</v>
      </c>
      <c r="D101" s="257"/>
      <c r="E101" s="257"/>
      <c r="F101" s="257"/>
      <c r="G101" s="257"/>
      <c r="H101" s="325"/>
      <c r="I101" s="257"/>
      <c r="J101" s="257"/>
      <c r="K101" s="257"/>
      <c r="L101" s="257"/>
      <c r="M101" s="257"/>
      <c r="N101" s="257"/>
      <c r="O101" s="257"/>
      <c r="P101" s="257"/>
      <c r="Q101" s="100">
        <v>2002</v>
      </c>
      <c r="R101" s="100">
        <v>423</v>
      </c>
      <c r="S101" s="100">
        <v>2867</v>
      </c>
      <c r="T101" s="100">
        <v>1564</v>
      </c>
      <c r="U101" s="100">
        <v>43761</v>
      </c>
      <c r="V101" s="100"/>
      <c r="W101" s="100"/>
      <c r="X101" s="100"/>
      <c r="Y101" s="100"/>
      <c r="Z101" s="257"/>
      <c r="AA101" s="257"/>
      <c r="AB101" s="257"/>
      <c r="AC101" s="257"/>
      <c r="AD101" s="257"/>
      <c r="AE101" s="258">
        <v>0.97423682183683857</v>
      </c>
      <c r="AG101" s="441">
        <v>2914.75</v>
      </c>
      <c r="AH101" s="443">
        <v>22966</v>
      </c>
      <c r="AJ101" s="88">
        <v>4812</v>
      </c>
      <c r="AM101" s="88">
        <v>0</v>
      </c>
      <c r="AN101" s="88">
        <v>484</v>
      </c>
      <c r="AP101" s="88">
        <v>3</v>
      </c>
      <c r="AQ101" s="399">
        <v>476</v>
      </c>
      <c r="AR101" s="88">
        <v>272.13</v>
      </c>
      <c r="AU101" s="399">
        <v>2354</v>
      </c>
      <c r="AV101" s="399">
        <v>14748</v>
      </c>
      <c r="AY101" s="88">
        <v>0</v>
      </c>
      <c r="AZ101" s="432">
        <v>21545</v>
      </c>
      <c r="BA101" s="440">
        <v>19266</v>
      </c>
      <c r="BC101" s="439">
        <v>0</v>
      </c>
      <c r="BD101" s="88">
        <v>0</v>
      </c>
      <c r="BE101" s="88">
        <v>2</v>
      </c>
      <c r="BF101" s="434">
        <v>-4183953.1655999999</v>
      </c>
      <c r="BG101" s="100">
        <v>-992542.28</v>
      </c>
      <c r="BH101" s="257"/>
      <c r="BI101" s="100"/>
      <c r="BJ101" s="257"/>
      <c r="BK101" s="100"/>
      <c r="BL101" s="100"/>
      <c r="BM101" s="100"/>
      <c r="BN101" s="257"/>
      <c r="BO101" s="100"/>
      <c r="BP101" s="100">
        <v>3639803</v>
      </c>
      <c r="BQ101" s="100">
        <v>1163250</v>
      </c>
      <c r="BR101" s="100">
        <v>2606864.8577143773</v>
      </c>
      <c r="BS101" s="100">
        <v>98405.038500204086</v>
      </c>
      <c r="BT101" s="100">
        <v>187240.83452947697</v>
      </c>
      <c r="BU101" s="100">
        <v>1470501.8591478586</v>
      </c>
      <c r="BV101" s="100">
        <v>2123241.615270677</v>
      </c>
      <c r="BW101" s="100">
        <v>3781112.1653880496</v>
      </c>
      <c r="BX101" s="100">
        <v>1085904.423377082</v>
      </c>
      <c r="BY101" s="100">
        <v>2130317.2442567786</v>
      </c>
      <c r="BZ101" s="257"/>
      <c r="CA101" s="100"/>
      <c r="CB101" s="257"/>
      <c r="CC101" s="257"/>
      <c r="CD101" s="257"/>
      <c r="CE101" s="100">
        <v>2844522.7250904781</v>
      </c>
      <c r="CF101" s="100">
        <v>1560283.8845192231</v>
      </c>
      <c r="CG101" s="100">
        <v>1498583.3093870406</v>
      </c>
      <c r="CH101" s="100">
        <v>7775933.4417987112</v>
      </c>
      <c r="CI101" s="257"/>
      <c r="CJ101" s="437">
        <v>8942704.4510249775</v>
      </c>
      <c r="CK101" s="404">
        <v>-1286399</v>
      </c>
      <c r="CL101" s="404"/>
      <c r="CM101" s="437">
        <v>-743135.24050000019</v>
      </c>
      <c r="CO101" s="434">
        <v>-9381746.5097380839</v>
      </c>
      <c r="CP101" s="437">
        <v>-2383988.6197754843</v>
      </c>
      <c r="CQ101" s="437">
        <v>-4579317.7244062955</v>
      </c>
      <c r="CR101" s="437">
        <v>1756260.7852268617</v>
      </c>
      <c r="CS101" s="257"/>
    </row>
    <row r="102" spans="1:97" x14ac:dyDescent="0.2">
      <c r="A102" s="100">
        <v>286</v>
      </c>
      <c r="B102" s="100" t="s">
        <v>411</v>
      </c>
      <c r="C102" s="100">
        <v>79429</v>
      </c>
      <c r="D102" s="257"/>
      <c r="E102" s="257"/>
      <c r="F102" s="257"/>
      <c r="G102" s="257"/>
      <c r="H102" s="325"/>
      <c r="I102" s="257"/>
      <c r="J102" s="257"/>
      <c r="K102" s="257"/>
      <c r="L102" s="257"/>
      <c r="M102" s="257"/>
      <c r="N102" s="257"/>
      <c r="O102" s="257"/>
      <c r="P102" s="257"/>
      <c r="Q102" s="100">
        <v>3223</v>
      </c>
      <c r="R102" s="100">
        <v>662</v>
      </c>
      <c r="S102" s="100">
        <v>4534</v>
      </c>
      <c r="T102" s="100">
        <v>2391</v>
      </c>
      <c r="U102" s="100">
        <v>68619</v>
      </c>
      <c r="V102" s="100"/>
      <c r="W102" s="100"/>
      <c r="X102" s="100"/>
      <c r="Y102" s="100"/>
      <c r="Z102" s="257"/>
      <c r="AA102" s="257"/>
      <c r="AB102" s="257"/>
      <c r="AC102" s="257"/>
      <c r="AD102" s="257"/>
      <c r="AE102" s="258">
        <v>1.0341989282257935</v>
      </c>
      <c r="AG102" s="441">
        <v>3647.5</v>
      </c>
      <c r="AH102" s="443">
        <v>36069</v>
      </c>
      <c r="AJ102" s="88">
        <v>3705</v>
      </c>
      <c r="AM102" s="88">
        <v>0</v>
      </c>
      <c r="AN102" s="88">
        <v>287</v>
      </c>
      <c r="AP102" s="88">
        <v>0</v>
      </c>
      <c r="AQ102" s="399">
        <v>0</v>
      </c>
      <c r="AR102" s="88">
        <v>2557.63</v>
      </c>
      <c r="AU102" s="399">
        <v>2833</v>
      </c>
      <c r="AV102" s="399">
        <v>22604</v>
      </c>
      <c r="AY102" s="88">
        <v>0</v>
      </c>
      <c r="AZ102" s="432">
        <v>30241</v>
      </c>
      <c r="BA102" s="440">
        <v>31377</v>
      </c>
      <c r="BC102" s="439">
        <v>0</v>
      </c>
      <c r="BD102" s="88">
        <v>0</v>
      </c>
      <c r="BE102" s="88">
        <v>2</v>
      </c>
      <c r="BF102" s="434">
        <v>-3875814.7149999999</v>
      </c>
      <c r="BG102" s="100">
        <v>-1559602.27</v>
      </c>
      <c r="BH102" s="257"/>
      <c r="BI102" s="100"/>
      <c r="BJ102" s="257"/>
      <c r="BK102" s="100"/>
      <c r="BL102" s="100"/>
      <c r="BM102" s="100"/>
      <c r="BN102" s="257"/>
      <c r="BO102" s="100"/>
      <c r="BP102" s="100">
        <v>6029989</v>
      </c>
      <c r="BQ102" s="100">
        <v>1994317</v>
      </c>
      <c r="BR102" s="100">
        <v>4685514.5673859781</v>
      </c>
      <c r="BS102" s="100">
        <v>204266.15495217545</v>
      </c>
      <c r="BT102" s="100">
        <v>546399.83162475517</v>
      </c>
      <c r="BU102" s="100">
        <v>2240686.4328765911</v>
      </c>
      <c r="BV102" s="100">
        <v>3866084.163918898</v>
      </c>
      <c r="BW102" s="100">
        <v>6539303.3293673741</v>
      </c>
      <c r="BX102" s="100">
        <v>1904548.4230994999</v>
      </c>
      <c r="BY102" s="100">
        <v>3386639.5899784626</v>
      </c>
      <c r="BZ102" s="257"/>
      <c r="CA102" s="100"/>
      <c r="CB102" s="257"/>
      <c r="CC102" s="257"/>
      <c r="CD102" s="257"/>
      <c r="CE102" s="100">
        <v>4234185.5331035471</v>
      </c>
      <c r="CF102" s="100">
        <v>2571912.5844395114</v>
      </c>
      <c r="CG102" s="100">
        <v>2580661.6238749409</v>
      </c>
      <c r="CH102" s="100">
        <v>12913776.881532978</v>
      </c>
      <c r="CI102" s="257"/>
      <c r="CJ102" s="437">
        <v>14025074.648301022</v>
      </c>
      <c r="CK102" s="404">
        <v>-7997127</v>
      </c>
      <c r="CL102" s="404"/>
      <c r="CM102" s="437">
        <v>-143411.54050000012</v>
      </c>
      <c r="CO102" s="434">
        <v>-15065385.915309358</v>
      </c>
      <c r="CP102" s="437">
        <v>-6722797.3565898724</v>
      </c>
      <c r="CQ102" s="437">
        <v>-7185938.0747943893</v>
      </c>
      <c r="CR102" s="437">
        <v>2755952.3067306322</v>
      </c>
      <c r="CS102" s="257"/>
    </row>
    <row r="103" spans="1:97" x14ac:dyDescent="0.2">
      <c r="A103" s="100">
        <v>287</v>
      </c>
      <c r="B103" s="100" t="s">
        <v>412</v>
      </c>
      <c r="C103" s="100">
        <v>6242</v>
      </c>
      <c r="D103" s="257"/>
      <c r="E103" s="257"/>
      <c r="F103" s="257"/>
      <c r="G103" s="257"/>
      <c r="H103" s="325"/>
      <c r="I103" s="257"/>
      <c r="J103" s="257"/>
      <c r="K103" s="257"/>
      <c r="L103" s="257"/>
      <c r="M103" s="257"/>
      <c r="N103" s="257"/>
      <c r="O103" s="257"/>
      <c r="P103" s="257"/>
      <c r="Q103" s="100">
        <v>251</v>
      </c>
      <c r="R103" s="100">
        <v>61</v>
      </c>
      <c r="S103" s="100">
        <v>322</v>
      </c>
      <c r="T103" s="100">
        <v>172</v>
      </c>
      <c r="U103" s="100">
        <v>5436</v>
      </c>
      <c r="V103" s="100"/>
      <c r="W103" s="100"/>
      <c r="X103" s="100"/>
      <c r="Y103" s="100"/>
      <c r="Z103" s="257"/>
      <c r="AA103" s="257"/>
      <c r="AB103" s="257"/>
      <c r="AC103" s="257"/>
      <c r="AD103" s="257"/>
      <c r="AE103" s="258">
        <v>0.91629153220864068</v>
      </c>
      <c r="AG103" s="441">
        <v>130.16666666666666</v>
      </c>
      <c r="AH103" s="443">
        <v>2656</v>
      </c>
      <c r="AJ103" s="88">
        <v>315</v>
      </c>
      <c r="AM103" s="88">
        <v>3</v>
      </c>
      <c r="AN103" s="88">
        <v>3351</v>
      </c>
      <c r="AP103" s="88">
        <v>0</v>
      </c>
      <c r="AQ103" s="399">
        <v>0</v>
      </c>
      <c r="AR103" s="88">
        <v>683.25</v>
      </c>
      <c r="AU103" s="399">
        <v>242</v>
      </c>
      <c r="AV103" s="399">
        <v>1486</v>
      </c>
      <c r="AY103" s="88">
        <v>0.94283333333333341</v>
      </c>
      <c r="AZ103" s="432">
        <v>2383</v>
      </c>
      <c r="BA103" s="440">
        <v>2517</v>
      </c>
      <c r="BC103" s="439">
        <v>0</v>
      </c>
      <c r="BD103" s="88">
        <v>0</v>
      </c>
      <c r="BE103" s="88">
        <v>0</v>
      </c>
      <c r="BF103" s="434">
        <v>-89398.7</v>
      </c>
      <c r="BG103" s="100">
        <v>-123020.84000000001</v>
      </c>
      <c r="BH103" s="257"/>
      <c r="BI103" s="100"/>
      <c r="BJ103" s="257"/>
      <c r="BK103" s="100"/>
      <c r="BL103" s="100"/>
      <c r="BM103" s="100"/>
      <c r="BN103" s="257"/>
      <c r="BO103" s="100"/>
      <c r="BP103" s="100">
        <v>692802</v>
      </c>
      <c r="BQ103" s="100">
        <v>228414</v>
      </c>
      <c r="BR103" s="100">
        <v>568548.20017826033</v>
      </c>
      <c r="BS103" s="100">
        <v>30177.065317712404</v>
      </c>
      <c r="BT103" s="100">
        <v>84240.242776620333</v>
      </c>
      <c r="BU103" s="100">
        <v>255219.49443637565</v>
      </c>
      <c r="BV103" s="100">
        <v>392060.77922991442</v>
      </c>
      <c r="BW103" s="100">
        <v>659173.87447298644</v>
      </c>
      <c r="BX103" s="100">
        <v>219634.13547785871</v>
      </c>
      <c r="BY103" s="100">
        <v>347455.59014017653</v>
      </c>
      <c r="BZ103" s="257"/>
      <c r="CA103" s="100"/>
      <c r="CB103" s="257"/>
      <c r="CC103" s="257"/>
      <c r="CD103" s="257"/>
      <c r="CE103" s="100">
        <v>449304.16220015608</v>
      </c>
      <c r="CF103" s="100">
        <v>255308.97752183783</v>
      </c>
      <c r="CG103" s="100">
        <v>265153.30000721134</v>
      </c>
      <c r="CH103" s="100">
        <v>1437878.5543627285</v>
      </c>
      <c r="CI103" s="257"/>
      <c r="CJ103" s="437">
        <v>2241816.1854563081</v>
      </c>
      <c r="CK103" s="404">
        <v>2415642</v>
      </c>
      <c r="CL103" s="404"/>
      <c r="CM103" s="437">
        <v>613374.12749999994</v>
      </c>
      <c r="CO103" s="434">
        <v>1343461.4410168238</v>
      </c>
      <c r="CP103" s="437">
        <v>777043.6969313724</v>
      </c>
      <c r="CQ103" s="437">
        <v>-564713.46061094292</v>
      </c>
      <c r="CR103" s="437">
        <v>216579.01142671576</v>
      </c>
      <c r="CS103" s="257"/>
    </row>
    <row r="104" spans="1:97" x14ac:dyDescent="0.2">
      <c r="A104" s="100">
        <v>288</v>
      </c>
      <c r="B104" s="100" t="s">
        <v>413</v>
      </c>
      <c r="C104" s="100">
        <v>6405</v>
      </c>
      <c r="D104" s="257"/>
      <c r="E104" s="257"/>
      <c r="F104" s="257"/>
      <c r="G104" s="257"/>
      <c r="H104" s="325"/>
      <c r="I104" s="257"/>
      <c r="J104" s="257"/>
      <c r="K104" s="257"/>
      <c r="L104" s="257"/>
      <c r="M104" s="257"/>
      <c r="N104" s="257"/>
      <c r="O104" s="257"/>
      <c r="P104" s="257"/>
      <c r="Q104" s="100">
        <v>366</v>
      </c>
      <c r="R104" s="100">
        <v>64</v>
      </c>
      <c r="S104" s="100">
        <v>467</v>
      </c>
      <c r="T104" s="100">
        <v>275</v>
      </c>
      <c r="U104" s="100">
        <v>5233</v>
      </c>
      <c r="V104" s="100"/>
      <c r="W104" s="100"/>
      <c r="X104" s="100"/>
      <c r="Y104" s="100"/>
      <c r="Z104" s="257"/>
      <c r="AA104" s="257"/>
      <c r="AB104" s="257"/>
      <c r="AC104" s="257"/>
      <c r="AD104" s="257"/>
      <c r="AE104" s="258">
        <v>0.92437610844254203</v>
      </c>
      <c r="AG104" s="441">
        <v>111.75</v>
      </c>
      <c r="AH104" s="443">
        <v>2965</v>
      </c>
      <c r="AJ104" s="88">
        <v>275</v>
      </c>
      <c r="AM104" s="88">
        <v>3</v>
      </c>
      <c r="AN104" s="88">
        <v>4903</v>
      </c>
      <c r="AP104" s="88">
        <v>0</v>
      </c>
      <c r="AQ104" s="399">
        <v>0</v>
      </c>
      <c r="AR104" s="88">
        <v>712.85</v>
      </c>
      <c r="AU104" s="399">
        <v>220</v>
      </c>
      <c r="AV104" s="399">
        <v>1842</v>
      </c>
      <c r="AY104" s="88">
        <v>0</v>
      </c>
      <c r="AZ104" s="432">
        <v>2341</v>
      </c>
      <c r="BA104" s="440">
        <v>2838</v>
      </c>
      <c r="BC104" s="439">
        <v>0</v>
      </c>
      <c r="BD104" s="88">
        <v>0</v>
      </c>
      <c r="BE104" s="88">
        <v>0</v>
      </c>
      <c r="BF104" s="434">
        <v>-69717.06</v>
      </c>
      <c r="BG104" s="100">
        <v>-123251.36</v>
      </c>
      <c r="BH104" s="257"/>
      <c r="BI104" s="100"/>
      <c r="BJ104" s="257"/>
      <c r="BK104" s="100"/>
      <c r="BL104" s="100"/>
      <c r="BM104" s="100"/>
      <c r="BN104" s="257"/>
      <c r="BO104" s="100"/>
      <c r="BP104" s="100">
        <v>575682</v>
      </c>
      <c r="BQ104" s="100">
        <v>200208</v>
      </c>
      <c r="BR104" s="100">
        <v>498934.73935790296</v>
      </c>
      <c r="BS104" s="100">
        <v>26028.434395778844</v>
      </c>
      <c r="BT104" s="100">
        <v>65840.183743487374</v>
      </c>
      <c r="BU104" s="100">
        <v>210501.86059898874</v>
      </c>
      <c r="BV104" s="100">
        <v>389555.46061370778</v>
      </c>
      <c r="BW104" s="100">
        <v>647069.59538668487</v>
      </c>
      <c r="BX104" s="100">
        <v>190445.68935750786</v>
      </c>
      <c r="BY104" s="100">
        <v>321821.65584313881</v>
      </c>
      <c r="BZ104" s="257"/>
      <c r="CA104" s="100"/>
      <c r="CB104" s="257"/>
      <c r="CC104" s="257"/>
      <c r="CD104" s="257"/>
      <c r="CE104" s="100">
        <v>427756.4741443714</v>
      </c>
      <c r="CF104" s="100">
        <v>252190.36591983723</v>
      </c>
      <c r="CG104" s="100">
        <v>250217.11944363761</v>
      </c>
      <c r="CH104" s="100">
        <v>1324833.3043553284</v>
      </c>
      <c r="CI104" s="257"/>
      <c r="CJ104" s="437">
        <v>2062890.9441470727</v>
      </c>
      <c r="CK104" s="404">
        <v>106257</v>
      </c>
      <c r="CL104" s="404"/>
      <c r="CM104" s="437">
        <v>-587669.55200000003</v>
      </c>
      <c r="CO104" s="434">
        <v>2346.7919577659436</v>
      </c>
      <c r="CP104" s="437">
        <v>-228105.98497165885</v>
      </c>
      <c r="CQ104" s="437">
        <v>-579460.06331513764</v>
      </c>
      <c r="CR104" s="437">
        <v>222234.63123808306</v>
      </c>
      <c r="CS104" s="257"/>
    </row>
    <row r="105" spans="1:97" x14ac:dyDescent="0.2">
      <c r="A105" s="100">
        <v>290</v>
      </c>
      <c r="B105" s="100" t="s">
        <v>414</v>
      </c>
      <c r="C105" s="100">
        <v>7755</v>
      </c>
      <c r="D105" s="257"/>
      <c r="E105" s="257"/>
      <c r="F105" s="257"/>
      <c r="G105" s="257"/>
      <c r="H105" s="325"/>
      <c r="I105" s="257"/>
      <c r="J105" s="257"/>
      <c r="K105" s="257"/>
      <c r="L105" s="257"/>
      <c r="M105" s="257"/>
      <c r="N105" s="257"/>
      <c r="O105" s="257"/>
      <c r="P105" s="257"/>
      <c r="Q105" s="100">
        <v>229</v>
      </c>
      <c r="R105" s="100">
        <v>46</v>
      </c>
      <c r="S105" s="100">
        <v>363</v>
      </c>
      <c r="T105" s="100">
        <v>254</v>
      </c>
      <c r="U105" s="100">
        <v>6863</v>
      </c>
      <c r="V105" s="100"/>
      <c r="W105" s="100"/>
      <c r="X105" s="100"/>
      <c r="Y105" s="100"/>
      <c r="Z105" s="257"/>
      <c r="AA105" s="257"/>
      <c r="AB105" s="257"/>
      <c r="AC105" s="257"/>
      <c r="AD105" s="257"/>
      <c r="AE105" s="258">
        <v>1.0988457232013431</v>
      </c>
      <c r="AG105" s="441">
        <v>361.75</v>
      </c>
      <c r="AH105" s="443">
        <v>3179</v>
      </c>
      <c r="AJ105" s="88">
        <v>202</v>
      </c>
      <c r="AM105" s="88">
        <v>0</v>
      </c>
      <c r="AN105" s="88">
        <v>4</v>
      </c>
      <c r="AP105" s="88">
        <v>0</v>
      </c>
      <c r="AQ105" s="399">
        <v>0</v>
      </c>
      <c r="AR105" s="88">
        <v>4807.07</v>
      </c>
      <c r="AU105" s="399">
        <v>194</v>
      </c>
      <c r="AV105" s="399">
        <v>1802</v>
      </c>
      <c r="AY105" s="88">
        <v>1.4461833333333334</v>
      </c>
      <c r="AZ105" s="432">
        <v>2652</v>
      </c>
      <c r="BA105" s="440">
        <v>2726</v>
      </c>
      <c r="BC105" s="439">
        <v>0</v>
      </c>
      <c r="BD105" s="88">
        <v>0</v>
      </c>
      <c r="BE105" s="88">
        <v>0</v>
      </c>
      <c r="BF105" s="434">
        <v>-211523.07</v>
      </c>
      <c r="BG105" s="100">
        <v>-154486.82</v>
      </c>
      <c r="BH105" s="257"/>
      <c r="BI105" s="100"/>
      <c r="BJ105" s="257"/>
      <c r="BK105" s="100"/>
      <c r="BL105" s="100"/>
      <c r="BM105" s="100"/>
      <c r="BN105" s="257"/>
      <c r="BO105" s="100"/>
      <c r="BP105" s="100">
        <v>879743</v>
      </c>
      <c r="BQ105" s="100">
        <v>272146</v>
      </c>
      <c r="BR105" s="100">
        <v>703979.24392603536</v>
      </c>
      <c r="BS105" s="100">
        <v>36783.396774021327</v>
      </c>
      <c r="BT105" s="100">
        <v>141222.52031815654</v>
      </c>
      <c r="BU105" s="100">
        <v>373179.4735321675</v>
      </c>
      <c r="BV105" s="100">
        <v>459507.82671199803</v>
      </c>
      <c r="BW105" s="100">
        <v>735798.27417832101</v>
      </c>
      <c r="BX105" s="100">
        <v>213856.4882541266</v>
      </c>
      <c r="BY105" s="100">
        <v>397634.08734254126</v>
      </c>
      <c r="BZ105" s="257"/>
      <c r="CA105" s="100"/>
      <c r="CB105" s="257"/>
      <c r="CC105" s="257"/>
      <c r="CD105" s="257"/>
      <c r="CE105" s="100">
        <v>536682.60348458448</v>
      </c>
      <c r="CF105" s="100">
        <v>280999.23511552333</v>
      </c>
      <c r="CG105" s="100">
        <v>270335.14901891927</v>
      </c>
      <c r="CH105" s="100">
        <v>1702254.0793560531</v>
      </c>
      <c r="CI105" s="257"/>
      <c r="CJ105" s="437">
        <v>2869018.9494755934</v>
      </c>
      <c r="CK105" s="404">
        <v>-433702</v>
      </c>
      <c r="CL105" s="404"/>
      <c r="CM105" s="437">
        <v>-70042.357500000013</v>
      </c>
      <c r="CO105" s="434">
        <v>397021.42675954005</v>
      </c>
      <c r="CP105" s="437">
        <v>711945.79243258783</v>
      </c>
      <c r="CQ105" s="437">
        <v>-701594.50288975681</v>
      </c>
      <c r="CR105" s="437">
        <v>269075.65421566495</v>
      </c>
      <c r="CS105" s="257"/>
    </row>
    <row r="106" spans="1:97" x14ac:dyDescent="0.2">
      <c r="A106" s="100">
        <v>291</v>
      </c>
      <c r="B106" s="100" t="s">
        <v>415</v>
      </c>
      <c r="C106" s="100">
        <v>2119</v>
      </c>
      <c r="D106" s="257"/>
      <c r="E106" s="257"/>
      <c r="F106" s="257"/>
      <c r="G106" s="257"/>
      <c r="H106" s="325"/>
      <c r="I106" s="257"/>
      <c r="J106" s="257"/>
      <c r="K106" s="257"/>
      <c r="L106" s="257"/>
      <c r="M106" s="257"/>
      <c r="N106" s="257"/>
      <c r="O106" s="257"/>
      <c r="P106" s="257"/>
      <c r="Q106" s="100">
        <v>50</v>
      </c>
      <c r="R106" s="100">
        <v>17</v>
      </c>
      <c r="S106" s="100">
        <v>78</v>
      </c>
      <c r="T106" s="100">
        <v>41</v>
      </c>
      <c r="U106" s="100">
        <v>1933</v>
      </c>
      <c r="V106" s="100"/>
      <c r="W106" s="100"/>
      <c r="X106" s="100"/>
      <c r="Y106" s="100"/>
      <c r="Z106" s="257"/>
      <c r="AA106" s="257"/>
      <c r="AB106" s="257"/>
      <c r="AC106" s="257"/>
      <c r="AD106" s="257"/>
      <c r="AE106" s="258">
        <v>0.81617151876115757</v>
      </c>
      <c r="AG106" s="441">
        <v>89.166666666666671</v>
      </c>
      <c r="AH106" s="443">
        <v>787</v>
      </c>
      <c r="AJ106" s="88">
        <v>24</v>
      </c>
      <c r="AM106" s="88">
        <v>0</v>
      </c>
      <c r="AN106" s="88">
        <v>7</v>
      </c>
      <c r="AP106" s="88">
        <v>3</v>
      </c>
      <c r="AQ106" s="399">
        <v>166</v>
      </c>
      <c r="AR106" s="88">
        <v>660.93</v>
      </c>
      <c r="AU106" s="399">
        <v>62</v>
      </c>
      <c r="AV106" s="399">
        <v>453</v>
      </c>
      <c r="AY106" s="88">
        <v>1.3818166666666667</v>
      </c>
      <c r="AZ106" s="432">
        <v>588</v>
      </c>
      <c r="BA106" s="440">
        <v>692</v>
      </c>
      <c r="BC106" s="439">
        <v>0</v>
      </c>
      <c r="BD106" s="88">
        <v>0</v>
      </c>
      <c r="BE106" s="88">
        <v>2</v>
      </c>
      <c r="BF106" s="434">
        <v>-48432.53</v>
      </c>
      <c r="BG106" s="100">
        <v>-41512.810000000005</v>
      </c>
      <c r="BH106" s="257"/>
      <c r="BI106" s="100"/>
      <c r="BJ106" s="257"/>
      <c r="BK106" s="100"/>
      <c r="BL106" s="100"/>
      <c r="BM106" s="100"/>
      <c r="BN106" s="257"/>
      <c r="BO106" s="100"/>
      <c r="BP106" s="100">
        <v>263880</v>
      </c>
      <c r="BQ106" s="100">
        <v>73319</v>
      </c>
      <c r="BR106" s="100">
        <v>170391.72029912568</v>
      </c>
      <c r="BS106" s="100">
        <v>10287.71598803778</v>
      </c>
      <c r="BT106" s="100">
        <v>30345.713254875387</v>
      </c>
      <c r="BU106" s="100">
        <v>102649.1409805688</v>
      </c>
      <c r="BV106" s="100">
        <v>114930.21923193669</v>
      </c>
      <c r="BW106" s="100">
        <v>197835.3142036988</v>
      </c>
      <c r="BX106" s="100">
        <v>57829.095093288051</v>
      </c>
      <c r="BY106" s="100">
        <v>105456.41620269901</v>
      </c>
      <c r="BZ106" s="257"/>
      <c r="CA106" s="100"/>
      <c r="CB106" s="257"/>
      <c r="CC106" s="257"/>
      <c r="CD106" s="257"/>
      <c r="CE106" s="100">
        <v>133090.26226246919</v>
      </c>
      <c r="CF106" s="100">
        <v>77860.175468493384</v>
      </c>
      <c r="CG106" s="100">
        <v>67905.503257851291</v>
      </c>
      <c r="CH106" s="100">
        <v>438073.53134977981</v>
      </c>
      <c r="CI106" s="257"/>
      <c r="CJ106" s="437">
        <v>245775.68138712578</v>
      </c>
      <c r="CK106" s="404">
        <v>75207</v>
      </c>
      <c r="CL106" s="404"/>
      <c r="CM106" s="437">
        <v>-7459.2500000000018</v>
      </c>
      <c r="CO106" s="434">
        <v>1054311.1390061574</v>
      </c>
      <c r="CP106" s="437">
        <v>924472.97573058342</v>
      </c>
      <c r="CQ106" s="437">
        <v>-191705.83515453187</v>
      </c>
      <c r="CR106" s="437">
        <v>73523.057547774864</v>
      </c>
      <c r="CS106" s="257"/>
    </row>
    <row r="107" spans="1:97" x14ac:dyDescent="0.2">
      <c r="A107" s="100">
        <v>297</v>
      </c>
      <c r="B107" s="100" t="s">
        <v>416</v>
      </c>
      <c r="C107" s="100">
        <v>122594</v>
      </c>
      <c r="D107" s="257"/>
      <c r="E107" s="257"/>
      <c r="F107" s="257"/>
      <c r="G107" s="257"/>
      <c r="H107" s="325"/>
      <c r="I107" s="257"/>
      <c r="J107" s="257"/>
      <c r="K107" s="257"/>
      <c r="L107" s="257"/>
      <c r="M107" s="257"/>
      <c r="N107" s="257"/>
      <c r="O107" s="257"/>
      <c r="P107" s="257"/>
      <c r="Q107" s="100">
        <v>6265</v>
      </c>
      <c r="R107" s="100">
        <v>1139</v>
      </c>
      <c r="S107" s="100">
        <v>7520</v>
      </c>
      <c r="T107" s="100">
        <v>3556</v>
      </c>
      <c r="U107" s="100">
        <v>104114</v>
      </c>
      <c r="V107" s="100"/>
      <c r="W107" s="100"/>
      <c r="X107" s="100"/>
      <c r="Y107" s="100"/>
      <c r="Z107" s="257"/>
      <c r="AA107" s="257"/>
      <c r="AB107" s="257"/>
      <c r="AC107" s="257"/>
      <c r="AD107" s="257"/>
      <c r="AE107" s="258">
        <v>1.0845568810639923</v>
      </c>
      <c r="AG107" s="441">
        <v>5626.166666666667</v>
      </c>
      <c r="AH107" s="443">
        <v>57573</v>
      </c>
      <c r="AJ107" s="88">
        <v>6023</v>
      </c>
      <c r="AM107" s="88">
        <v>0</v>
      </c>
      <c r="AN107" s="88">
        <v>140</v>
      </c>
      <c r="AP107" s="88">
        <v>3</v>
      </c>
      <c r="AQ107" s="399">
        <v>829</v>
      </c>
      <c r="AR107" s="88">
        <v>3241.74</v>
      </c>
      <c r="AU107" s="399">
        <v>3576</v>
      </c>
      <c r="AV107" s="399">
        <v>37329</v>
      </c>
      <c r="AY107" s="88">
        <v>0</v>
      </c>
      <c r="AZ107" s="432">
        <v>54297</v>
      </c>
      <c r="BA107" s="440">
        <v>52432</v>
      </c>
      <c r="BC107" s="439">
        <v>0.92</v>
      </c>
      <c r="BD107" s="88">
        <v>0</v>
      </c>
      <c r="BE107" s="88">
        <v>0</v>
      </c>
      <c r="BF107" s="434">
        <v>-9634600.9978500009</v>
      </c>
      <c r="BG107" s="100">
        <v>-2309234.1</v>
      </c>
      <c r="BH107" s="257"/>
      <c r="BI107" s="100"/>
      <c r="BJ107" s="257"/>
      <c r="BK107" s="100"/>
      <c r="BL107" s="100"/>
      <c r="BM107" s="100"/>
      <c r="BN107" s="257"/>
      <c r="BO107" s="100"/>
      <c r="BP107" s="100">
        <v>8192552</v>
      </c>
      <c r="BQ107" s="100">
        <v>2780481</v>
      </c>
      <c r="BR107" s="100">
        <v>6685946.6703576334</v>
      </c>
      <c r="BS107" s="100">
        <v>274340.20533327683</v>
      </c>
      <c r="BT107" s="100">
        <v>542984.48595950566</v>
      </c>
      <c r="BU107" s="100">
        <v>3006730.6654707086</v>
      </c>
      <c r="BV107" s="100">
        <v>6029936.9606600516</v>
      </c>
      <c r="BW107" s="100">
        <v>8709832.9709610548</v>
      </c>
      <c r="BX107" s="100">
        <v>3071318.8947315691</v>
      </c>
      <c r="BY107" s="100">
        <v>5163829.5766633023</v>
      </c>
      <c r="BZ107" s="257"/>
      <c r="CA107" s="100"/>
      <c r="CB107" s="257"/>
      <c r="CC107" s="257"/>
      <c r="CD107" s="257"/>
      <c r="CE107" s="100">
        <v>6676813.1039691158</v>
      </c>
      <c r="CF107" s="100">
        <v>4176087.9500834094</v>
      </c>
      <c r="CG107" s="100">
        <v>4057761.5031701182</v>
      </c>
      <c r="CH107" s="100">
        <v>19210082.571614448</v>
      </c>
      <c r="CI107" s="257"/>
      <c r="CJ107" s="437">
        <v>25367351.568419885</v>
      </c>
      <c r="CK107" s="404">
        <v>-760228</v>
      </c>
      <c r="CL107" s="404"/>
      <c r="CM107" s="437">
        <v>-3011236.5672999965</v>
      </c>
      <c r="CO107" s="434">
        <v>-13124916.652892057</v>
      </c>
      <c r="CP107" s="437">
        <v>-4474986.7012361381</v>
      </c>
      <c r="CQ107" s="437">
        <v>-11091073.692748787</v>
      </c>
      <c r="CR107" s="437">
        <v>4253650.6451212419</v>
      </c>
      <c r="CS107" s="257"/>
    </row>
    <row r="108" spans="1:97" x14ac:dyDescent="0.2">
      <c r="A108" s="100">
        <v>300</v>
      </c>
      <c r="B108" s="100" t="s">
        <v>417</v>
      </c>
      <c r="C108" s="100">
        <v>3437</v>
      </c>
      <c r="D108" s="257"/>
      <c r="E108" s="257"/>
      <c r="F108" s="257"/>
      <c r="G108" s="257"/>
      <c r="H108" s="325"/>
      <c r="I108" s="257"/>
      <c r="J108" s="257"/>
      <c r="K108" s="257"/>
      <c r="L108" s="257"/>
      <c r="M108" s="257"/>
      <c r="N108" s="257"/>
      <c r="O108" s="257"/>
      <c r="P108" s="257"/>
      <c r="Q108" s="100">
        <v>146</v>
      </c>
      <c r="R108" s="100">
        <v>27</v>
      </c>
      <c r="S108" s="100">
        <v>185</v>
      </c>
      <c r="T108" s="100">
        <v>135</v>
      </c>
      <c r="U108" s="100">
        <v>2944</v>
      </c>
      <c r="V108" s="100"/>
      <c r="W108" s="100"/>
      <c r="X108" s="100"/>
      <c r="Y108" s="100"/>
      <c r="Z108" s="257"/>
      <c r="AA108" s="257"/>
      <c r="AB108" s="257"/>
      <c r="AC108" s="257"/>
      <c r="AD108" s="257"/>
      <c r="AE108" s="258">
        <v>0.95503846202598797</v>
      </c>
      <c r="AG108" s="441">
        <v>54.583333333333336</v>
      </c>
      <c r="AH108" s="443">
        <v>1478</v>
      </c>
      <c r="AJ108" s="88">
        <v>61</v>
      </c>
      <c r="AM108" s="88">
        <v>0</v>
      </c>
      <c r="AN108" s="88">
        <v>5</v>
      </c>
      <c r="AP108" s="88">
        <v>0</v>
      </c>
      <c r="AQ108" s="399">
        <v>0</v>
      </c>
      <c r="AR108" s="88">
        <v>462.37</v>
      </c>
      <c r="AU108" s="399">
        <v>110</v>
      </c>
      <c r="AV108" s="399">
        <v>895</v>
      </c>
      <c r="AY108" s="88">
        <v>0.40506666666666669</v>
      </c>
      <c r="AZ108" s="432">
        <v>1337</v>
      </c>
      <c r="BA108" s="440">
        <v>1391</v>
      </c>
      <c r="BC108" s="439">
        <v>0</v>
      </c>
      <c r="BD108" s="88">
        <v>0</v>
      </c>
      <c r="BE108" s="88">
        <v>0</v>
      </c>
      <c r="BF108" s="434">
        <v>-51817.355000000003</v>
      </c>
      <c r="BG108" s="100">
        <v>-67888.14</v>
      </c>
      <c r="BH108" s="257"/>
      <c r="BI108" s="100"/>
      <c r="BJ108" s="257"/>
      <c r="BK108" s="100"/>
      <c r="BL108" s="100"/>
      <c r="BM108" s="100"/>
      <c r="BN108" s="257"/>
      <c r="BO108" s="100"/>
      <c r="BP108" s="100">
        <v>402441</v>
      </c>
      <c r="BQ108" s="100">
        <v>120659</v>
      </c>
      <c r="BR108" s="100">
        <v>305156.29299167148</v>
      </c>
      <c r="BS108" s="100">
        <v>18450.74644536792</v>
      </c>
      <c r="BT108" s="100">
        <v>1795.9278249640176</v>
      </c>
      <c r="BU108" s="100">
        <v>137432.4563507495</v>
      </c>
      <c r="BV108" s="100">
        <v>220951.71960317195</v>
      </c>
      <c r="BW108" s="100">
        <v>351056.0725939158</v>
      </c>
      <c r="BX108" s="100">
        <v>102632.65252673901</v>
      </c>
      <c r="BY108" s="100">
        <v>178955.60971562</v>
      </c>
      <c r="BZ108" s="257"/>
      <c r="CA108" s="100"/>
      <c r="CB108" s="257"/>
      <c r="CC108" s="257"/>
      <c r="CD108" s="257"/>
      <c r="CE108" s="100">
        <v>245777.77707706019</v>
      </c>
      <c r="CF108" s="100">
        <v>136817.47891971437</v>
      </c>
      <c r="CG108" s="100">
        <v>134980.98751311164</v>
      </c>
      <c r="CH108" s="100">
        <v>766831.42610848683</v>
      </c>
      <c r="CI108" s="257"/>
      <c r="CJ108" s="437">
        <v>1855015.5503457459</v>
      </c>
      <c r="CK108" s="404">
        <v>1605144</v>
      </c>
      <c r="CL108" s="404"/>
      <c r="CM108" s="437">
        <v>389372.84999999992</v>
      </c>
      <c r="CO108" s="434">
        <v>1408655.442844271</v>
      </c>
      <c r="CP108" s="434">
        <v>718383.70633970911</v>
      </c>
      <c r="CQ108" s="434">
        <v>-310945.23616145639</v>
      </c>
      <c r="CR108" s="434">
        <v>119253.77479551779</v>
      </c>
      <c r="CS108" s="257"/>
    </row>
    <row r="109" spans="1:97" x14ac:dyDescent="0.2">
      <c r="A109" s="100">
        <v>301</v>
      </c>
      <c r="B109" s="100" t="s">
        <v>418</v>
      </c>
      <c r="C109" s="100">
        <v>19890</v>
      </c>
      <c r="D109" s="257"/>
      <c r="E109" s="257"/>
      <c r="F109" s="257"/>
      <c r="G109" s="257"/>
      <c r="H109" s="325"/>
      <c r="I109" s="257"/>
      <c r="J109" s="257"/>
      <c r="K109" s="257"/>
      <c r="L109" s="257"/>
      <c r="M109" s="257"/>
      <c r="N109" s="257"/>
      <c r="O109" s="257"/>
      <c r="P109" s="257"/>
      <c r="Q109" s="100">
        <v>897</v>
      </c>
      <c r="R109" s="100">
        <v>192</v>
      </c>
      <c r="S109" s="100">
        <v>1334</v>
      </c>
      <c r="T109" s="100">
        <v>683</v>
      </c>
      <c r="U109" s="100">
        <v>16784</v>
      </c>
      <c r="V109" s="100"/>
      <c r="W109" s="100"/>
      <c r="X109" s="100"/>
      <c r="Y109" s="100"/>
      <c r="Z109" s="257"/>
      <c r="AA109" s="257"/>
      <c r="AB109" s="257"/>
      <c r="AC109" s="257"/>
      <c r="AD109" s="257"/>
      <c r="AE109" s="258">
        <v>1.0753928569275515</v>
      </c>
      <c r="AG109" s="441">
        <v>619.41666666666663</v>
      </c>
      <c r="AH109" s="443">
        <v>8621</v>
      </c>
      <c r="AJ109" s="88">
        <v>383</v>
      </c>
      <c r="AM109" s="88">
        <v>0</v>
      </c>
      <c r="AN109" s="88">
        <v>85</v>
      </c>
      <c r="AP109" s="88">
        <v>0</v>
      </c>
      <c r="AQ109" s="399">
        <v>0</v>
      </c>
      <c r="AR109" s="88">
        <v>1724.62</v>
      </c>
      <c r="AU109" s="399">
        <v>598</v>
      </c>
      <c r="AV109" s="399">
        <v>5331</v>
      </c>
      <c r="AY109" s="88">
        <v>0</v>
      </c>
      <c r="AZ109" s="432">
        <v>6986</v>
      </c>
      <c r="BA109" s="440">
        <v>7797</v>
      </c>
      <c r="BC109" s="439">
        <v>0</v>
      </c>
      <c r="BD109" s="88">
        <v>0</v>
      </c>
      <c r="BE109" s="88">
        <v>0</v>
      </c>
      <c r="BF109" s="434">
        <v>-550234.91500000004</v>
      </c>
      <c r="BG109" s="100">
        <v>-392959.76</v>
      </c>
      <c r="BH109" s="257"/>
      <c r="BI109" s="100"/>
      <c r="BJ109" s="257"/>
      <c r="BK109" s="100"/>
      <c r="BL109" s="100"/>
      <c r="BM109" s="100"/>
      <c r="BN109" s="257"/>
      <c r="BO109" s="100"/>
      <c r="BP109" s="100">
        <v>2077689</v>
      </c>
      <c r="BQ109" s="100">
        <v>680804</v>
      </c>
      <c r="BR109" s="100">
        <v>1686262.0985350716</v>
      </c>
      <c r="BS109" s="100">
        <v>83240.06106929644</v>
      </c>
      <c r="BT109" s="100">
        <v>147392.01109430741</v>
      </c>
      <c r="BU109" s="100">
        <v>733409.50225792173</v>
      </c>
      <c r="BV109" s="100">
        <v>1300647.7488145032</v>
      </c>
      <c r="BW109" s="100">
        <v>1980529.4052533626</v>
      </c>
      <c r="BX109" s="100">
        <v>582317.83506982622</v>
      </c>
      <c r="BY109" s="100">
        <v>1046313.1277298393</v>
      </c>
      <c r="BZ109" s="257"/>
      <c r="CA109" s="100"/>
      <c r="CB109" s="257"/>
      <c r="CC109" s="257"/>
      <c r="CD109" s="257"/>
      <c r="CE109" s="100">
        <v>1428875.7360085375</v>
      </c>
      <c r="CF109" s="100">
        <v>790397.88292639551</v>
      </c>
      <c r="CG109" s="100">
        <v>789163.16519491782</v>
      </c>
      <c r="CH109" s="100">
        <v>4430386.1056627324</v>
      </c>
      <c r="CI109" s="257"/>
      <c r="CJ109" s="437">
        <v>10431056.156596472</v>
      </c>
      <c r="CK109" s="404">
        <v>-1917611</v>
      </c>
      <c r="CL109" s="404"/>
      <c r="CM109" s="437">
        <v>400054.49599999998</v>
      </c>
      <c r="CO109" s="434">
        <v>-1712165.2490845402</v>
      </c>
      <c r="CP109" s="437">
        <v>-2039012.3076953078</v>
      </c>
      <c r="CQ109" s="437">
        <v>-1799447.4097327224</v>
      </c>
      <c r="CR109" s="437">
        <v>690124.40520304011</v>
      </c>
      <c r="CS109" s="257"/>
    </row>
    <row r="110" spans="1:97" x14ac:dyDescent="0.2">
      <c r="A110" s="100">
        <v>304</v>
      </c>
      <c r="B110" s="100" t="s">
        <v>419</v>
      </c>
      <c r="C110" s="100">
        <v>950</v>
      </c>
      <c r="D110" s="257"/>
      <c r="E110" s="257"/>
      <c r="F110" s="257"/>
      <c r="G110" s="257"/>
      <c r="H110" s="325"/>
      <c r="I110" s="257"/>
      <c r="J110" s="257"/>
      <c r="K110" s="257"/>
      <c r="L110" s="257"/>
      <c r="M110" s="257"/>
      <c r="N110" s="257"/>
      <c r="O110" s="257"/>
      <c r="P110" s="257"/>
      <c r="Q110" s="100">
        <v>23</v>
      </c>
      <c r="R110" s="100">
        <v>9</v>
      </c>
      <c r="S110" s="100">
        <v>33</v>
      </c>
      <c r="T110" s="100">
        <v>17</v>
      </c>
      <c r="U110" s="100">
        <v>868</v>
      </c>
      <c r="V110" s="100"/>
      <c r="W110" s="100"/>
      <c r="X110" s="100"/>
      <c r="Y110" s="100"/>
      <c r="Z110" s="257"/>
      <c r="AA110" s="257"/>
      <c r="AB110" s="257"/>
      <c r="AC110" s="257"/>
      <c r="AD110" s="257"/>
      <c r="AE110" s="258">
        <v>0.76215789582822568</v>
      </c>
      <c r="AG110" s="441">
        <v>33.75</v>
      </c>
      <c r="AH110" s="443">
        <v>415</v>
      </c>
      <c r="AJ110" s="88">
        <v>35</v>
      </c>
      <c r="AM110" s="88">
        <v>0</v>
      </c>
      <c r="AN110" s="88">
        <v>15</v>
      </c>
      <c r="AP110" s="88">
        <v>1</v>
      </c>
      <c r="AQ110" s="399">
        <v>0</v>
      </c>
      <c r="AR110" s="88">
        <v>165.84</v>
      </c>
      <c r="AU110" s="399">
        <v>36</v>
      </c>
      <c r="AV110" s="399">
        <v>216</v>
      </c>
      <c r="AY110" s="88">
        <v>1.30155</v>
      </c>
      <c r="AZ110" s="432">
        <v>315</v>
      </c>
      <c r="BA110" s="440">
        <v>388</v>
      </c>
      <c r="BC110" s="439">
        <v>0.05</v>
      </c>
      <c r="BD110" s="88">
        <v>0</v>
      </c>
      <c r="BE110" s="88">
        <v>0</v>
      </c>
      <c r="BF110" s="434">
        <v>-17014.224999999999</v>
      </c>
      <c r="BG110" s="100">
        <v>-18480.02</v>
      </c>
      <c r="BH110" s="257"/>
      <c r="BI110" s="100"/>
      <c r="BJ110" s="257"/>
      <c r="BK110" s="100"/>
      <c r="BL110" s="100"/>
      <c r="BM110" s="100"/>
      <c r="BN110" s="257"/>
      <c r="BO110" s="100"/>
      <c r="BP110" s="100">
        <v>85842</v>
      </c>
      <c r="BQ110" s="100">
        <v>32620</v>
      </c>
      <c r="BR110" s="100">
        <v>75487.329943168224</v>
      </c>
      <c r="BS110" s="100">
        <v>4273.1891553568776</v>
      </c>
      <c r="BT110" s="100">
        <v>8143.4788131841997</v>
      </c>
      <c r="BU110" s="100">
        <v>29434.574132182515</v>
      </c>
      <c r="BV110" s="100">
        <v>45615.810298082986</v>
      </c>
      <c r="BW110" s="100">
        <v>79648.678302925182</v>
      </c>
      <c r="BX110" s="100">
        <v>28605.933380118007</v>
      </c>
      <c r="BY110" s="100">
        <v>43665.685961733012</v>
      </c>
      <c r="BZ110" s="257"/>
      <c r="CA110" s="100"/>
      <c r="CB110" s="257"/>
      <c r="CC110" s="257"/>
      <c r="CD110" s="257"/>
      <c r="CE110" s="100">
        <v>53307.657033444571</v>
      </c>
      <c r="CF110" s="100">
        <v>33698.084041973554</v>
      </c>
      <c r="CG110" s="100">
        <v>33087.165478755873</v>
      </c>
      <c r="CH110" s="100">
        <v>175022.54967830618</v>
      </c>
      <c r="CI110" s="257"/>
      <c r="CJ110" s="437">
        <v>-73328.255960873343</v>
      </c>
      <c r="CK110" s="404">
        <v>-207970</v>
      </c>
      <c r="CL110" s="404"/>
      <c r="CM110" s="437">
        <v>-241679.7</v>
      </c>
      <c r="CO110" s="434">
        <v>-267929.99604301376</v>
      </c>
      <c r="CP110" s="434">
        <v>-14286.912519806761</v>
      </c>
      <c r="CQ110" s="434">
        <v>-85946.45747843571</v>
      </c>
      <c r="CR110" s="434">
        <v>32962.201354594676</v>
      </c>
      <c r="CS110" s="257"/>
    </row>
    <row r="111" spans="1:97" x14ac:dyDescent="0.2">
      <c r="A111" s="100">
        <v>305</v>
      </c>
      <c r="B111" s="100" t="s">
        <v>420</v>
      </c>
      <c r="C111" s="100">
        <v>15146</v>
      </c>
      <c r="D111" s="257"/>
      <c r="E111" s="257"/>
      <c r="F111" s="257"/>
      <c r="G111" s="257"/>
      <c r="H111" s="325"/>
      <c r="I111" s="257"/>
      <c r="J111" s="257"/>
      <c r="K111" s="257"/>
      <c r="L111" s="257"/>
      <c r="M111" s="257"/>
      <c r="N111" s="257"/>
      <c r="O111" s="257"/>
      <c r="P111" s="257"/>
      <c r="Q111" s="100">
        <v>674</v>
      </c>
      <c r="R111" s="100">
        <v>168</v>
      </c>
      <c r="S111" s="100">
        <v>990</v>
      </c>
      <c r="T111" s="100">
        <v>549</v>
      </c>
      <c r="U111" s="100">
        <v>12765</v>
      </c>
      <c r="V111" s="100"/>
      <c r="W111" s="100"/>
      <c r="X111" s="100"/>
      <c r="Y111" s="100"/>
      <c r="Z111" s="257"/>
      <c r="AA111" s="257"/>
      <c r="AB111" s="257"/>
      <c r="AC111" s="257"/>
      <c r="AD111" s="257"/>
      <c r="AE111" s="258">
        <v>0.91615779986574186</v>
      </c>
      <c r="AG111" s="441">
        <v>569.16666666666663</v>
      </c>
      <c r="AH111" s="443">
        <v>6499</v>
      </c>
      <c r="AJ111" s="88">
        <v>495</v>
      </c>
      <c r="AM111" s="88">
        <v>0</v>
      </c>
      <c r="AN111" s="88">
        <v>41</v>
      </c>
      <c r="AP111" s="88">
        <v>0</v>
      </c>
      <c r="AQ111" s="399">
        <v>0</v>
      </c>
      <c r="AR111" s="88">
        <v>4978.8500000000004</v>
      </c>
      <c r="AU111" s="399">
        <v>464</v>
      </c>
      <c r="AV111" s="399">
        <v>4063</v>
      </c>
      <c r="AY111" s="88">
        <v>0.90171666666666672</v>
      </c>
      <c r="AZ111" s="432">
        <v>6002</v>
      </c>
      <c r="BA111" s="440">
        <v>5912</v>
      </c>
      <c r="BC111" s="439">
        <v>0.03</v>
      </c>
      <c r="BD111" s="88">
        <v>0</v>
      </c>
      <c r="BE111" s="88">
        <v>6</v>
      </c>
      <c r="BF111" s="434">
        <v>-356724.84499999997</v>
      </c>
      <c r="BG111" s="100">
        <v>-292241.73000000004</v>
      </c>
      <c r="BH111" s="257"/>
      <c r="BI111" s="100"/>
      <c r="BJ111" s="257"/>
      <c r="BK111" s="100"/>
      <c r="BL111" s="100"/>
      <c r="BM111" s="100"/>
      <c r="BN111" s="257"/>
      <c r="BO111" s="100"/>
      <c r="BP111" s="100">
        <v>1313963</v>
      </c>
      <c r="BQ111" s="100">
        <v>435634</v>
      </c>
      <c r="BR111" s="100">
        <v>1098414.4865117071</v>
      </c>
      <c r="BS111" s="100">
        <v>52714.551751714826</v>
      </c>
      <c r="BT111" s="100">
        <v>141116.00218029704</v>
      </c>
      <c r="BU111" s="100">
        <v>546955.32508172083</v>
      </c>
      <c r="BV111" s="100">
        <v>838660.79325437604</v>
      </c>
      <c r="BW111" s="100">
        <v>1266459.4287688755</v>
      </c>
      <c r="BX111" s="100">
        <v>388094.82597514911</v>
      </c>
      <c r="BY111" s="100">
        <v>695696.60555438756</v>
      </c>
      <c r="BZ111" s="257"/>
      <c r="CA111" s="100"/>
      <c r="CB111" s="257"/>
      <c r="CC111" s="257"/>
      <c r="CD111" s="257"/>
      <c r="CE111" s="100">
        <v>928099.37177820492</v>
      </c>
      <c r="CF111" s="100">
        <v>537144.29740270332</v>
      </c>
      <c r="CG111" s="100">
        <v>538113.65114000207</v>
      </c>
      <c r="CH111" s="100">
        <v>2763173.4985383735</v>
      </c>
      <c r="CI111" s="257"/>
      <c r="CJ111" s="437">
        <v>4653131.978584162</v>
      </c>
      <c r="CK111" s="404">
        <v>-1054468</v>
      </c>
      <c r="CL111" s="404"/>
      <c r="CM111" s="437">
        <v>-79918.404500000004</v>
      </c>
      <c r="CO111" s="434">
        <v>705386.39323019725</v>
      </c>
      <c r="CP111" s="437">
        <v>1274653.1189066158</v>
      </c>
      <c r="CQ111" s="437">
        <v>-1370257.9420719866</v>
      </c>
      <c r="CR111" s="437">
        <v>525521.58075441152</v>
      </c>
      <c r="CS111" s="257"/>
    </row>
    <row r="112" spans="1:97" x14ac:dyDescent="0.2">
      <c r="A112" s="100">
        <v>312</v>
      </c>
      <c r="B112" s="100" t="s">
        <v>422</v>
      </c>
      <c r="C112" s="100">
        <v>1196</v>
      </c>
      <c r="D112" s="257"/>
      <c r="E112" s="257"/>
      <c r="F112" s="257"/>
      <c r="G112" s="257"/>
      <c r="H112" s="325"/>
      <c r="I112" s="257"/>
      <c r="J112" s="257"/>
      <c r="K112" s="257"/>
      <c r="L112" s="257"/>
      <c r="M112" s="257"/>
      <c r="N112" s="257"/>
      <c r="O112" s="257"/>
      <c r="P112" s="257"/>
      <c r="Q112" s="100">
        <v>50</v>
      </c>
      <c r="R112" s="100">
        <v>13</v>
      </c>
      <c r="S112" s="100">
        <v>98</v>
      </c>
      <c r="T112" s="100">
        <v>33</v>
      </c>
      <c r="U112" s="100">
        <v>1002</v>
      </c>
      <c r="V112" s="100"/>
      <c r="W112" s="100"/>
      <c r="X112" s="100"/>
      <c r="Y112" s="100"/>
      <c r="Z112" s="257"/>
      <c r="AA112" s="257"/>
      <c r="AB112" s="257"/>
      <c r="AC112" s="257"/>
      <c r="AD112" s="257"/>
      <c r="AE112" s="258">
        <v>0.88798626319317064</v>
      </c>
      <c r="AG112" s="441">
        <v>34.333333333333336</v>
      </c>
      <c r="AH112" s="443">
        <v>493</v>
      </c>
      <c r="AJ112" s="88">
        <v>20</v>
      </c>
      <c r="AM112" s="88">
        <v>0</v>
      </c>
      <c r="AN112" s="88">
        <v>1</v>
      </c>
      <c r="AP112" s="88">
        <v>0</v>
      </c>
      <c r="AQ112" s="399">
        <v>0</v>
      </c>
      <c r="AR112" s="88">
        <v>448.22</v>
      </c>
      <c r="AU112" s="399">
        <v>43</v>
      </c>
      <c r="AV112" s="399">
        <v>269</v>
      </c>
      <c r="AY112" s="88">
        <v>1.3499166666666667</v>
      </c>
      <c r="AZ112" s="432">
        <v>410</v>
      </c>
      <c r="BA112" s="440">
        <v>413</v>
      </c>
      <c r="BC112" s="439">
        <v>0</v>
      </c>
      <c r="BD112" s="88">
        <v>0</v>
      </c>
      <c r="BE112" s="88">
        <v>0</v>
      </c>
      <c r="BF112" s="434">
        <v>-26550.51</v>
      </c>
      <c r="BG112" s="100">
        <v>-24742.48</v>
      </c>
      <c r="BH112" s="257"/>
      <c r="BI112" s="100"/>
      <c r="BJ112" s="257"/>
      <c r="BK112" s="100"/>
      <c r="BL112" s="100"/>
      <c r="BM112" s="100"/>
      <c r="BN112" s="257"/>
      <c r="BO112" s="100"/>
      <c r="BP112" s="100">
        <v>144901</v>
      </c>
      <c r="BQ112" s="100">
        <v>45985</v>
      </c>
      <c r="BR112" s="100">
        <v>129179.66506163221</v>
      </c>
      <c r="BS112" s="100">
        <v>6978.7757563079076</v>
      </c>
      <c r="BT112" s="100">
        <v>17248.587342765153</v>
      </c>
      <c r="BU112" s="100">
        <v>61124.315563230717</v>
      </c>
      <c r="BV112" s="100">
        <v>69743.672955669972</v>
      </c>
      <c r="BW112" s="100">
        <v>130961.70997997127</v>
      </c>
      <c r="BX112" s="100">
        <v>33993.843416983786</v>
      </c>
      <c r="BY112" s="100">
        <v>69898.033972014266</v>
      </c>
      <c r="BZ112" s="257"/>
      <c r="CA112" s="100"/>
      <c r="CB112" s="257"/>
      <c r="CC112" s="257"/>
      <c r="CD112" s="257"/>
      <c r="CE112" s="100">
        <v>90282.750615545679</v>
      </c>
      <c r="CF112" s="100">
        <v>52029.590349817961</v>
      </c>
      <c r="CG112" s="100">
        <v>44144.137840538402</v>
      </c>
      <c r="CH112" s="100">
        <v>292607.50031525374</v>
      </c>
      <c r="CI112" s="257"/>
      <c r="CJ112" s="437">
        <v>208500.2919736293</v>
      </c>
      <c r="CK112" s="404">
        <v>-311627</v>
      </c>
      <c r="CL112" s="404"/>
      <c r="CM112" s="437">
        <v>-8951.0999999999985</v>
      </c>
      <c r="CO112" s="434">
        <v>-92720.845587725125</v>
      </c>
      <c r="CP112" s="437">
        <v>-127271.39875370733</v>
      </c>
      <c r="CQ112" s="437">
        <v>-108202.06646758853</v>
      </c>
      <c r="CR112" s="437">
        <v>41497.676652731825</v>
      </c>
      <c r="CS112" s="257"/>
    </row>
    <row r="113" spans="1:97" x14ac:dyDescent="0.2">
      <c r="A113" s="100">
        <v>316</v>
      </c>
      <c r="B113" s="100" t="s">
        <v>423</v>
      </c>
      <c r="C113" s="100">
        <v>4198</v>
      </c>
      <c r="D113" s="257"/>
      <c r="E113" s="257"/>
      <c r="F113" s="257"/>
      <c r="G113" s="257"/>
      <c r="H113" s="325"/>
      <c r="I113" s="257"/>
      <c r="J113" s="257"/>
      <c r="K113" s="257"/>
      <c r="L113" s="257"/>
      <c r="M113" s="257"/>
      <c r="N113" s="257"/>
      <c r="O113" s="257"/>
      <c r="P113" s="257"/>
      <c r="Q113" s="100">
        <v>167</v>
      </c>
      <c r="R113" s="100">
        <v>25</v>
      </c>
      <c r="S113" s="100">
        <v>254</v>
      </c>
      <c r="T113" s="100">
        <v>134</v>
      </c>
      <c r="U113" s="100">
        <v>3618</v>
      </c>
      <c r="V113" s="100"/>
      <c r="W113" s="100"/>
      <c r="X113" s="100"/>
      <c r="Y113" s="100"/>
      <c r="Z113" s="257"/>
      <c r="AA113" s="257"/>
      <c r="AB113" s="257"/>
      <c r="AC113" s="257"/>
      <c r="AD113" s="257"/>
      <c r="AE113" s="258">
        <v>0.98150929459195102</v>
      </c>
      <c r="AG113" s="441">
        <v>182.5</v>
      </c>
      <c r="AH113" s="443">
        <v>1987</v>
      </c>
      <c r="AJ113" s="88">
        <v>161</v>
      </c>
      <c r="AM113" s="88">
        <v>0</v>
      </c>
      <c r="AN113" s="88">
        <v>19</v>
      </c>
      <c r="AP113" s="88">
        <v>0</v>
      </c>
      <c r="AQ113" s="399">
        <v>0</v>
      </c>
      <c r="AR113" s="88">
        <v>256.5</v>
      </c>
      <c r="AU113" s="399">
        <v>258</v>
      </c>
      <c r="AV113" s="399">
        <v>1219</v>
      </c>
      <c r="AY113" s="88">
        <v>0</v>
      </c>
      <c r="AZ113" s="432">
        <v>1580</v>
      </c>
      <c r="BA113" s="440">
        <v>1752</v>
      </c>
      <c r="BC113" s="439">
        <v>0</v>
      </c>
      <c r="BD113" s="88">
        <v>0</v>
      </c>
      <c r="BE113" s="88">
        <v>0</v>
      </c>
      <c r="BF113" s="434">
        <v>-305407.67</v>
      </c>
      <c r="BG113" s="100">
        <v>-83102.460000000006</v>
      </c>
      <c r="BH113" s="257"/>
      <c r="BI113" s="100"/>
      <c r="BJ113" s="257"/>
      <c r="BK113" s="100"/>
      <c r="BL113" s="100"/>
      <c r="BM113" s="100"/>
      <c r="BN113" s="257"/>
      <c r="BO113" s="100"/>
      <c r="BP113" s="100">
        <v>389680</v>
      </c>
      <c r="BQ113" s="100">
        <v>123884</v>
      </c>
      <c r="BR113" s="100">
        <v>273763.61576453398</v>
      </c>
      <c r="BS113" s="100">
        <v>13590.197081574734</v>
      </c>
      <c r="BT113" s="100">
        <v>61909.680832856684</v>
      </c>
      <c r="BU113" s="100">
        <v>128987.01462709896</v>
      </c>
      <c r="BV113" s="100">
        <v>247071.45361683314</v>
      </c>
      <c r="BW113" s="100">
        <v>415674.04633404157</v>
      </c>
      <c r="BX113" s="100">
        <v>112439.5435973581</v>
      </c>
      <c r="BY113" s="100">
        <v>194656.08423247086</v>
      </c>
      <c r="BZ113" s="257"/>
      <c r="CA113" s="100"/>
      <c r="CB113" s="257"/>
      <c r="CC113" s="257"/>
      <c r="CD113" s="257"/>
      <c r="CE113" s="100">
        <v>267585.24522862566</v>
      </c>
      <c r="CF113" s="100">
        <v>156440.36653986745</v>
      </c>
      <c r="CG113" s="100">
        <v>151920.66194798614</v>
      </c>
      <c r="CH113" s="100">
        <v>800767.03848243738</v>
      </c>
      <c r="CI113" s="257"/>
      <c r="CJ113" s="437">
        <v>1821185.3078773278</v>
      </c>
      <c r="CK113" s="404">
        <v>-932139</v>
      </c>
      <c r="CL113" s="404"/>
      <c r="CM113" s="437">
        <v>-210529.87199999997</v>
      </c>
      <c r="CO113" s="434">
        <v>-213827.08672629786</v>
      </c>
      <c r="CP113" s="437">
        <v>-176112.97313038999</v>
      </c>
      <c r="CQ113" s="437">
        <v>-379792.87209944538</v>
      </c>
      <c r="CR113" s="437">
        <v>145658.23293325101</v>
      </c>
      <c r="CS113" s="257"/>
    </row>
    <row r="114" spans="1:97" x14ac:dyDescent="0.2">
      <c r="A114" s="100">
        <v>317</v>
      </c>
      <c r="B114" s="100" t="s">
        <v>424</v>
      </c>
      <c r="C114" s="100">
        <v>2474</v>
      </c>
      <c r="D114" s="257"/>
      <c r="E114" s="257"/>
      <c r="F114" s="257"/>
      <c r="G114" s="257"/>
      <c r="H114" s="325"/>
      <c r="I114" s="257"/>
      <c r="J114" s="257"/>
      <c r="K114" s="257"/>
      <c r="L114" s="257"/>
      <c r="M114" s="257"/>
      <c r="N114" s="257"/>
      <c r="O114" s="257"/>
      <c r="P114" s="257"/>
      <c r="Q114" s="100">
        <v>130</v>
      </c>
      <c r="R114" s="100">
        <v>26</v>
      </c>
      <c r="S114" s="100">
        <v>198</v>
      </c>
      <c r="T114" s="100">
        <v>112</v>
      </c>
      <c r="U114" s="100">
        <v>2008</v>
      </c>
      <c r="V114" s="100"/>
      <c r="W114" s="100"/>
      <c r="X114" s="100"/>
      <c r="Y114" s="100"/>
      <c r="Z114" s="257"/>
      <c r="AA114" s="257"/>
      <c r="AB114" s="257"/>
      <c r="AC114" s="257"/>
      <c r="AD114" s="257"/>
      <c r="AE114" s="258">
        <v>0.81416833767843699</v>
      </c>
      <c r="AG114" s="441">
        <v>75.166666666666671</v>
      </c>
      <c r="AH114" s="443">
        <v>1016</v>
      </c>
      <c r="AJ114" s="88">
        <v>29</v>
      </c>
      <c r="AM114" s="88">
        <v>0</v>
      </c>
      <c r="AN114" s="88">
        <v>2</v>
      </c>
      <c r="AP114" s="88">
        <v>0</v>
      </c>
      <c r="AQ114" s="399">
        <v>0</v>
      </c>
      <c r="AR114" s="88">
        <v>696.5</v>
      </c>
      <c r="AU114" s="399">
        <v>91</v>
      </c>
      <c r="AV114" s="399">
        <v>578</v>
      </c>
      <c r="AY114" s="88">
        <v>1.2173500000000002</v>
      </c>
      <c r="AZ114" s="432">
        <v>999</v>
      </c>
      <c r="BA114" s="440">
        <v>912</v>
      </c>
      <c r="BC114" s="439">
        <v>0</v>
      </c>
      <c r="BD114" s="88">
        <v>0</v>
      </c>
      <c r="BE114" s="88">
        <v>0</v>
      </c>
      <c r="BF114" s="434">
        <v>-65554.464999999997</v>
      </c>
      <c r="BG114" s="100">
        <v>-48754.98</v>
      </c>
      <c r="BH114" s="257"/>
      <c r="BI114" s="100"/>
      <c r="BJ114" s="257"/>
      <c r="BK114" s="100"/>
      <c r="BL114" s="100"/>
      <c r="BM114" s="100"/>
      <c r="BN114" s="257"/>
      <c r="BO114" s="100"/>
      <c r="BP114" s="100">
        <v>296680</v>
      </c>
      <c r="BQ114" s="100">
        <v>93301</v>
      </c>
      <c r="BR114" s="100">
        <v>241156.9708270324</v>
      </c>
      <c r="BS114" s="100">
        <v>12942.928733045273</v>
      </c>
      <c r="BT114" s="100">
        <v>34878.62628951513</v>
      </c>
      <c r="BU114" s="100">
        <v>119431.05590188224</v>
      </c>
      <c r="BV114" s="100">
        <v>172131.00315916064</v>
      </c>
      <c r="BW114" s="100">
        <v>235013.86050171551</v>
      </c>
      <c r="BX114" s="100">
        <v>78449.331645717946</v>
      </c>
      <c r="BY114" s="100">
        <v>136398.27916938005</v>
      </c>
      <c r="BZ114" s="257"/>
      <c r="CA114" s="100"/>
      <c r="CB114" s="257"/>
      <c r="CC114" s="257"/>
      <c r="CD114" s="257"/>
      <c r="CE114" s="100">
        <v>188629.82254182707</v>
      </c>
      <c r="CF114" s="100">
        <v>103257.26256105775</v>
      </c>
      <c r="CG114" s="100">
        <v>104314.36724106102</v>
      </c>
      <c r="CH114" s="100">
        <v>597229.63158571674</v>
      </c>
      <c r="CI114" s="257"/>
      <c r="CJ114" s="437">
        <v>1502394.7495131327</v>
      </c>
      <c r="CK114" s="404">
        <v>54351</v>
      </c>
      <c r="CL114" s="404"/>
      <c r="CM114" s="437">
        <v>-37296.25</v>
      </c>
      <c r="CO114" s="434">
        <v>603167.07771725534</v>
      </c>
      <c r="CP114" s="437">
        <v>226162.50970394525</v>
      </c>
      <c r="CQ114" s="437">
        <v>-223822.66926489468</v>
      </c>
      <c r="CR114" s="437">
        <v>85840.511738176036</v>
      </c>
      <c r="CS114" s="257"/>
    </row>
    <row r="115" spans="1:97" x14ac:dyDescent="0.2">
      <c r="A115" s="100">
        <v>398</v>
      </c>
      <c r="B115" s="100" t="s">
        <v>427</v>
      </c>
      <c r="C115" s="100">
        <v>120175</v>
      </c>
      <c r="D115" s="257"/>
      <c r="E115" s="257"/>
      <c r="F115" s="257"/>
      <c r="G115" s="257"/>
      <c r="H115" s="325"/>
      <c r="I115" s="257"/>
      <c r="J115" s="257"/>
      <c r="K115" s="257"/>
      <c r="L115" s="257"/>
      <c r="M115" s="257"/>
      <c r="N115" s="257"/>
      <c r="O115" s="257"/>
      <c r="P115" s="257"/>
      <c r="Q115" s="100">
        <v>5822</v>
      </c>
      <c r="R115" s="100">
        <v>1061</v>
      </c>
      <c r="S115" s="100">
        <v>7276</v>
      </c>
      <c r="T115" s="100">
        <v>3873</v>
      </c>
      <c r="U115" s="100">
        <v>102143</v>
      </c>
      <c r="V115" s="100"/>
      <c r="W115" s="100"/>
      <c r="X115" s="100"/>
      <c r="Y115" s="100"/>
      <c r="Z115" s="257"/>
      <c r="AA115" s="257"/>
      <c r="AB115" s="257"/>
      <c r="AC115" s="257"/>
      <c r="AD115" s="257"/>
      <c r="AE115" s="258">
        <v>1.1034681153842663</v>
      </c>
      <c r="AG115" s="441">
        <v>7654.5</v>
      </c>
      <c r="AH115" s="443">
        <v>55809</v>
      </c>
      <c r="AJ115" s="88">
        <v>10018</v>
      </c>
      <c r="AM115" s="88">
        <v>0</v>
      </c>
      <c r="AN115" s="88">
        <v>506</v>
      </c>
      <c r="AP115" s="88">
        <v>0</v>
      </c>
      <c r="AQ115" s="399">
        <v>0</v>
      </c>
      <c r="AR115" s="88">
        <v>459.5</v>
      </c>
      <c r="AU115" s="399">
        <v>5701</v>
      </c>
      <c r="AV115" s="399">
        <v>36690</v>
      </c>
      <c r="AY115" s="88">
        <v>0</v>
      </c>
      <c r="AZ115" s="432">
        <v>50872</v>
      </c>
      <c r="BA115" s="440">
        <v>47946</v>
      </c>
      <c r="BC115" s="439">
        <v>0.1</v>
      </c>
      <c r="BD115" s="88">
        <v>0</v>
      </c>
      <c r="BE115" s="88">
        <v>21</v>
      </c>
      <c r="BF115" s="434">
        <v>-11503541.45875</v>
      </c>
      <c r="BG115" s="100">
        <v>-2304892.64</v>
      </c>
      <c r="BH115" s="257"/>
      <c r="BI115" s="100"/>
      <c r="BJ115" s="257"/>
      <c r="BK115" s="100"/>
      <c r="BL115" s="100"/>
      <c r="BM115" s="100"/>
      <c r="BN115" s="257"/>
      <c r="BO115" s="100"/>
      <c r="BP115" s="100">
        <v>8053889</v>
      </c>
      <c r="BQ115" s="100">
        <v>2744547</v>
      </c>
      <c r="BR115" s="100">
        <v>6470503.7430433687</v>
      </c>
      <c r="BS115" s="100">
        <v>262175.49585462728</v>
      </c>
      <c r="BT115" s="100">
        <v>117375.99346749118</v>
      </c>
      <c r="BU115" s="100">
        <v>3024360.3881341554</v>
      </c>
      <c r="BV115" s="100">
        <v>5639445.0988301244</v>
      </c>
      <c r="BW115" s="100">
        <v>8570366.7796735</v>
      </c>
      <c r="BX115" s="100">
        <v>2792435.931143376</v>
      </c>
      <c r="BY115" s="100">
        <v>4955703.4512135433</v>
      </c>
      <c r="BZ115" s="257"/>
      <c r="CA115" s="100"/>
      <c r="CB115" s="257"/>
      <c r="CC115" s="257"/>
      <c r="CD115" s="257"/>
      <c r="CE115" s="100">
        <v>6448426.1231816737</v>
      </c>
      <c r="CF115" s="100">
        <v>3859549.9066037489</v>
      </c>
      <c r="CG115" s="100">
        <v>3788662.6302005113</v>
      </c>
      <c r="CH115" s="100">
        <v>18224255.371812128</v>
      </c>
      <c r="CI115" s="257"/>
      <c r="CJ115" s="437">
        <v>23182373.443431057</v>
      </c>
      <c r="CK115" s="404">
        <v>-2421666</v>
      </c>
      <c r="CL115" s="404"/>
      <c r="CM115" s="437">
        <v>-8236005.572100007</v>
      </c>
      <c r="CO115" s="434">
        <v>9513565.8256448787</v>
      </c>
      <c r="CP115" s="437">
        <v>14243489.501497801</v>
      </c>
      <c r="CQ115" s="437">
        <v>-10872226.871022118</v>
      </c>
      <c r="CR115" s="437">
        <v>4169718.4713562266</v>
      </c>
      <c r="CS115" s="257"/>
    </row>
    <row r="116" spans="1:97" x14ac:dyDescent="0.2">
      <c r="A116" s="100">
        <v>399</v>
      </c>
      <c r="B116" s="100" t="s">
        <v>428</v>
      </c>
      <c r="C116" s="100">
        <v>7817</v>
      </c>
      <c r="D116" s="257"/>
      <c r="E116" s="257"/>
      <c r="F116" s="257"/>
      <c r="G116" s="257"/>
      <c r="H116" s="325"/>
      <c r="I116" s="257"/>
      <c r="J116" s="257"/>
      <c r="K116" s="257"/>
      <c r="L116" s="257"/>
      <c r="M116" s="257"/>
      <c r="N116" s="257"/>
      <c r="O116" s="257"/>
      <c r="P116" s="257"/>
      <c r="Q116" s="100">
        <v>422</v>
      </c>
      <c r="R116" s="100">
        <v>91</v>
      </c>
      <c r="S116" s="100">
        <v>728</v>
      </c>
      <c r="T116" s="100">
        <v>345</v>
      </c>
      <c r="U116" s="100">
        <v>6231</v>
      </c>
      <c r="V116" s="100"/>
      <c r="W116" s="100"/>
      <c r="X116" s="100"/>
      <c r="Y116" s="100"/>
      <c r="Z116" s="257"/>
      <c r="AA116" s="257"/>
      <c r="AB116" s="257"/>
      <c r="AC116" s="257"/>
      <c r="AD116" s="257"/>
      <c r="AE116" s="258">
        <v>0.75922605671521681</v>
      </c>
      <c r="AG116" s="441">
        <v>188.66666666666666</v>
      </c>
      <c r="AH116" s="443">
        <v>3656</v>
      </c>
      <c r="AJ116" s="88">
        <v>140</v>
      </c>
      <c r="AM116" s="88">
        <v>0</v>
      </c>
      <c r="AN116" s="88">
        <v>90</v>
      </c>
      <c r="AP116" s="88">
        <v>0</v>
      </c>
      <c r="AQ116" s="399">
        <v>0</v>
      </c>
      <c r="AR116" s="88">
        <v>505.16</v>
      </c>
      <c r="AU116" s="399">
        <v>204</v>
      </c>
      <c r="AV116" s="399">
        <v>2547</v>
      </c>
      <c r="AY116" s="88">
        <v>0</v>
      </c>
      <c r="AZ116" s="432">
        <v>1776</v>
      </c>
      <c r="BA116" s="440">
        <v>3394</v>
      </c>
      <c r="BC116" s="439">
        <v>0</v>
      </c>
      <c r="BD116" s="88">
        <v>0</v>
      </c>
      <c r="BE116" s="88">
        <v>0</v>
      </c>
      <c r="BF116" s="434">
        <v>-171381.715</v>
      </c>
      <c r="BG116" s="100">
        <v>-153603.16</v>
      </c>
      <c r="BH116" s="257"/>
      <c r="BI116" s="100"/>
      <c r="BJ116" s="257"/>
      <c r="BK116" s="100"/>
      <c r="BL116" s="100"/>
      <c r="BM116" s="100"/>
      <c r="BN116" s="257"/>
      <c r="BO116" s="100"/>
      <c r="BP116" s="100">
        <v>630442</v>
      </c>
      <c r="BQ116" s="100">
        <v>196494</v>
      </c>
      <c r="BR116" s="100">
        <v>488277.61159213737</v>
      </c>
      <c r="BS116" s="100">
        <v>13438.707080138607</v>
      </c>
      <c r="BT116" s="100">
        <v>56865.719571891517</v>
      </c>
      <c r="BU116" s="100">
        <v>183097.91458002324</v>
      </c>
      <c r="BV116" s="100">
        <v>402271.60290042392</v>
      </c>
      <c r="BW116" s="100">
        <v>650793.64443367044</v>
      </c>
      <c r="BX116" s="100">
        <v>171958.51660430492</v>
      </c>
      <c r="BY116" s="100">
        <v>332204.5728419575</v>
      </c>
      <c r="BZ116" s="257"/>
      <c r="CA116" s="100"/>
      <c r="CB116" s="257"/>
      <c r="CC116" s="257"/>
      <c r="CD116" s="257"/>
      <c r="CE116" s="100">
        <v>434540.94731835771</v>
      </c>
      <c r="CF116" s="100">
        <v>262891.72609692113</v>
      </c>
      <c r="CG116" s="100">
        <v>262524.05321612995</v>
      </c>
      <c r="CH116" s="100">
        <v>1277787.5579741742</v>
      </c>
      <c r="CI116" s="257"/>
      <c r="CJ116" s="437">
        <v>2911680.0782160889</v>
      </c>
      <c r="CK116" s="404">
        <v>-404342</v>
      </c>
      <c r="CL116" s="404"/>
      <c r="CM116" s="437">
        <v>62105.71550000002</v>
      </c>
      <c r="CO116" s="434">
        <v>-1523096.9655276879</v>
      </c>
      <c r="CP116" s="434">
        <v>-1681107.9735297423</v>
      </c>
      <c r="CQ116" s="434">
        <v>-707203.64011466526</v>
      </c>
      <c r="CR116" s="434">
        <v>271226.87156722799</v>
      </c>
      <c r="CS116" s="257"/>
    </row>
    <row r="117" spans="1:97" x14ac:dyDescent="0.2">
      <c r="A117" s="100">
        <v>400</v>
      </c>
      <c r="B117" s="100" t="s">
        <v>429</v>
      </c>
      <c r="C117" s="100">
        <v>8366</v>
      </c>
      <c r="D117" s="257"/>
      <c r="E117" s="257"/>
      <c r="F117" s="257"/>
      <c r="G117" s="257"/>
      <c r="H117" s="325"/>
      <c r="I117" s="257"/>
      <c r="J117" s="257"/>
      <c r="K117" s="257"/>
      <c r="L117" s="257"/>
      <c r="M117" s="257"/>
      <c r="N117" s="257"/>
      <c r="O117" s="257"/>
      <c r="P117" s="257"/>
      <c r="Q117" s="100">
        <v>418</v>
      </c>
      <c r="R117" s="100">
        <v>89</v>
      </c>
      <c r="S117" s="100">
        <v>627</v>
      </c>
      <c r="T117" s="100">
        <v>306</v>
      </c>
      <c r="U117" s="100">
        <v>6926</v>
      </c>
      <c r="V117" s="100"/>
      <c r="W117" s="100"/>
      <c r="X117" s="100"/>
      <c r="Y117" s="100"/>
      <c r="Z117" s="257"/>
      <c r="AA117" s="257"/>
      <c r="AB117" s="257"/>
      <c r="AC117" s="257"/>
      <c r="AD117" s="257"/>
      <c r="AE117" s="258">
        <v>0.79537706749982973</v>
      </c>
      <c r="AG117" s="441">
        <v>281.91666666666669</v>
      </c>
      <c r="AH117" s="443">
        <v>3930</v>
      </c>
      <c r="AJ117" s="88">
        <v>821</v>
      </c>
      <c r="AM117" s="88">
        <v>0</v>
      </c>
      <c r="AN117" s="88">
        <v>25</v>
      </c>
      <c r="AP117" s="88">
        <v>0</v>
      </c>
      <c r="AQ117" s="399">
        <v>0</v>
      </c>
      <c r="AR117" s="88">
        <v>531.88</v>
      </c>
      <c r="AU117" s="399">
        <v>560</v>
      </c>
      <c r="AV117" s="399">
        <v>2595</v>
      </c>
      <c r="AY117" s="88">
        <v>0</v>
      </c>
      <c r="AZ117" s="432">
        <v>3453</v>
      </c>
      <c r="BA117" s="440">
        <v>3613</v>
      </c>
      <c r="BC117" s="439">
        <v>0</v>
      </c>
      <c r="BD117" s="88">
        <v>0</v>
      </c>
      <c r="BE117" s="88">
        <v>0</v>
      </c>
      <c r="BF117" s="434">
        <v>-173197.495</v>
      </c>
      <c r="BG117" s="100">
        <v>-162670.28</v>
      </c>
      <c r="BH117" s="257"/>
      <c r="BI117" s="100"/>
      <c r="BJ117" s="257"/>
      <c r="BK117" s="100"/>
      <c r="BL117" s="100"/>
      <c r="BM117" s="100"/>
      <c r="BN117" s="257"/>
      <c r="BO117" s="100"/>
      <c r="BP117" s="100">
        <v>739591</v>
      </c>
      <c r="BQ117" s="100">
        <v>245424</v>
      </c>
      <c r="BR117" s="100">
        <v>599915.16302027856</v>
      </c>
      <c r="BS117" s="100">
        <v>28362.250534183589</v>
      </c>
      <c r="BT117" s="100">
        <v>66734.710210224977</v>
      </c>
      <c r="BU117" s="100">
        <v>271181.82292428904</v>
      </c>
      <c r="BV117" s="100">
        <v>489938.90179089195</v>
      </c>
      <c r="BW117" s="100">
        <v>793644.9780317354</v>
      </c>
      <c r="BX117" s="100">
        <v>232345.14997021123</v>
      </c>
      <c r="BY117" s="100">
        <v>403381.89974042116</v>
      </c>
      <c r="BZ117" s="257"/>
      <c r="CA117" s="100"/>
      <c r="CB117" s="257"/>
      <c r="CC117" s="257"/>
      <c r="CD117" s="257"/>
      <c r="CE117" s="100">
        <v>551483.99093799328</v>
      </c>
      <c r="CF117" s="100">
        <v>343548.02898840891</v>
      </c>
      <c r="CG117" s="100">
        <v>315003.03618434741</v>
      </c>
      <c r="CH117" s="100">
        <v>1704563.8904844206</v>
      </c>
      <c r="CI117" s="257"/>
      <c r="CJ117" s="437">
        <v>2823877.6300907177</v>
      </c>
      <c r="CK117" s="404">
        <v>1959626</v>
      </c>
      <c r="CL117" s="404"/>
      <c r="CM117" s="437">
        <v>248169.2475</v>
      </c>
      <c r="CO117" s="434">
        <v>1536725.6861348208</v>
      </c>
      <c r="CP117" s="437">
        <v>1088816.6993576081</v>
      </c>
      <c r="CQ117" s="437">
        <v>-756871.64554167702</v>
      </c>
      <c r="CR117" s="437">
        <v>290275.55424477794</v>
      </c>
      <c r="CS117" s="257"/>
    </row>
    <row r="118" spans="1:97" x14ac:dyDescent="0.2">
      <c r="A118" s="100">
        <v>407</v>
      </c>
      <c r="B118" s="100" t="s">
        <v>433</v>
      </c>
      <c r="C118" s="100">
        <v>2518</v>
      </c>
      <c r="D118" s="257"/>
      <c r="E118" s="257"/>
      <c r="F118" s="257"/>
      <c r="G118" s="257"/>
      <c r="H118" s="325"/>
      <c r="I118" s="257"/>
      <c r="J118" s="257"/>
      <c r="K118" s="257"/>
      <c r="L118" s="257"/>
      <c r="M118" s="257"/>
      <c r="N118" s="257"/>
      <c r="O118" s="257"/>
      <c r="P118" s="257"/>
      <c r="Q118" s="100">
        <v>123</v>
      </c>
      <c r="R118" s="100">
        <v>36</v>
      </c>
      <c r="S118" s="100">
        <v>140</v>
      </c>
      <c r="T118" s="100">
        <v>91</v>
      </c>
      <c r="U118" s="100">
        <v>2128</v>
      </c>
      <c r="V118" s="100"/>
      <c r="W118" s="100"/>
      <c r="X118" s="100"/>
      <c r="Y118" s="100"/>
      <c r="Z118" s="257"/>
      <c r="AA118" s="257"/>
      <c r="AB118" s="257"/>
      <c r="AC118" s="257"/>
      <c r="AD118" s="257"/>
      <c r="AE118" s="258">
        <v>0.91433609038195374</v>
      </c>
      <c r="AG118" s="441">
        <v>115.08333333333333</v>
      </c>
      <c r="AH118" s="443">
        <v>1169</v>
      </c>
      <c r="AJ118" s="88">
        <v>173</v>
      </c>
      <c r="AM118" s="88">
        <v>1</v>
      </c>
      <c r="AN118" s="88">
        <v>751</v>
      </c>
      <c r="AP118" s="88">
        <v>0</v>
      </c>
      <c r="AQ118" s="399">
        <v>0</v>
      </c>
      <c r="AR118" s="88">
        <v>329.89</v>
      </c>
      <c r="AU118" s="399">
        <v>163</v>
      </c>
      <c r="AV118" s="399">
        <v>722</v>
      </c>
      <c r="AY118" s="88">
        <v>0.19713333333333333</v>
      </c>
      <c r="AZ118" s="432">
        <v>799</v>
      </c>
      <c r="BA118" s="440">
        <v>1037</v>
      </c>
      <c r="BC118" s="439">
        <v>0</v>
      </c>
      <c r="BD118" s="88">
        <v>0</v>
      </c>
      <c r="BE118" s="88">
        <v>0</v>
      </c>
      <c r="BF118" s="434">
        <v>-100673.985</v>
      </c>
      <c r="BG118" s="100">
        <v>-50349.41</v>
      </c>
      <c r="BH118" s="257"/>
      <c r="BI118" s="100"/>
      <c r="BJ118" s="257"/>
      <c r="BK118" s="100"/>
      <c r="BL118" s="100"/>
      <c r="BM118" s="100"/>
      <c r="BN118" s="257"/>
      <c r="BO118" s="100"/>
      <c r="BP118" s="100">
        <v>266070</v>
      </c>
      <c r="BQ118" s="100">
        <v>86843</v>
      </c>
      <c r="BR118" s="100">
        <v>215737.08744909434</v>
      </c>
      <c r="BS118" s="100">
        <v>10073.129408609553</v>
      </c>
      <c r="BT118" s="100">
        <v>43753.060374109133</v>
      </c>
      <c r="BU118" s="100">
        <v>86084.274449258723</v>
      </c>
      <c r="BV118" s="100">
        <v>157534.16499683561</v>
      </c>
      <c r="BW118" s="100">
        <v>288427.13641734491</v>
      </c>
      <c r="BX118" s="100">
        <v>80419.069269676475</v>
      </c>
      <c r="BY118" s="100">
        <v>136460.93930966299</v>
      </c>
      <c r="BZ118" s="257"/>
      <c r="CA118" s="100"/>
      <c r="CB118" s="257"/>
      <c r="CC118" s="257"/>
      <c r="CD118" s="257"/>
      <c r="CE118" s="100">
        <v>183935.80408534728</v>
      </c>
      <c r="CF118" s="100">
        <v>105383.38737483059</v>
      </c>
      <c r="CG118" s="100">
        <v>105196.79286940781</v>
      </c>
      <c r="CH118" s="100">
        <v>631405.69131634757</v>
      </c>
      <c r="CI118" s="257"/>
      <c r="CJ118" s="437">
        <v>1207003.5748764575</v>
      </c>
      <c r="CK118" s="404">
        <v>-463605</v>
      </c>
      <c r="CL118" s="404"/>
      <c r="CM118" s="437">
        <v>-869748.54999999993</v>
      </c>
      <c r="CO118" s="434">
        <v>218828.3207711225</v>
      </c>
      <c r="CP118" s="437">
        <v>55101.398329936121</v>
      </c>
      <c r="CQ118" s="437">
        <v>-227803.34729547487</v>
      </c>
      <c r="CR118" s="437">
        <v>87367.182116704629</v>
      </c>
      <c r="CS118" s="257"/>
    </row>
    <row r="119" spans="1:97" x14ac:dyDescent="0.2">
      <c r="A119" s="100">
        <v>402</v>
      </c>
      <c r="B119" s="100" t="s">
        <v>430</v>
      </c>
      <c r="C119" s="100">
        <v>9099</v>
      </c>
      <c r="D119" s="257"/>
      <c r="E119" s="257"/>
      <c r="F119" s="257"/>
      <c r="G119" s="257"/>
      <c r="H119" s="325"/>
      <c r="I119" s="257"/>
      <c r="J119" s="257"/>
      <c r="K119" s="257"/>
      <c r="L119" s="257"/>
      <c r="M119" s="257"/>
      <c r="N119" s="257"/>
      <c r="O119" s="257"/>
      <c r="P119" s="257"/>
      <c r="Q119" s="100">
        <v>387</v>
      </c>
      <c r="R119" s="100">
        <v>70</v>
      </c>
      <c r="S119" s="100">
        <v>586</v>
      </c>
      <c r="T119" s="100">
        <v>352</v>
      </c>
      <c r="U119" s="100">
        <v>7704</v>
      </c>
      <c r="V119" s="100"/>
      <c r="W119" s="100"/>
      <c r="X119" s="100"/>
      <c r="Y119" s="100"/>
      <c r="Z119" s="257"/>
      <c r="AA119" s="257"/>
      <c r="AB119" s="257"/>
      <c r="AC119" s="257"/>
      <c r="AD119" s="257"/>
      <c r="AE119" s="258">
        <v>0.94699860744405673</v>
      </c>
      <c r="AG119" s="441">
        <v>393.08333333333331</v>
      </c>
      <c r="AH119" s="443">
        <v>4072</v>
      </c>
      <c r="AJ119" s="88">
        <v>214</v>
      </c>
      <c r="AM119" s="88">
        <v>0</v>
      </c>
      <c r="AN119" s="88">
        <v>11</v>
      </c>
      <c r="AP119" s="88">
        <v>0</v>
      </c>
      <c r="AQ119" s="399">
        <v>0</v>
      </c>
      <c r="AR119" s="88">
        <v>1096.71</v>
      </c>
      <c r="AU119" s="399">
        <v>336</v>
      </c>
      <c r="AV119" s="399">
        <v>2542</v>
      </c>
      <c r="AY119" s="88">
        <v>0.42025000000000001</v>
      </c>
      <c r="AZ119" s="432">
        <v>2759</v>
      </c>
      <c r="BA119" s="440">
        <v>3567</v>
      </c>
      <c r="BC119" s="439">
        <v>0</v>
      </c>
      <c r="BD119" s="88">
        <v>0</v>
      </c>
      <c r="BE119" s="88">
        <v>0</v>
      </c>
      <c r="BF119" s="434">
        <v>-364921.51500000001</v>
      </c>
      <c r="BG119" s="100">
        <v>-179767.18000000002</v>
      </c>
      <c r="BH119" s="257"/>
      <c r="BI119" s="100"/>
      <c r="BJ119" s="257"/>
      <c r="BK119" s="100"/>
      <c r="BL119" s="100"/>
      <c r="BM119" s="100"/>
      <c r="BN119" s="257"/>
      <c r="BO119" s="100"/>
      <c r="BP119" s="100">
        <v>958412</v>
      </c>
      <c r="BQ119" s="100">
        <v>288726</v>
      </c>
      <c r="BR119" s="100">
        <v>687361.07363778411</v>
      </c>
      <c r="BS119" s="100">
        <v>29107.534124884838</v>
      </c>
      <c r="BT119" s="100">
        <v>88418.254182641511</v>
      </c>
      <c r="BU119" s="100">
        <v>332831.15187680483</v>
      </c>
      <c r="BV119" s="100">
        <v>530175.95071211283</v>
      </c>
      <c r="BW119" s="100">
        <v>829064.53109672817</v>
      </c>
      <c r="BX119" s="100">
        <v>247037.21744427693</v>
      </c>
      <c r="BY119" s="100">
        <v>448973.02594657306</v>
      </c>
      <c r="BZ119" s="257"/>
      <c r="CA119" s="100"/>
      <c r="CB119" s="257"/>
      <c r="CC119" s="257"/>
      <c r="CD119" s="257"/>
      <c r="CE119" s="100">
        <v>636059.39353613171</v>
      </c>
      <c r="CF119" s="100">
        <v>350457.2032952205</v>
      </c>
      <c r="CG119" s="100">
        <v>338391.2877663282</v>
      </c>
      <c r="CH119" s="100">
        <v>1894969.8595900368</v>
      </c>
      <c r="CI119" s="257"/>
      <c r="CJ119" s="437">
        <v>5021466.3466851758</v>
      </c>
      <c r="CK119" s="404">
        <v>-281517</v>
      </c>
      <c r="CL119" s="404"/>
      <c r="CM119" s="437">
        <v>287210.96200000006</v>
      </c>
      <c r="CO119" s="434">
        <v>-1870815.0638287519</v>
      </c>
      <c r="CP119" s="437">
        <v>-1581776.6995717972</v>
      </c>
      <c r="CQ119" s="437">
        <v>-823186.12273293326</v>
      </c>
      <c r="CR119" s="437">
        <v>315708.49486890208</v>
      </c>
      <c r="CS119" s="257"/>
    </row>
    <row r="120" spans="1:97" x14ac:dyDescent="0.2">
      <c r="A120" s="100">
        <v>403</v>
      </c>
      <c r="B120" s="100" t="s">
        <v>431</v>
      </c>
      <c r="C120" s="100">
        <v>2820</v>
      </c>
      <c r="D120" s="257"/>
      <c r="E120" s="257"/>
      <c r="F120" s="257"/>
      <c r="G120" s="257"/>
      <c r="H120" s="325"/>
      <c r="I120" s="257"/>
      <c r="J120" s="257"/>
      <c r="K120" s="257"/>
      <c r="L120" s="257"/>
      <c r="M120" s="257"/>
      <c r="N120" s="257"/>
      <c r="O120" s="257"/>
      <c r="P120" s="257"/>
      <c r="Q120" s="100">
        <v>113</v>
      </c>
      <c r="R120" s="100">
        <v>32</v>
      </c>
      <c r="S120" s="100">
        <v>174</v>
      </c>
      <c r="T120" s="100">
        <v>98</v>
      </c>
      <c r="U120" s="100">
        <v>2403</v>
      </c>
      <c r="V120" s="100"/>
      <c r="W120" s="100"/>
      <c r="X120" s="100"/>
      <c r="Y120" s="100"/>
      <c r="Z120" s="257"/>
      <c r="AA120" s="257"/>
      <c r="AB120" s="257"/>
      <c r="AC120" s="257"/>
      <c r="AD120" s="257"/>
      <c r="AE120" s="258">
        <v>1.0412650704152877</v>
      </c>
      <c r="AG120" s="441">
        <v>67.083333333333329</v>
      </c>
      <c r="AH120" s="443">
        <v>1103</v>
      </c>
      <c r="AJ120" s="88">
        <v>140</v>
      </c>
      <c r="AM120" s="88">
        <v>0</v>
      </c>
      <c r="AN120" s="88">
        <v>11</v>
      </c>
      <c r="AP120" s="88">
        <v>0</v>
      </c>
      <c r="AQ120" s="399">
        <v>0</v>
      </c>
      <c r="AR120" s="88">
        <v>420.89</v>
      </c>
      <c r="AU120" s="399">
        <v>87</v>
      </c>
      <c r="AV120" s="399">
        <v>661</v>
      </c>
      <c r="AY120" s="88">
        <v>0.9875166666666666</v>
      </c>
      <c r="AZ120" s="432">
        <v>839</v>
      </c>
      <c r="BA120" s="440">
        <v>971</v>
      </c>
      <c r="BC120" s="439">
        <v>0</v>
      </c>
      <c r="BD120" s="88">
        <v>0</v>
      </c>
      <c r="BE120" s="88">
        <v>0</v>
      </c>
      <c r="BF120" s="434">
        <v>-49586.425000000003</v>
      </c>
      <c r="BG120" s="100">
        <v>-56189.25</v>
      </c>
      <c r="BH120" s="257"/>
      <c r="BI120" s="100"/>
      <c r="BJ120" s="257"/>
      <c r="BK120" s="100"/>
      <c r="BL120" s="100"/>
      <c r="BM120" s="100"/>
      <c r="BN120" s="257"/>
      <c r="BO120" s="100"/>
      <c r="BP120" s="100">
        <v>344633</v>
      </c>
      <c r="BQ120" s="100">
        <v>101443</v>
      </c>
      <c r="BR120" s="100">
        <v>292774.96621069574</v>
      </c>
      <c r="BS120" s="100">
        <v>17263.521425798896</v>
      </c>
      <c r="BT120" s="100">
        <v>43252.75609648673</v>
      </c>
      <c r="BU120" s="100">
        <v>132095.14889464315</v>
      </c>
      <c r="BV120" s="100">
        <v>189115.0652921132</v>
      </c>
      <c r="BW120" s="100">
        <v>300305.97934636351</v>
      </c>
      <c r="BX120" s="100">
        <v>92165.833590875278</v>
      </c>
      <c r="BY120" s="100">
        <v>155718.07021177432</v>
      </c>
      <c r="BZ120" s="257"/>
      <c r="CA120" s="100"/>
      <c r="CB120" s="257"/>
      <c r="CC120" s="257"/>
      <c r="CD120" s="257"/>
      <c r="CE120" s="100">
        <v>210110.42957606629</v>
      </c>
      <c r="CF120" s="100">
        <v>114076.3068294636</v>
      </c>
      <c r="CG120" s="100">
        <v>112308.07030802236</v>
      </c>
      <c r="CH120" s="100">
        <v>668174.99185478769</v>
      </c>
      <c r="CI120" s="257"/>
      <c r="CJ120" s="437">
        <v>1528250.9533130785</v>
      </c>
      <c r="CK120" s="404">
        <v>68284</v>
      </c>
      <c r="CL120" s="404"/>
      <c r="CM120" s="437">
        <v>-38788.100000000006</v>
      </c>
      <c r="CO120" s="434">
        <v>275495.32735071267</v>
      </c>
      <c r="CP120" s="437">
        <v>-5031.9878603363068</v>
      </c>
      <c r="CQ120" s="437">
        <v>-255125.27377809337</v>
      </c>
      <c r="CR120" s="437">
        <v>97845.692442059983</v>
      </c>
      <c r="CS120" s="257"/>
    </row>
    <row r="121" spans="1:97" x14ac:dyDescent="0.2">
      <c r="A121" s="100">
        <v>405</v>
      </c>
      <c r="B121" s="100" t="s">
        <v>432</v>
      </c>
      <c r="C121" s="100">
        <v>72650</v>
      </c>
      <c r="D121" s="257"/>
      <c r="E121" s="257"/>
      <c r="F121" s="257"/>
      <c r="G121" s="257"/>
      <c r="H121" s="325"/>
      <c r="I121" s="257"/>
      <c r="J121" s="257"/>
      <c r="K121" s="257"/>
      <c r="L121" s="257"/>
      <c r="M121" s="257"/>
      <c r="N121" s="257"/>
      <c r="O121" s="257"/>
      <c r="P121" s="257"/>
      <c r="Q121" s="100">
        <v>3172</v>
      </c>
      <c r="R121" s="100">
        <v>629</v>
      </c>
      <c r="S121" s="100">
        <v>4349</v>
      </c>
      <c r="T121" s="100">
        <v>2195</v>
      </c>
      <c r="U121" s="100">
        <v>62305</v>
      </c>
      <c r="V121" s="100"/>
      <c r="W121" s="100"/>
      <c r="X121" s="100"/>
      <c r="Y121" s="100"/>
      <c r="Z121" s="257"/>
      <c r="AA121" s="257"/>
      <c r="AB121" s="257"/>
      <c r="AC121" s="257"/>
      <c r="AD121" s="257"/>
      <c r="AE121" s="258">
        <v>1.1484079748932419</v>
      </c>
      <c r="AG121" s="441">
        <v>3364.1666666666665</v>
      </c>
      <c r="AH121" s="443">
        <v>33319</v>
      </c>
      <c r="AJ121" s="88">
        <v>6446</v>
      </c>
      <c r="AM121" s="88">
        <v>0</v>
      </c>
      <c r="AN121" s="88">
        <v>124</v>
      </c>
      <c r="AP121" s="88">
        <v>0</v>
      </c>
      <c r="AQ121" s="399">
        <v>0</v>
      </c>
      <c r="AR121" s="88">
        <v>1433.99</v>
      </c>
      <c r="AU121" s="399">
        <v>2731</v>
      </c>
      <c r="AV121" s="399">
        <v>21583</v>
      </c>
      <c r="AY121" s="88">
        <v>0</v>
      </c>
      <c r="AZ121" s="432">
        <v>31532</v>
      </c>
      <c r="BA121" s="440">
        <v>29377</v>
      </c>
      <c r="BC121" s="439">
        <v>0.01</v>
      </c>
      <c r="BD121" s="88">
        <v>0</v>
      </c>
      <c r="BE121" s="88">
        <v>2</v>
      </c>
      <c r="BF121" s="434">
        <v>-4549494.0915000001</v>
      </c>
      <c r="BG121" s="100">
        <v>-1395837.02</v>
      </c>
      <c r="BH121" s="257"/>
      <c r="BI121" s="100"/>
      <c r="BJ121" s="257"/>
      <c r="BK121" s="100"/>
      <c r="BL121" s="100"/>
      <c r="BM121" s="100"/>
      <c r="BN121" s="257"/>
      <c r="BO121" s="100"/>
      <c r="BP121" s="100">
        <v>5098431</v>
      </c>
      <c r="BQ121" s="100">
        <v>1727824</v>
      </c>
      <c r="BR121" s="100">
        <v>4014176.8117610975</v>
      </c>
      <c r="BS121" s="100">
        <v>165037.33740353709</v>
      </c>
      <c r="BT121" s="100">
        <v>403872.25324905419</v>
      </c>
      <c r="BU121" s="100">
        <v>1978357.3557773354</v>
      </c>
      <c r="BV121" s="100">
        <v>3604287.8033408341</v>
      </c>
      <c r="BW121" s="100">
        <v>5400271.8362803282</v>
      </c>
      <c r="BX121" s="100">
        <v>1799754.4576979543</v>
      </c>
      <c r="BY121" s="100">
        <v>3080522.5380868055</v>
      </c>
      <c r="BZ121" s="257"/>
      <c r="CA121" s="100"/>
      <c r="CB121" s="257"/>
      <c r="CC121" s="257"/>
      <c r="CD121" s="257"/>
      <c r="CE121" s="100">
        <v>3906566.6862919768</v>
      </c>
      <c r="CF121" s="100">
        <v>2440255.3923524325</v>
      </c>
      <c r="CG121" s="100">
        <v>2382133.1219214201</v>
      </c>
      <c r="CH121" s="100">
        <v>11535024.477791898</v>
      </c>
      <c r="CI121" s="257"/>
      <c r="CJ121" s="437">
        <v>13144798.914696461</v>
      </c>
      <c r="CK121" s="404">
        <v>-5760832</v>
      </c>
      <c r="CL121" s="404"/>
      <c r="CM121" s="437">
        <v>-1996896.4234500001</v>
      </c>
      <c r="CO121" s="434">
        <v>-1920982.049424272</v>
      </c>
      <c r="CP121" s="437">
        <v>1728668.2516668222</v>
      </c>
      <c r="CQ121" s="437">
        <v>-6572642.2482193206</v>
      </c>
      <c r="CR121" s="437">
        <v>2520740.9772750558</v>
      </c>
      <c r="CS121" s="257"/>
    </row>
    <row r="122" spans="1:97" x14ac:dyDescent="0.2">
      <c r="A122" s="100">
        <v>408</v>
      </c>
      <c r="B122" s="100" t="s">
        <v>434</v>
      </c>
      <c r="C122" s="100">
        <v>14099</v>
      </c>
      <c r="D122" s="257"/>
      <c r="E122" s="257"/>
      <c r="F122" s="257"/>
      <c r="G122" s="257"/>
      <c r="H122" s="325"/>
      <c r="I122" s="257"/>
      <c r="J122" s="257"/>
      <c r="K122" s="257"/>
      <c r="L122" s="257"/>
      <c r="M122" s="257"/>
      <c r="N122" s="257"/>
      <c r="O122" s="257"/>
      <c r="P122" s="257"/>
      <c r="Q122" s="100">
        <v>741</v>
      </c>
      <c r="R122" s="100">
        <v>170</v>
      </c>
      <c r="S122" s="100">
        <v>1119</v>
      </c>
      <c r="T122" s="100">
        <v>563</v>
      </c>
      <c r="U122" s="100">
        <v>11506</v>
      </c>
      <c r="V122" s="100"/>
      <c r="W122" s="100"/>
      <c r="X122" s="100"/>
      <c r="Y122" s="100"/>
      <c r="Z122" s="257"/>
      <c r="AA122" s="257"/>
      <c r="AB122" s="257"/>
      <c r="AC122" s="257"/>
      <c r="AD122" s="257"/>
      <c r="AE122" s="258">
        <v>1.0058498981382205</v>
      </c>
      <c r="AG122" s="441">
        <v>342.75</v>
      </c>
      <c r="AH122" s="443">
        <v>6270</v>
      </c>
      <c r="AJ122" s="88">
        <v>411</v>
      </c>
      <c r="AM122" s="88">
        <v>0</v>
      </c>
      <c r="AN122" s="88">
        <v>22</v>
      </c>
      <c r="AP122" s="88">
        <v>0</v>
      </c>
      <c r="AQ122" s="399">
        <v>0</v>
      </c>
      <c r="AR122" s="88">
        <v>737.16</v>
      </c>
      <c r="AU122" s="399">
        <v>422</v>
      </c>
      <c r="AV122" s="399">
        <v>4245</v>
      </c>
      <c r="AY122" s="88">
        <v>0</v>
      </c>
      <c r="AZ122" s="432">
        <v>4497</v>
      </c>
      <c r="BA122" s="440">
        <v>5807</v>
      </c>
      <c r="BC122" s="439">
        <v>0</v>
      </c>
      <c r="BD122" s="88">
        <v>0</v>
      </c>
      <c r="BE122" s="88">
        <v>0</v>
      </c>
      <c r="BF122" s="434">
        <v>-497929.39</v>
      </c>
      <c r="BG122" s="100">
        <v>-273185.41000000003</v>
      </c>
      <c r="BH122" s="257"/>
      <c r="BI122" s="100"/>
      <c r="BJ122" s="257"/>
      <c r="BK122" s="100"/>
      <c r="BL122" s="100"/>
      <c r="BM122" s="100"/>
      <c r="BN122" s="257"/>
      <c r="BO122" s="100"/>
      <c r="BP122" s="100">
        <v>1158445</v>
      </c>
      <c r="BQ122" s="100">
        <v>386915</v>
      </c>
      <c r="BR122" s="100">
        <v>964292.59465748887</v>
      </c>
      <c r="BS122" s="100">
        <v>40385.642318928454</v>
      </c>
      <c r="BT122" s="100">
        <v>123093.3811491682</v>
      </c>
      <c r="BU122" s="100">
        <v>419128.21563631925</v>
      </c>
      <c r="BV122" s="100">
        <v>779181.72149064229</v>
      </c>
      <c r="BW122" s="100">
        <v>1226683.438706409</v>
      </c>
      <c r="BX122" s="100">
        <v>340504.40546555363</v>
      </c>
      <c r="BY122" s="100">
        <v>640987.21071604337</v>
      </c>
      <c r="BZ122" s="257"/>
      <c r="CA122" s="100"/>
      <c r="CB122" s="257"/>
      <c r="CC122" s="257"/>
      <c r="CD122" s="257"/>
      <c r="CE122" s="100">
        <v>858364.1379680133</v>
      </c>
      <c r="CF122" s="100">
        <v>495348.96301279042</v>
      </c>
      <c r="CG122" s="100">
        <v>494637.54456375039</v>
      </c>
      <c r="CH122" s="100">
        <v>2549923.147527352</v>
      </c>
      <c r="CI122" s="257"/>
      <c r="CJ122" s="437">
        <v>6061294.160336988</v>
      </c>
      <c r="CK122" s="404">
        <v>76763</v>
      </c>
      <c r="CL122" s="404"/>
      <c r="CM122" s="437">
        <v>-19319.45749999996</v>
      </c>
      <c r="CO122" s="434">
        <v>578082.1376279851</v>
      </c>
      <c r="CP122" s="437">
        <v>-139272.04868598023</v>
      </c>
      <c r="CQ122" s="437">
        <v>-1275535.8989352265</v>
      </c>
      <c r="CR122" s="437">
        <v>489193.76515624247</v>
      </c>
      <c r="CS122" s="257"/>
    </row>
    <row r="123" spans="1:97" x14ac:dyDescent="0.2">
      <c r="A123" s="100">
        <v>410</v>
      </c>
      <c r="B123" s="100" t="s">
        <v>435</v>
      </c>
      <c r="C123" s="100">
        <v>18775</v>
      </c>
      <c r="D123" s="257"/>
      <c r="E123" s="257"/>
      <c r="F123" s="257"/>
      <c r="G123" s="257"/>
      <c r="H123" s="325"/>
      <c r="I123" s="257"/>
      <c r="J123" s="257"/>
      <c r="K123" s="257"/>
      <c r="L123" s="257"/>
      <c r="M123" s="257"/>
      <c r="N123" s="257"/>
      <c r="O123" s="257"/>
      <c r="P123" s="257"/>
      <c r="Q123" s="100">
        <v>1227</v>
      </c>
      <c r="R123" s="100">
        <v>291</v>
      </c>
      <c r="S123" s="100">
        <v>1937</v>
      </c>
      <c r="T123" s="100">
        <v>882</v>
      </c>
      <c r="U123" s="100">
        <v>14438</v>
      </c>
      <c r="V123" s="100"/>
      <c r="W123" s="100"/>
      <c r="X123" s="100"/>
      <c r="Y123" s="100"/>
      <c r="Z123" s="257"/>
      <c r="AA123" s="257"/>
      <c r="AB123" s="257"/>
      <c r="AC123" s="257"/>
      <c r="AD123" s="257"/>
      <c r="AE123" s="258">
        <v>0.92186211342627478</v>
      </c>
      <c r="AG123" s="441">
        <v>736.83333333333337</v>
      </c>
      <c r="AH123" s="443">
        <v>8460</v>
      </c>
      <c r="AJ123" s="88">
        <v>277</v>
      </c>
      <c r="AM123" s="88">
        <v>0</v>
      </c>
      <c r="AN123" s="88">
        <v>26</v>
      </c>
      <c r="AP123" s="88">
        <v>0</v>
      </c>
      <c r="AQ123" s="399">
        <v>0</v>
      </c>
      <c r="AR123" s="88">
        <v>648.51</v>
      </c>
      <c r="AU123" s="399">
        <v>486</v>
      </c>
      <c r="AV123" s="399">
        <v>5990</v>
      </c>
      <c r="AY123" s="88">
        <v>0</v>
      </c>
      <c r="AZ123" s="432">
        <v>5226</v>
      </c>
      <c r="BA123" s="440">
        <v>7619</v>
      </c>
      <c r="BC123" s="439">
        <v>0</v>
      </c>
      <c r="BD123" s="88">
        <v>0</v>
      </c>
      <c r="BE123" s="88">
        <v>2</v>
      </c>
      <c r="BF123" s="434">
        <v>-679201.03625</v>
      </c>
      <c r="BG123" s="100">
        <v>-361589.83</v>
      </c>
      <c r="BH123" s="257"/>
      <c r="BI123" s="100"/>
      <c r="BJ123" s="257"/>
      <c r="BK123" s="100"/>
      <c r="BL123" s="100"/>
      <c r="BM123" s="100"/>
      <c r="BN123" s="257"/>
      <c r="BO123" s="100"/>
      <c r="BP123" s="100">
        <v>1303995</v>
      </c>
      <c r="BQ123" s="100">
        <v>416357</v>
      </c>
      <c r="BR123" s="100">
        <v>855099.59973532311</v>
      </c>
      <c r="BS123" s="100">
        <v>20238.895043797431</v>
      </c>
      <c r="BT123" s="100">
        <v>20659.495845095145</v>
      </c>
      <c r="BU123" s="100">
        <v>443704.67546912801</v>
      </c>
      <c r="BV123" s="100">
        <v>862823.33421523066</v>
      </c>
      <c r="BW123" s="100">
        <v>1423658.3558661467</v>
      </c>
      <c r="BX123" s="100">
        <v>329080.52114859771</v>
      </c>
      <c r="BY123" s="100">
        <v>707053.80691465898</v>
      </c>
      <c r="BZ123" s="257"/>
      <c r="CA123" s="100"/>
      <c r="CB123" s="257"/>
      <c r="CC123" s="257"/>
      <c r="CD123" s="257"/>
      <c r="CE123" s="100">
        <v>878122.61911998317</v>
      </c>
      <c r="CF123" s="100">
        <v>572510.26800445758</v>
      </c>
      <c r="CG123" s="100">
        <v>562502.01727804972</v>
      </c>
      <c r="CH123" s="100">
        <v>2612728.8128052256</v>
      </c>
      <c r="CI123" s="257"/>
      <c r="CJ123" s="437">
        <v>7591844.1539063724</v>
      </c>
      <c r="CK123" s="404">
        <v>-1358625</v>
      </c>
      <c r="CL123" s="404"/>
      <c r="CM123" s="437">
        <v>237835.20254999999</v>
      </c>
      <c r="CO123" s="434">
        <v>-3720568.2790627135</v>
      </c>
      <c r="CP123" s="437">
        <v>-2827077.4072613851</v>
      </c>
      <c r="CQ123" s="437">
        <v>-1698573.4096396111</v>
      </c>
      <c r="CR123" s="437">
        <v>651437.1899289632</v>
      </c>
      <c r="CS123" s="257"/>
    </row>
    <row r="124" spans="1:97" x14ac:dyDescent="0.2">
      <c r="A124" s="100">
        <v>416</v>
      </c>
      <c r="B124" s="100" t="s">
        <v>436</v>
      </c>
      <c r="C124" s="100">
        <v>2886</v>
      </c>
      <c r="D124" s="257"/>
      <c r="E124" s="257"/>
      <c r="F124" s="257"/>
      <c r="G124" s="257"/>
      <c r="H124" s="325"/>
      <c r="I124" s="257"/>
      <c r="J124" s="257"/>
      <c r="K124" s="257"/>
      <c r="L124" s="257"/>
      <c r="M124" s="257"/>
      <c r="N124" s="257"/>
      <c r="O124" s="257"/>
      <c r="P124" s="257"/>
      <c r="Q124" s="100">
        <v>148</v>
      </c>
      <c r="R124" s="100">
        <v>34</v>
      </c>
      <c r="S124" s="100">
        <v>236</v>
      </c>
      <c r="T124" s="100">
        <v>113</v>
      </c>
      <c r="U124" s="100">
        <v>2355</v>
      </c>
      <c r="V124" s="100"/>
      <c r="W124" s="100"/>
      <c r="X124" s="100"/>
      <c r="Y124" s="100"/>
      <c r="Z124" s="257"/>
      <c r="AA124" s="257"/>
      <c r="AB124" s="257"/>
      <c r="AC124" s="257"/>
      <c r="AD124" s="257"/>
      <c r="AE124" s="258">
        <v>0.91800136752846706</v>
      </c>
      <c r="AG124" s="441">
        <v>103.41666666666667</v>
      </c>
      <c r="AH124" s="443">
        <v>1342</v>
      </c>
      <c r="AJ124" s="88">
        <v>76</v>
      </c>
      <c r="AM124" s="88">
        <v>0</v>
      </c>
      <c r="AN124" s="88">
        <v>3</v>
      </c>
      <c r="AP124" s="88">
        <v>0</v>
      </c>
      <c r="AQ124" s="399">
        <v>0</v>
      </c>
      <c r="AR124" s="88">
        <v>217.96</v>
      </c>
      <c r="AU124" s="399">
        <v>97</v>
      </c>
      <c r="AV124" s="399">
        <v>886</v>
      </c>
      <c r="AY124" s="88">
        <v>0</v>
      </c>
      <c r="AZ124" s="432">
        <v>493</v>
      </c>
      <c r="BA124" s="440">
        <v>1185</v>
      </c>
      <c r="BC124" s="439">
        <v>0</v>
      </c>
      <c r="BD124" s="88">
        <v>0</v>
      </c>
      <c r="BE124" s="88">
        <v>0</v>
      </c>
      <c r="BF124" s="434">
        <v>-93404.71</v>
      </c>
      <c r="BG124" s="100">
        <v>-56938.44</v>
      </c>
      <c r="BH124" s="257"/>
      <c r="BI124" s="100"/>
      <c r="BJ124" s="257"/>
      <c r="BK124" s="100"/>
      <c r="BL124" s="100"/>
      <c r="BM124" s="100"/>
      <c r="BN124" s="257"/>
      <c r="BO124" s="100"/>
      <c r="BP124" s="100">
        <v>279320</v>
      </c>
      <c r="BQ124" s="100">
        <v>82236</v>
      </c>
      <c r="BR124" s="100">
        <v>190087.50948810115</v>
      </c>
      <c r="BS124" s="100">
        <v>5433.9903436895065</v>
      </c>
      <c r="BT124" s="100">
        <v>12855.739432420762</v>
      </c>
      <c r="BU124" s="100">
        <v>85809.04218262987</v>
      </c>
      <c r="BV124" s="100">
        <v>150215.59532392293</v>
      </c>
      <c r="BW124" s="100">
        <v>236626.36320856414</v>
      </c>
      <c r="BX124" s="100">
        <v>65877.87675757242</v>
      </c>
      <c r="BY124" s="100">
        <v>122636.70339636307</v>
      </c>
      <c r="BZ124" s="257"/>
      <c r="CA124" s="100"/>
      <c r="CB124" s="257"/>
      <c r="CC124" s="257"/>
      <c r="CD124" s="257"/>
      <c r="CE124" s="100">
        <v>171760.77178995038</v>
      </c>
      <c r="CF124" s="100">
        <v>101282.43888344728</v>
      </c>
      <c r="CG124" s="100">
        <v>93918.493291873965</v>
      </c>
      <c r="CH124" s="100">
        <v>503954.63766664377</v>
      </c>
      <c r="CI124" s="257"/>
      <c r="CJ124" s="437">
        <v>1323982.288958454</v>
      </c>
      <c r="CK124" s="404">
        <v>-706411</v>
      </c>
      <c r="CL124" s="404"/>
      <c r="CM124" s="437">
        <v>26256.559999999998</v>
      </c>
      <c r="CO124" s="434">
        <v>-428819.31141512713</v>
      </c>
      <c r="CP124" s="437">
        <v>-294433.49042116606</v>
      </c>
      <c r="CQ124" s="437">
        <v>-261096.29082396365</v>
      </c>
      <c r="CR124" s="437">
        <v>100135.69800985287</v>
      </c>
      <c r="CS124" s="257"/>
    </row>
    <row r="125" spans="1:97" x14ac:dyDescent="0.2">
      <c r="A125" s="100">
        <v>418</v>
      </c>
      <c r="B125" s="100" t="s">
        <v>437</v>
      </c>
      <c r="C125" s="100">
        <v>24580</v>
      </c>
      <c r="D125" s="257"/>
      <c r="E125" s="257"/>
      <c r="F125" s="257"/>
      <c r="G125" s="257"/>
      <c r="H125" s="325"/>
      <c r="I125" s="257"/>
      <c r="J125" s="257"/>
      <c r="K125" s="257"/>
      <c r="L125" s="257"/>
      <c r="M125" s="257"/>
      <c r="N125" s="257"/>
      <c r="O125" s="257"/>
      <c r="P125" s="257"/>
      <c r="Q125" s="100">
        <v>1749</v>
      </c>
      <c r="R125" s="100">
        <v>324</v>
      </c>
      <c r="S125" s="100">
        <v>2330</v>
      </c>
      <c r="T125" s="100">
        <v>1210</v>
      </c>
      <c r="U125" s="100">
        <v>18967</v>
      </c>
      <c r="V125" s="100"/>
      <c r="W125" s="100"/>
      <c r="X125" s="100"/>
      <c r="Y125" s="100"/>
      <c r="Z125" s="257"/>
      <c r="AA125" s="257"/>
      <c r="AB125" s="257"/>
      <c r="AC125" s="257"/>
      <c r="AD125" s="257"/>
      <c r="AE125" s="258">
        <v>1.098870328454679</v>
      </c>
      <c r="AG125" s="441">
        <v>692.75</v>
      </c>
      <c r="AH125" s="443">
        <v>11603</v>
      </c>
      <c r="AJ125" s="88">
        <v>725</v>
      </c>
      <c r="AM125" s="88">
        <v>0</v>
      </c>
      <c r="AN125" s="88">
        <v>70</v>
      </c>
      <c r="AP125" s="88">
        <v>0</v>
      </c>
      <c r="AQ125" s="399">
        <v>0</v>
      </c>
      <c r="AR125" s="88">
        <v>269.58</v>
      </c>
      <c r="AU125" s="399">
        <v>572</v>
      </c>
      <c r="AV125" s="399">
        <v>8586</v>
      </c>
      <c r="AY125" s="88">
        <v>0</v>
      </c>
      <c r="AZ125" s="432">
        <v>7716</v>
      </c>
      <c r="BA125" s="440">
        <v>11021</v>
      </c>
      <c r="BC125" s="439">
        <v>1.48</v>
      </c>
      <c r="BD125" s="88">
        <v>0</v>
      </c>
      <c r="BE125" s="88">
        <v>0</v>
      </c>
      <c r="BF125" s="434">
        <v>-915684.04500000004</v>
      </c>
      <c r="BG125" s="100">
        <v>-457735.88</v>
      </c>
      <c r="BH125" s="257"/>
      <c r="BI125" s="100"/>
      <c r="BJ125" s="257"/>
      <c r="BK125" s="100"/>
      <c r="BL125" s="100"/>
      <c r="BM125" s="100"/>
      <c r="BN125" s="257"/>
      <c r="BO125" s="100"/>
      <c r="BP125" s="100">
        <v>1342222</v>
      </c>
      <c r="BQ125" s="100">
        <v>425216</v>
      </c>
      <c r="BR125" s="100">
        <v>845415.06188228237</v>
      </c>
      <c r="BS125" s="100">
        <v>8296.3702924914178</v>
      </c>
      <c r="BT125" s="100">
        <v>-22793.950664415817</v>
      </c>
      <c r="BU125" s="100">
        <v>436658.97893666575</v>
      </c>
      <c r="BV125" s="100">
        <v>906480.76205307432</v>
      </c>
      <c r="BW125" s="100">
        <v>1500871.9621401401</v>
      </c>
      <c r="BX125" s="100">
        <v>378895.34219319944</v>
      </c>
      <c r="BY125" s="100">
        <v>753953.55172618153</v>
      </c>
      <c r="BZ125" s="257"/>
      <c r="CA125" s="100"/>
      <c r="CB125" s="257"/>
      <c r="CC125" s="257"/>
      <c r="CD125" s="257"/>
      <c r="CE125" s="100">
        <v>931237.01612118457</v>
      </c>
      <c r="CF125" s="100">
        <v>627832.10117558273</v>
      </c>
      <c r="CG125" s="100">
        <v>623377.33157469693</v>
      </c>
      <c r="CH125" s="100">
        <v>2798442.8051829608</v>
      </c>
      <c r="CI125" s="257"/>
      <c r="CJ125" s="437">
        <v>1776070.9986691943</v>
      </c>
      <c r="CK125" s="404">
        <v>-2564096</v>
      </c>
      <c r="CL125" s="404"/>
      <c r="CM125" s="437">
        <v>-522724.84594999999</v>
      </c>
      <c r="CO125" s="434">
        <v>84677.650722484963</v>
      </c>
      <c r="CP125" s="437">
        <v>12085.652322042046</v>
      </c>
      <c r="CQ125" s="437">
        <v>-2223751.4998104735</v>
      </c>
      <c r="CR125" s="437">
        <v>852853.5887325654</v>
      </c>
      <c r="CS125" s="257"/>
    </row>
    <row r="126" spans="1:97" x14ac:dyDescent="0.2">
      <c r="A126" s="100">
        <v>420</v>
      </c>
      <c r="B126" s="100" t="s">
        <v>438</v>
      </c>
      <c r="C126" s="100">
        <v>9177</v>
      </c>
      <c r="D126" s="257"/>
      <c r="E126" s="257"/>
      <c r="F126" s="257"/>
      <c r="G126" s="257"/>
      <c r="H126" s="325"/>
      <c r="I126" s="257"/>
      <c r="J126" s="257"/>
      <c r="K126" s="257"/>
      <c r="L126" s="257"/>
      <c r="M126" s="257"/>
      <c r="N126" s="257"/>
      <c r="O126" s="257"/>
      <c r="P126" s="257"/>
      <c r="Q126" s="100">
        <v>432</v>
      </c>
      <c r="R126" s="100">
        <v>61</v>
      </c>
      <c r="S126" s="100">
        <v>526</v>
      </c>
      <c r="T126" s="100">
        <v>288</v>
      </c>
      <c r="U126" s="100">
        <v>7870</v>
      </c>
      <c r="V126" s="100"/>
      <c r="W126" s="100"/>
      <c r="X126" s="100"/>
      <c r="Y126" s="100"/>
      <c r="Z126" s="257"/>
      <c r="AA126" s="257"/>
      <c r="AB126" s="257"/>
      <c r="AC126" s="257"/>
      <c r="AD126" s="257"/>
      <c r="AE126" s="258">
        <v>0.98482583042300187</v>
      </c>
      <c r="AG126" s="441">
        <v>321.33333333333331</v>
      </c>
      <c r="AH126" s="443">
        <v>4034</v>
      </c>
      <c r="AJ126" s="88">
        <v>208</v>
      </c>
      <c r="AM126" s="88">
        <v>0</v>
      </c>
      <c r="AN126" s="88">
        <v>15</v>
      </c>
      <c r="AP126" s="88">
        <v>0</v>
      </c>
      <c r="AQ126" s="399">
        <v>0</v>
      </c>
      <c r="AR126" s="88">
        <v>1136.26</v>
      </c>
      <c r="AU126" s="399">
        <v>271</v>
      </c>
      <c r="AV126" s="399">
        <v>2453</v>
      </c>
      <c r="AY126" s="88">
        <v>0</v>
      </c>
      <c r="AZ126" s="432">
        <v>2881</v>
      </c>
      <c r="BA126" s="440">
        <v>3604</v>
      </c>
      <c r="BC126" s="439">
        <v>0</v>
      </c>
      <c r="BD126" s="88">
        <v>0</v>
      </c>
      <c r="BE126" s="88">
        <v>0</v>
      </c>
      <c r="BF126" s="434">
        <v>-337236.94500000001</v>
      </c>
      <c r="BG126" s="100">
        <v>-180612.42</v>
      </c>
      <c r="BH126" s="257"/>
      <c r="BI126" s="100"/>
      <c r="BJ126" s="257"/>
      <c r="BK126" s="100"/>
      <c r="BL126" s="100"/>
      <c r="BM126" s="100"/>
      <c r="BN126" s="257"/>
      <c r="BO126" s="100"/>
      <c r="BP126" s="100">
        <v>916807</v>
      </c>
      <c r="BQ126" s="100">
        <v>274888</v>
      </c>
      <c r="BR126" s="100">
        <v>642507.60305360006</v>
      </c>
      <c r="BS126" s="100">
        <v>26076.264178597019</v>
      </c>
      <c r="BT126" s="100">
        <v>100966.89511105619</v>
      </c>
      <c r="BU126" s="100">
        <v>316588.37062268355</v>
      </c>
      <c r="BV126" s="100">
        <v>483606.50641529675</v>
      </c>
      <c r="BW126" s="100">
        <v>771459.61964288226</v>
      </c>
      <c r="BX126" s="100">
        <v>225046.2031277343</v>
      </c>
      <c r="BY126" s="100">
        <v>416066.22868548939</v>
      </c>
      <c r="BZ126" s="257"/>
      <c r="CA126" s="100"/>
      <c r="CB126" s="257"/>
      <c r="CC126" s="257"/>
      <c r="CD126" s="257"/>
      <c r="CE126" s="100">
        <v>545904.30050564336</v>
      </c>
      <c r="CF126" s="100">
        <v>314502.15227749647</v>
      </c>
      <c r="CG126" s="100">
        <v>300131.16157739377</v>
      </c>
      <c r="CH126" s="100">
        <v>1662406.046704923</v>
      </c>
      <c r="CI126" s="257"/>
      <c r="CJ126" s="437">
        <v>2614455.4942625603</v>
      </c>
      <c r="CK126" s="404">
        <v>-1109368</v>
      </c>
      <c r="CL126" s="404"/>
      <c r="CM126" s="437">
        <v>-133162.53100000005</v>
      </c>
      <c r="CO126" s="434">
        <v>829059.81939340103</v>
      </c>
      <c r="CP126" s="437">
        <v>290894.17855541327</v>
      </c>
      <c r="CQ126" s="437">
        <v>-830242.77924168902</v>
      </c>
      <c r="CR126" s="437">
        <v>318414.86508538458</v>
      </c>
      <c r="CS126" s="257"/>
    </row>
    <row r="127" spans="1:97" x14ac:dyDescent="0.2">
      <c r="A127" s="100">
        <v>421</v>
      </c>
      <c r="B127" s="100" t="s">
        <v>439</v>
      </c>
      <c r="C127" s="100">
        <v>695</v>
      </c>
      <c r="D127" s="257"/>
      <c r="E127" s="257"/>
      <c r="F127" s="257"/>
      <c r="G127" s="257"/>
      <c r="H127" s="325"/>
      <c r="I127" s="257"/>
      <c r="J127" s="257"/>
      <c r="K127" s="257"/>
      <c r="L127" s="257"/>
      <c r="M127" s="257"/>
      <c r="N127" s="257"/>
      <c r="O127" s="257"/>
      <c r="P127" s="257"/>
      <c r="Q127" s="100">
        <v>44</v>
      </c>
      <c r="R127" s="100">
        <v>9</v>
      </c>
      <c r="S127" s="100">
        <v>41</v>
      </c>
      <c r="T127" s="100">
        <v>23</v>
      </c>
      <c r="U127" s="100">
        <v>578</v>
      </c>
      <c r="V127" s="100"/>
      <c r="W127" s="100"/>
      <c r="X127" s="100"/>
      <c r="Y127" s="100"/>
      <c r="Z127" s="257"/>
      <c r="AA127" s="257"/>
      <c r="AB127" s="257"/>
      <c r="AC127" s="257"/>
      <c r="AD127" s="257"/>
      <c r="AE127" s="258">
        <v>0.56546277174632376</v>
      </c>
      <c r="AG127" s="441">
        <v>23.583333333333332</v>
      </c>
      <c r="AH127" s="443">
        <v>277</v>
      </c>
      <c r="AJ127" s="88">
        <v>11</v>
      </c>
      <c r="AM127" s="88">
        <v>0</v>
      </c>
      <c r="AN127" s="88">
        <v>1</v>
      </c>
      <c r="AP127" s="88">
        <v>0</v>
      </c>
      <c r="AQ127" s="399">
        <v>0</v>
      </c>
      <c r="AR127" s="88">
        <v>480.06</v>
      </c>
      <c r="AU127" s="399">
        <v>15</v>
      </c>
      <c r="AV127" s="399">
        <v>147</v>
      </c>
      <c r="AY127" s="88">
        <v>1.5782666666666665</v>
      </c>
      <c r="AZ127" s="432">
        <v>250</v>
      </c>
      <c r="BA127" s="440">
        <v>249</v>
      </c>
      <c r="BC127" s="439">
        <v>0</v>
      </c>
      <c r="BD127" s="88">
        <v>0</v>
      </c>
      <c r="BE127" s="88">
        <v>0</v>
      </c>
      <c r="BF127" s="434">
        <v>-25949.264999999999</v>
      </c>
      <c r="BG127" s="100">
        <v>-13869.62</v>
      </c>
      <c r="BH127" s="257"/>
      <c r="BI127" s="100"/>
      <c r="BJ127" s="257"/>
      <c r="BK127" s="100"/>
      <c r="BL127" s="100"/>
      <c r="BM127" s="100"/>
      <c r="BN127" s="257"/>
      <c r="BO127" s="100"/>
      <c r="BP127" s="100">
        <v>87058</v>
      </c>
      <c r="BQ127" s="100">
        <v>27619</v>
      </c>
      <c r="BR127" s="100">
        <v>77405.559725266779</v>
      </c>
      <c r="BS127" s="100">
        <v>3950.5922864278295</v>
      </c>
      <c r="BT127" s="100">
        <v>13927.977188081828</v>
      </c>
      <c r="BU127" s="100">
        <v>33393.642525289819</v>
      </c>
      <c r="BV127" s="100">
        <v>41412.724454893098</v>
      </c>
      <c r="BW127" s="100">
        <v>78470.138882357875</v>
      </c>
      <c r="BX127" s="100">
        <v>23278.636365199982</v>
      </c>
      <c r="BY127" s="100">
        <v>41380.884639625365</v>
      </c>
      <c r="BZ127" s="257"/>
      <c r="CA127" s="100"/>
      <c r="CB127" s="257"/>
      <c r="CC127" s="257"/>
      <c r="CD127" s="257"/>
      <c r="CE127" s="100">
        <v>58612.481388770488</v>
      </c>
      <c r="CF127" s="100">
        <v>28266.975387932522</v>
      </c>
      <c r="CG127" s="100">
        <v>29220.932860695222</v>
      </c>
      <c r="CH127" s="100">
        <v>171167.80470794902</v>
      </c>
      <c r="CI127" s="257"/>
      <c r="CJ127" s="437">
        <v>196547.4678800673</v>
      </c>
      <c r="CK127" s="404">
        <v>-142740</v>
      </c>
      <c r="CL127" s="404"/>
      <c r="CM127" s="437">
        <v>0</v>
      </c>
      <c r="CO127" s="434">
        <v>339762.31164538307</v>
      </c>
      <c r="CP127" s="437">
        <v>122612.11944892713</v>
      </c>
      <c r="CQ127" s="437">
        <v>-62876.618892118757</v>
      </c>
      <c r="CR127" s="437">
        <v>24114.452569940317</v>
      </c>
      <c r="CS127" s="257"/>
    </row>
    <row r="128" spans="1:97" x14ac:dyDescent="0.2">
      <c r="A128" s="100">
        <v>422</v>
      </c>
      <c r="B128" s="100" t="s">
        <v>440</v>
      </c>
      <c r="C128" s="100">
        <v>10372</v>
      </c>
      <c r="D128" s="257"/>
      <c r="E128" s="257"/>
      <c r="F128" s="257"/>
      <c r="G128" s="257"/>
      <c r="H128" s="325"/>
      <c r="I128" s="257"/>
      <c r="J128" s="257"/>
      <c r="K128" s="257"/>
      <c r="L128" s="257"/>
      <c r="M128" s="257"/>
      <c r="N128" s="257"/>
      <c r="O128" s="257"/>
      <c r="P128" s="257"/>
      <c r="Q128" s="100">
        <v>291</v>
      </c>
      <c r="R128" s="100">
        <v>70</v>
      </c>
      <c r="S128" s="100">
        <v>472</v>
      </c>
      <c r="T128" s="100">
        <v>255</v>
      </c>
      <c r="U128" s="100">
        <v>9284</v>
      </c>
      <c r="V128" s="100"/>
      <c r="W128" s="100"/>
      <c r="X128" s="100"/>
      <c r="Y128" s="100"/>
      <c r="Z128" s="257"/>
      <c r="AA128" s="257"/>
      <c r="AB128" s="257"/>
      <c r="AC128" s="257"/>
      <c r="AD128" s="257"/>
      <c r="AE128" s="258">
        <v>0.91429654833366458</v>
      </c>
      <c r="AG128" s="441">
        <v>567.16666666666663</v>
      </c>
      <c r="AH128" s="443">
        <v>4026</v>
      </c>
      <c r="AJ128" s="88">
        <v>545</v>
      </c>
      <c r="AM128" s="88">
        <v>0</v>
      </c>
      <c r="AN128" s="88">
        <v>11</v>
      </c>
      <c r="AP128" s="88">
        <v>3</v>
      </c>
      <c r="AQ128" s="399">
        <v>240</v>
      </c>
      <c r="AR128" s="88">
        <v>3417.86</v>
      </c>
      <c r="AU128" s="399">
        <v>420</v>
      </c>
      <c r="AV128" s="399">
        <v>2350</v>
      </c>
      <c r="AY128" s="88">
        <v>1.20475</v>
      </c>
      <c r="AZ128" s="432">
        <v>3385</v>
      </c>
      <c r="BA128" s="440">
        <v>3308</v>
      </c>
      <c r="BC128" s="439">
        <v>0</v>
      </c>
      <c r="BD128" s="88">
        <v>0</v>
      </c>
      <c r="BE128" s="88">
        <v>0</v>
      </c>
      <c r="BF128" s="434">
        <v>-448113.4375</v>
      </c>
      <c r="BG128" s="100">
        <v>-205911.99000000002</v>
      </c>
      <c r="BH128" s="257"/>
      <c r="BI128" s="100"/>
      <c r="BJ128" s="257"/>
      <c r="BK128" s="100"/>
      <c r="BL128" s="100"/>
      <c r="BM128" s="100"/>
      <c r="BN128" s="257"/>
      <c r="BO128" s="100"/>
      <c r="BP128" s="100">
        <v>1068144</v>
      </c>
      <c r="BQ128" s="100">
        <v>308816</v>
      </c>
      <c r="BR128" s="100">
        <v>830643.17921371618</v>
      </c>
      <c r="BS128" s="100">
        <v>50258.222704214997</v>
      </c>
      <c r="BT128" s="100">
        <v>160868.26536115995</v>
      </c>
      <c r="BU128" s="100">
        <v>477634.48709788191</v>
      </c>
      <c r="BV128" s="100">
        <v>576044.78739238111</v>
      </c>
      <c r="BW128" s="100">
        <v>990194.30494164641</v>
      </c>
      <c r="BX128" s="100">
        <v>262197.11248605064</v>
      </c>
      <c r="BY128" s="100">
        <v>511283.10121302592</v>
      </c>
      <c r="BZ128" s="257"/>
      <c r="CA128" s="100"/>
      <c r="CB128" s="257"/>
      <c r="CC128" s="257"/>
      <c r="CD128" s="257"/>
      <c r="CE128" s="100">
        <v>647151.11544255272</v>
      </c>
      <c r="CF128" s="100">
        <v>369920.0194040598</v>
      </c>
      <c r="CG128" s="100">
        <v>332000.80174736638</v>
      </c>
      <c r="CH128" s="100">
        <v>2083674.6945745316</v>
      </c>
      <c r="CI128" s="257"/>
      <c r="CJ128" s="437">
        <v>3451300.5793498056</v>
      </c>
      <c r="CK128" s="404">
        <v>-261834</v>
      </c>
      <c r="CL128" s="404"/>
      <c r="CM128" s="437">
        <v>137414.30349999998</v>
      </c>
      <c r="CO128" s="434">
        <v>-305531.87221808359</v>
      </c>
      <c r="CP128" s="437">
        <v>5099.7715982188811</v>
      </c>
      <c r="CQ128" s="437">
        <v>-938354.37575403706</v>
      </c>
      <c r="CR128" s="437">
        <v>359877.84468405892</v>
      </c>
      <c r="CS128" s="257"/>
    </row>
    <row r="129" spans="1:97" x14ac:dyDescent="0.2">
      <c r="A129" s="100">
        <v>423</v>
      </c>
      <c r="B129" s="100" t="s">
        <v>441</v>
      </c>
      <c r="C129" s="100">
        <v>20497</v>
      </c>
      <c r="D129" s="257"/>
      <c r="E129" s="257"/>
      <c r="F129" s="257"/>
      <c r="G129" s="257"/>
      <c r="H129" s="325"/>
      <c r="I129" s="257"/>
      <c r="J129" s="257"/>
      <c r="K129" s="257"/>
      <c r="L129" s="257"/>
      <c r="M129" s="257"/>
      <c r="N129" s="257"/>
      <c r="O129" s="257"/>
      <c r="P129" s="257"/>
      <c r="Q129" s="100">
        <v>1305</v>
      </c>
      <c r="R129" s="100">
        <v>247</v>
      </c>
      <c r="S129" s="100">
        <v>1773</v>
      </c>
      <c r="T129" s="100">
        <v>860</v>
      </c>
      <c r="U129" s="100">
        <v>16312</v>
      </c>
      <c r="V129" s="100"/>
      <c r="W129" s="100"/>
      <c r="X129" s="100"/>
      <c r="Y129" s="100"/>
      <c r="Z129" s="257"/>
      <c r="AA129" s="257"/>
      <c r="AB129" s="257"/>
      <c r="AC129" s="257"/>
      <c r="AD129" s="257"/>
      <c r="AE129" s="258">
        <v>0.98356279845932193</v>
      </c>
      <c r="AG129" s="441">
        <v>472.5</v>
      </c>
      <c r="AH129" s="443">
        <v>9961</v>
      </c>
      <c r="AJ129" s="88">
        <v>846</v>
      </c>
      <c r="AM129" s="88">
        <v>0</v>
      </c>
      <c r="AN129" s="88">
        <v>303</v>
      </c>
      <c r="AP129" s="88">
        <v>0</v>
      </c>
      <c r="AQ129" s="399">
        <v>0</v>
      </c>
      <c r="AR129" s="88">
        <v>300.54000000000002</v>
      </c>
      <c r="AU129" s="399">
        <v>599</v>
      </c>
      <c r="AV129" s="399">
        <v>7066</v>
      </c>
      <c r="AY129" s="88">
        <v>0</v>
      </c>
      <c r="AZ129" s="432">
        <v>6923</v>
      </c>
      <c r="BA129" s="440">
        <v>9463</v>
      </c>
      <c r="BC129" s="439">
        <v>0.83</v>
      </c>
      <c r="BD129" s="88">
        <v>0</v>
      </c>
      <c r="BE129" s="88">
        <v>2</v>
      </c>
      <c r="BF129" s="434">
        <v>-422423.45500000002</v>
      </c>
      <c r="BG129" s="100">
        <v>-387004.66000000003</v>
      </c>
      <c r="BH129" s="257"/>
      <c r="BI129" s="100"/>
      <c r="BJ129" s="257"/>
      <c r="BK129" s="100"/>
      <c r="BL129" s="100"/>
      <c r="BM129" s="100"/>
      <c r="BN129" s="257"/>
      <c r="BO129" s="100"/>
      <c r="BP129" s="100">
        <v>1240823</v>
      </c>
      <c r="BQ129" s="100">
        <v>412341</v>
      </c>
      <c r="BR129" s="100">
        <v>713439.90128232166</v>
      </c>
      <c r="BS129" s="100">
        <v>8667.1804605950256</v>
      </c>
      <c r="BT129" s="100">
        <v>-59692.685427677498</v>
      </c>
      <c r="BU129" s="100">
        <v>360453.81163362268</v>
      </c>
      <c r="BV129" s="100">
        <v>779973.23766218405</v>
      </c>
      <c r="BW129" s="100">
        <v>1391968.517984017</v>
      </c>
      <c r="BX129" s="100">
        <v>350090.31404010975</v>
      </c>
      <c r="BY129" s="100">
        <v>658548.93178500328</v>
      </c>
      <c r="BZ129" s="257"/>
      <c r="CA129" s="100"/>
      <c r="CB129" s="257"/>
      <c r="CC129" s="257"/>
      <c r="CD129" s="257"/>
      <c r="CE129" s="100">
        <v>795753.74382946594</v>
      </c>
      <c r="CF129" s="100">
        <v>559146.96623078233</v>
      </c>
      <c r="CG129" s="100">
        <v>544109.63749557349</v>
      </c>
      <c r="CH129" s="100">
        <v>2498054.886262083</v>
      </c>
      <c r="CI129" s="257"/>
      <c r="CJ129" s="437">
        <v>2104133.6650734823</v>
      </c>
      <c r="CK129" s="404">
        <v>-2350074</v>
      </c>
      <c r="CL129" s="404"/>
      <c r="CM129" s="437">
        <v>-730633.53750000021</v>
      </c>
      <c r="CO129" s="434">
        <v>2689870.2971306173</v>
      </c>
      <c r="CP129" s="437">
        <v>661307.62857140147</v>
      </c>
      <c r="CQ129" s="437">
        <v>-1854362.6725636809</v>
      </c>
      <c r="CR129" s="437">
        <v>711185.51701592328</v>
      </c>
      <c r="CS129" s="257"/>
    </row>
    <row r="130" spans="1:97" x14ac:dyDescent="0.2">
      <c r="A130" s="100">
        <v>425</v>
      </c>
      <c r="B130" s="100" t="s">
        <v>442</v>
      </c>
      <c r="C130" s="100">
        <v>10258</v>
      </c>
      <c r="D130" s="257"/>
      <c r="E130" s="257"/>
      <c r="F130" s="257"/>
      <c r="G130" s="257"/>
      <c r="H130" s="325"/>
      <c r="I130" s="257"/>
      <c r="J130" s="257"/>
      <c r="K130" s="257"/>
      <c r="L130" s="257"/>
      <c r="M130" s="257"/>
      <c r="N130" s="257"/>
      <c r="O130" s="257"/>
      <c r="P130" s="257"/>
      <c r="Q130" s="100">
        <v>981</v>
      </c>
      <c r="R130" s="100">
        <v>199</v>
      </c>
      <c r="S130" s="100">
        <v>1428</v>
      </c>
      <c r="T130" s="100">
        <v>734</v>
      </c>
      <c r="U130" s="100">
        <v>6916</v>
      </c>
      <c r="V130" s="100"/>
      <c r="W130" s="100"/>
      <c r="X130" s="100"/>
      <c r="Y130" s="100"/>
      <c r="Z130" s="257"/>
      <c r="AA130" s="257"/>
      <c r="AB130" s="257"/>
      <c r="AC130" s="257"/>
      <c r="AD130" s="257"/>
      <c r="AE130" s="258">
        <v>1.0960927608114299</v>
      </c>
      <c r="AG130" s="441">
        <v>228.16666666666666</v>
      </c>
      <c r="AH130" s="443">
        <v>4480</v>
      </c>
      <c r="AJ130" s="88">
        <v>82</v>
      </c>
      <c r="AM130" s="88">
        <v>0</v>
      </c>
      <c r="AN130" s="88">
        <v>11</v>
      </c>
      <c r="AP130" s="88">
        <v>0</v>
      </c>
      <c r="AQ130" s="399">
        <v>0</v>
      </c>
      <c r="AR130" s="88">
        <v>637.30999999999995</v>
      </c>
      <c r="AU130" s="399">
        <v>184</v>
      </c>
      <c r="AV130" s="399">
        <v>3423</v>
      </c>
      <c r="AY130" s="88">
        <v>0</v>
      </c>
      <c r="AZ130" s="432">
        <v>2711</v>
      </c>
      <c r="BA130" s="440">
        <v>4195</v>
      </c>
      <c r="BC130" s="439">
        <v>0.22</v>
      </c>
      <c r="BD130" s="88">
        <v>0</v>
      </c>
      <c r="BE130" s="88">
        <v>5</v>
      </c>
      <c r="BF130" s="434">
        <v>-161887.19500000001</v>
      </c>
      <c r="BG130" s="100">
        <v>-196671.98</v>
      </c>
      <c r="BH130" s="257"/>
      <c r="BI130" s="100"/>
      <c r="BJ130" s="257"/>
      <c r="BK130" s="100"/>
      <c r="BL130" s="100"/>
      <c r="BM130" s="100"/>
      <c r="BN130" s="257"/>
      <c r="BO130" s="100"/>
      <c r="BP130" s="100">
        <v>593519</v>
      </c>
      <c r="BQ130" s="100">
        <v>166010</v>
      </c>
      <c r="BR130" s="100">
        <v>333043.66964089219</v>
      </c>
      <c r="BS130" s="100">
        <v>-639.76875028549762</v>
      </c>
      <c r="BT130" s="100">
        <v>-12296.181836887137</v>
      </c>
      <c r="BU130" s="100">
        <v>206898.77974201023</v>
      </c>
      <c r="BV130" s="100">
        <v>384628.31613368576</v>
      </c>
      <c r="BW130" s="100">
        <v>580936.63250783016</v>
      </c>
      <c r="BX130" s="100">
        <v>119767.59798885522</v>
      </c>
      <c r="BY130" s="100">
        <v>301142.6827639761</v>
      </c>
      <c r="BZ130" s="257"/>
      <c r="CA130" s="100"/>
      <c r="CB130" s="257"/>
      <c r="CC130" s="257"/>
      <c r="CD130" s="257"/>
      <c r="CE130" s="100">
        <v>419271.47203865193</v>
      </c>
      <c r="CF130" s="100">
        <v>265227.01883729501</v>
      </c>
      <c r="CG130" s="100">
        <v>271050.50550123875</v>
      </c>
      <c r="CH130" s="100">
        <v>1152653.9221954255</v>
      </c>
      <c r="CI130" s="257"/>
      <c r="CJ130" s="437">
        <v>5142157.3466271069</v>
      </c>
      <c r="CK130" s="404">
        <v>847985</v>
      </c>
      <c r="CL130" s="404"/>
      <c r="CM130" s="437">
        <v>-12139.183449999982</v>
      </c>
      <c r="CO130" s="434">
        <v>-657075.67096898332</v>
      </c>
      <c r="CP130" s="434">
        <v>-1450118.6656580232</v>
      </c>
      <c r="CQ130" s="434">
        <v>-928040.80085662473</v>
      </c>
      <c r="CR130" s="434">
        <v>355922.38052150758</v>
      </c>
      <c r="CS130" s="257"/>
    </row>
    <row r="131" spans="1:97" x14ac:dyDescent="0.2">
      <c r="A131" s="100">
        <v>426</v>
      </c>
      <c r="B131" s="100" t="s">
        <v>443</v>
      </c>
      <c r="C131" s="100">
        <v>11962</v>
      </c>
      <c r="D131" s="257"/>
      <c r="E131" s="257"/>
      <c r="F131" s="257"/>
      <c r="G131" s="257"/>
      <c r="H131" s="325"/>
      <c r="I131" s="257"/>
      <c r="J131" s="257"/>
      <c r="K131" s="257"/>
      <c r="L131" s="257"/>
      <c r="M131" s="257"/>
      <c r="N131" s="257"/>
      <c r="O131" s="257"/>
      <c r="P131" s="257"/>
      <c r="Q131" s="100">
        <v>647</v>
      </c>
      <c r="R131" s="100">
        <v>143</v>
      </c>
      <c r="S131" s="100">
        <v>990</v>
      </c>
      <c r="T131" s="100">
        <v>481</v>
      </c>
      <c r="U131" s="100">
        <v>9701</v>
      </c>
      <c r="V131" s="100"/>
      <c r="W131" s="100"/>
      <c r="X131" s="100"/>
      <c r="Y131" s="100"/>
      <c r="Z131" s="257"/>
      <c r="AA131" s="257"/>
      <c r="AB131" s="257"/>
      <c r="AC131" s="257"/>
      <c r="AD131" s="257"/>
      <c r="AE131" s="258">
        <v>0.97647151579403613</v>
      </c>
      <c r="AG131" s="441">
        <v>546.41666666666663</v>
      </c>
      <c r="AH131" s="443">
        <v>5639</v>
      </c>
      <c r="AJ131" s="88">
        <v>257</v>
      </c>
      <c r="AM131" s="88">
        <v>0</v>
      </c>
      <c r="AN131" s="88">
        <v>7</v>
      </c>
      <c r="AP131" s="88">
        <v>3</v>
      </c>
      <c r="AQ131" s="399">
        <v>468</v>
      </c>
      <c r="AR131" s="88">
        <v>727.19</v>
      </c>
      <c r="AU131" s="399">
        <v>322</v>
      </c>
      <c r="AV131" s="399">
        <v>3781</v>
      </c>
      <c r="AY131" s="88">
        <v>0</v>
      </c>
      <c r="AZ131" s="432">
        <v>3293</v>
      </c>
      <c r="BA131" s="440">
        <v>4916</v>
      </c>
      <c r="BC131" s="439">
        <v>0</v>
      </c>
      <c r="BD131" s="88">
        <v>0</v>
      </c>
      <c r="BE131" s="88">
        <v>0</v>
      </c>
      <c r="BF131" s="434">
        <v>-444060.19750000001</v>
      </c>
      <c r="BG131" s="100">
        <v>-230404.74000000002</v>
      </c>
      <c r="BH131" s="257"/>
      <c r="BI131" s="100"/>
      <c r="BJ131" s="257"/>
      <c r="BK131" s="100"/>
      <c r="BL131" s="100"/>
      <c r="BM131" s="100"/>
      <c r="BN131" s="257"/>
      <c r="BO131" s="100"/>
      <c r="BP131" s="100">
        <v>1003309</v>
      </c>
      <c r="BQ131" s="100">
        <v>306424</v>
      </c>
      <c r="BR131" s="100">
        <v>750447.30381600012</v>
      </c>
      <c r="BS131" s="100">
        <v>30134.696365814489</v>
      </c>
      <c r="BT131" s="100">
        <v>133757.863734118</v>
      </c>
      <c r="BU131" s="100">
        <v>345272.99082662462</v>
      </c>
      <c r="BV131" s="100">
        <v>626254.99055567558</v>
      </c>
      <c r="BW131" s="100">
        <v>1002006.8323394094</v>
      </c>
      <c r="BX131" s="100">
        <v>274048.85143614374</v>
      </c>
      <c r="BY131" s="100">
        <v>527260.1509002985</v>
      </c>
      <c r="BZ131" s="257"/>
      <c r="CA131" s="100"/>
      <c r="CB131" s="257"/>
      <c r="CC131" s="257"/>
      <c r="CD131" s="257"/>
      <c r="CE131" s="100">
        <v>682821.22311437759</v>
      </c>
      <c r="CF131" s="100">
        <v>419009.01298950042</v>
      </c>
      <c r="CG131" s="100">
        <v>410759.27132979163</v>
      </c>
      <c r="CH131" s="100">
        <v>2072703.9688236376</v>
      </c>
      <c r="CI131" s="257"/>
      <c r="CJ131" s="437">
        <v>5975700.0152636115</v>
      </c>
      <c r="CK131" s="404">
        <v>-2190169</v>
      </c>
      <c r="CL131" s="404"/>
      <c r="CM131" s="437">
        <v>-755156.56780000008</v>
      </c>
      <c r="CO131" s="434">
        <v>-1691326.9640593883</v>
      </c>
      <c r="CP131" s="437">
        <v>-1117157.4694216459</v>
      </c>
      <c r="CQ131" s="437">
        <v>-1082201.6045863663</v>
      </c>
      <c r="CR131" s="437">
        <v>415046.16063543316</v>
      </c>
      <c r="CS131" s="257"/>
    </row>
    <row r="132" spans="1:97" x14ac:dyDescent="0.2">
      <c r="A132" s="100">
        <v>444</v>
      </c>
      <c r="B132" s="100" t="s">
        <v>451</v>
      </c>
      <c r="C132" s="100">
        <v>45811</v>
      </c>
      <c r="D132" s="257"/>
      <c r="E132" s="257"/>
      <c r="F132" s="257"/>
      <c r="G132" s="257"/>
      <c r="H132" s="325"/>
      <c r="I132" s="257"/>
      <c r="J132" s="257"/>
      <c r="K132" s="257"/>
      <c r="L132" s="257"/>
      <c r="M132" s="257"/>
      <c r="N132" s="257"/>
      <c r="O132" s="257"/>
      <c r="P132" s="257"/>
      <c r="Q132" s="100">
        <v>2113</v>
      </c>
      <c r="R132" s="100">
        <v>422</v>
      </c>
      <c r="S132" s="100">
        <v>3180</v>
      </c>
      <c r="T132" s="100">
        <v>1746</v>
      </c>
      <c r="U132" s="100">
        <v>38350</v>
      </c>
      <c r="V132" s="100"/>
      <c r="W132" s="100"/>
      <c r="X132" s="100"/>
      <c r="Y132" s="100"/>
      <c r="Z132" s="257"/>
      <c r="AA132" s="257"/>
      <c r="AB132" s="257"/>
      <c r="AC132" s="257"/>
      <c r="AD132" s="257"/>
      <c r="AE132" s="258">
        <v>0.91020511529600545</v>
      </c>
      <c r="AG132" s="441">
        <v>1796.6666666666667</v>
      </c>
      <c r="AH132" s="443">
        <v>21411</v>
      </c>
      <c r="AJ132" s="88">
        <v>2567</v>
      </c>
      <c r="AM132" s="88">
        <v>1</v>
      </c>
      <c r="AN132" s="88">
        <v>1602</v>
      </c>
      <c r="AP132" s="88">
        <v>0</v>
      </c>
      <c r="AQ132" s="399">
        <v>0</v>
      </c>
      <c r="AR132" s="88">
        <v>940.16</v>
      </c>
      <c r="AU132" s="399">
        <v>2184</v>
      </c>
      <c r="AV132" s="399">
        <v>13909</v>
      </c>
      <c r="AY132" s="88">
        <v>0</v>
      </c>
      <c r="AZ132" s="432">
        <v>15638</v>
      </c>
      <c r="BA132" s="440">
        <v>19472</v>
      </c>
      <c r="BC132" s="439">
        <v>0</v>
      </c>
      <c r="BD132" s="88">
        <v>0</v>
      </c>
      <c r="BE132" s="88">
        <v>2</v>
      </c>
      <c r="BF132" s="434">
        <v>-2657114.5649999999</v>
      </c>
      <c r="BG132" s="100">
        <v>-881470.06</v>
      </c>
      <c r="BH132" s="257"/>
      <c r="BI132" s="100"/>
      <c r="BJ132" s="257"/>
      <c r="BK132" s="100"/>
      <c r="BL132" s="100"/>
      <c r="BM132" s="100"/>
      <c r="BN132" s="257"/>
      <c r="BO132" s="100"/>
      <c r="BP132" s="100">
        <v>3336584</v>
      </c>
      <c r="BQ132" s="100">
        <v>1126591</v>
      </c>
      <c r="BR132" s="100">
        <v>2365028.4992995057</v>
      </c>
      <c r="BS132" s="100">
        <v>53694.911466725047</v>
      </c>
      <c r="BT132" s="100">
        <v>63083.837696464943</v>
      </c>
      <c r="BU132" s="100">
        <v>819845.1466709238</v>
      </c>
      <c r="BV132" s="100">
        <v>2276281.1469600773</v>
      </c>
      <c r="BW132" s="100">
        <v>3548105.7248152178</v>
      </c>
      <c r="BX132" s="100">
        <v>1036342.8025234072</v>
      </c>
      <c r="BY132" s="100">
        <v>1798553.4888966852</v>
      </c>
      <c r="BZ132" s="257"/>
      <c r="CA132" s="100"/>
      <c r="CB132" s="257"/>
      <c r="CC132" s="257"/>
      <c r="CD132" s="257"/>
      <c r="CE132" s="100">
        <v>2242191.8107692068</v>
      </c>
      <c r="CF132" s="100">
        <v>1413610.0224912281</v>
      </c>
      <c r="CG132" s="100">
        <v>1484927.033414721</v>
      </c>
      <c r="CH132" s="100">
        <v>7023420.3214530004</v>
      </c>
      <c r="CI132" s="257"/>
      <c r="CJ132" s="437">
        <v>6077122.0687223747</v>
      </c>
      <c r="CK132" s="404">
        <v>-914831</v>
      </c>
      <c r="CL132" s="404"/>
      <c r="CM132" s="437">
        <v>2399045.4768499997</v>
      </c>
      <c r="CO132" s="434">
        <v>2472289.9995598788</v>
      </c>
      <c r="CP132" s="437">
        <v>3569751.2438464253</v>
      </c>
      <c r="CQ132" s="437">
        <v>-4144519.1195206512</v>
      </c>
      <c r="CR132" s="437">
        <v>1589506.7434266701</v>
      </c>
      <c r="CS132" s="257"/>
    </row>
    <row r="133" spans="1:97" x14ac:dyDescent="0.2">
      <c r="A133" s="100">
        <v>430</v>
      </c>
      <c r="B133" s="100" t="s">
        <v>444</v>
      </c>
      <c r="C133" s="100">
        <v>15392</v>
      </c>
      <c r="D133" s="257"/>
      <c r="E133" s="257"/>
      <c r="F133" s="257"/>
      <c r="G133" s="257"/>
      <c r="H133" s="325"/>
      <c r="I133" s="257"/>
      <c r="J133" s="257"/>
      <c r="K133" s="257"/>
      <c r="L133" s="257"/>
      <c r="M133" s="257"/>
      <c r="N133" s="257"/>
      <c r="O133" s="257"/>
      <c r="P133" s="257"/>
      <c r="Q133" s="100">
        <v>683</v>
      </c>
      <c r="R133" s="100">
        <v>116</v>
      </c>
      <c r="S133" s="100">
        <v>891</v>
      </c>
      <c r="T133" s="100">
        <v>490</v>
      </c>
      <c r="U133" s="100">
        <v>13212</v>
      </c>
      <c r="V133" s="100"/>
      <c r="W133" s="100"/>
      <c r="X133" s="100"/>
      <c r="Y133" s="100"/>
      <c r="Z133" s="257"/>
      <c r="AA133" s="257"/>
      <c r="AB133" s="257"/>
      <c r="AC133" s="257"/>
      <c r="AD133" s="257"/>
      <c r="AE133" s="258">
        <v>1.0346916074313717</v>
      </c>
      <c r="AG133" s="441">
        <v>545.58333333333337</v>
      </c>
      <c r="AH133" s="443">
        <v>6664</v>
      </c>
      <c r="AJ133" s="88">
        <v>660</v>
      </c>
      <c r="AM133" s="88">
        <v>0</v>
      </c>
      <c r="AN133" s="88">
        <v>33</v>
      </c>
      <c r="AP133" s="88">
        <v>0</v>
      </c>
      <c r="AQ133" s="399">
        <v>0</v>
      </c>
      <c r="AR133" s="88">
        <v>848.09</v>
      </c>
      <c r="AU133" s="399">
        <v>663</v>
      </c>
      <c r="AV133" s="399">
        <v>4192</v>
      </c>
      <c r="AY133" s="88">
        <v>0</v>
      </c>
      <c r="AZ133" s="432">
        <v>6202</v>
      </c>
      <c r="BA133" s="440">
        <v>6026</v>
      </c>
      <c r="BC133" s="439">
        <v>0</v>
      </c>
      <c r="BD133" s="88">
        <v>0</v>
      </c>
      <c r="BE133" s="88">
        <v>0</v>
      </c>
      <c r="BF133" s="434">
        <v>-540747.29385000002</v>
      </c>
      <c r="BG133" s="100">
        <v>-302941.7</v>
      </c>
      <c r="BH133" s="257"/>
      <c r="BI133" s="100"/>
      <c r="BJ133" s="257"/>
      <c r="BK133" s="100"/>
      <c r="BL133" s="100"/>
      <c r="BM133" s="100"/>
      <c r="BN133" s="257"/>
      <c r="BO133" s="100"/>
      <c r="BP133" s="100">
        <v>1444612</v>
      </c>
      <c r="BQ133" s="100">
        <v>489811</v>
      </c>
      <c r="BR133" s="100">
        <v>1178579.4314645445</v>
      </c>
      <c r="BS133" s="100">
        <v>63543.663759858078</v>
      </c>
      <c r="BT133" s="100">
        <v>133455.78187747271</v>
      </c>
      <c r="BU133" s="100">
        <v>556060.40309728321</v>
      </c>
      <c r="BV133" s="100">
        <v>920743.56647319521</v>
      </c>
      <c r="BW133" s="100">
        <v>1523583.4065890629</v>
      </c>
      <c r="BX133" s="100">
        <v>452307.59742876521</v>
      </c>
      <c r="BY133" s="100">
        <v>755542.00888937956</v>
      </c>
      <c r="BZ133" s="257"/>
      <c r="CA133" s="100"/>
      <c r="CB133" s="257"/>
      <c r="CC133" s="257"/>
      <c r="CD133" s="257"/>
      <c r="CE133" s="100">
        <v>1000468.9533967766</v>
      </c>
      <c r="CF133" s="100">
        <v>585624.03290906292</v>
      </c>
      <c r="CG133" s="100">
        <v>585980.37330476323</v>
      </c>
      <c r="CH133" s="100">
        <v>3262020.8470723964</v>
      </c>
      <c r="CI133" s="257"/>
      <c r="CJ133" s="437">
        <v>6096013.1881590029</v>
      </c>
      <c r="CK133" s="404">
        <v>-1987945</v>
      </c>
      <c r="CL133" s="404"/>
      <c r="CM133" s="437">
        <v>47649.689000000013</v>
      </c>
      <c r="CO133" s="434">
        <v>1259219.1591275749</v>
      </c>
      <c r="CP133" s="437">
        <v>438049.50745146291</v>
      </c>
      <c r="CQ133" s="437">
        <v>-1392513.5510611394</v>
      </c>
      <c r="CR133" s="437">
        <v>534057.05605254869</v>
      </c>
      <c r="CS133" s="257"/>
    </row>
    <row r="134" spans="1:97" x14ac:dyDescent="0.2">
      <c r="A134" s="100">
        <v>433</v>
      </c>
      <c r="B134" s="100" t="s">
        <v>445</v>
      </c>
      <c r="C134" s="100">
        <v>7749</v>
      </c>
      <c r="D134" s="257"/>
      <c r="E134" s="257"/>
      <c r="F134" s="257"/>
      <c r="G134" s="257"/>
      <c r="H134" s="325"/>
      <c r="I134" s="257"/>
      <c r="J134" s="257"/>
      <c r="K134" s="257"/>
      <c r="L134" s="257"/>
      <c r="M134" s="257"/>
      <c r="N134" s="257"/>
      <c r="O134" s="257"/>
      <c r="P134" s="257"/>
      <c r="Q134" s="100">
        <v>372</v>
      </c>
      <c r="R134" s="100">
        <v>68</v>
      </c>
      <c r="S134" s="100">
        <v>533</v>
      </c>
      <c r="T134" s="100">
        <v>337</v>
      </c>
      <c r="U134" s="100">
        <v>6439</v>
      </c>
      <c r="V134" s="100"/>
      <c r="W134" s="100"/>
      <c r="X134" s="100"/>
      <c r="Y134" s="100"/>
      <c r="Z134" s="257"/>
      <c r="AA134" s="257"/>
      <c r="AB134" s="257"/>
      <c r="AC134" s="257"/>
      <c r="AD134" s="257"/>
      <c r="AE134" s="258">
        <v>0.84256362388364248</v>
      </c>
      <c r="AG134" s="441">
        <v>204.33333333333334</v>
      </c>
      <c r="AH134" s="443">
        <v>3611</v>
      </c>
      <c r="AJ134" s="88">
        <v>246</v>
      </c>
      <c r="AM134" s="88">
        <v>0</v>
      </c>
      <c r="AN134" s="88">
        <v>37</v>
      </c>
      <c r="AP134" s="88">
        <v>0</v>
      </c>
      <c r="AQ134" s="399">
        <v>0</v>
      </c>
      <c r="AR134" s="88">
        <v>597.69000000000005</v>
      </c>
      <c r="AU134" s="399">
        <v>296</v>
      </c>
      <c r="AV134" s="399">
        <v>2309</v>
      </c>
      <c r="AY134" s="88">
        <v>0</v>
      </c>
      <c r="AZ134" s="432">
        <v>1969</v>
      </c>
      <c r="BA134" s="440">
        <v>3321</v>
      </c>
      <c r="BC134" s="439">
        <v>0</v>
      </c>
      <c r="BD134" s="88">
        <v>0</v>
      </c>
      <c r="BE134" s="88">
        <v>0</v>
      </c>
      <c r="BF134" s="434">
        <v>-257070.02</v>
      </c>
      <c r="BG134" s="100">
        <v>-150856.13</v>
      </c>
      <c r="BH134" s="257"/>
      <c r="BI134" s="100"/>
      <c r="BJ134" s="257"/>
      <c r="BK134" s="100"/>
      <c r="BL134" s="100"/>
      <c r="BM134" s="100"/>
      <c r="BN134" s="257"/>
      <c r="BO134" s="100"/>
      <c r="BP134" s="100">
        <v>727932</v>
      </c>
      <c r="BQ134" s="100">
        <v>226573</v>
      </c>
      <c r="BR134" s="100">
        <v>508996.28072444606</v>
      </c>
      <c r="BS134" s="100">
        <v>13819.042114133674</v>
      </c>
      <c r="BT134" s="100">
        <v>58262.31202182018</v>
      </c>
      <c r="BU134" s="100">
        <v>171978.04434284213</v>
      </c>
      <c r="BV134" s="100">
        <v>428050.02531079057</v>
      </c>
      <c r="BW134" s="100">
        <v>684417.27799681155</v>
      </c>
      <c r="BX134" s="100">
        <v>200257.29572065148</v>
      </c>
      <c r="BY134" s="100">
        <v>347559.862140443</v>
      </c>
      <c r="BZ134" s="257"/>
      <c r="CA134" s="100"/>
      <c r="CB134" s="257"/>
      <c r="CC134" s="257"/>
      <c r="CD134" s="257"/>
      <c r="CE134" s="100">
        <v>463012.08584468858</v>
      </c>
      <c r="CF134" s="100">
        <v>284641.12191934296</v>
      </c>
      <c r="CG134" s="100">
        <v>278928.74699777825</v>
      </c>
      <c r="CH134" s="100">
        <v>1403191.154405253</v>
      </c>
      <c r="CI134" s="257"/>
      <c r="CJ134" s="437">
        <v>2289313.0917410306</v>
      </c>
      <c r="CK134" s="404">
        <v>-857550</v>
      </c>
      <c r="CL134" s="404"/>
      <c r="CM134" s="437">
        <v>7533.8424999999988</v>
      </c>
      <c r="CO134" s="434">
        <v>54240.252231367471</v>
      </c>
      <c r="CP134" s="437">
        <v>20606.524481259865</v>
      </c>
      <c r="CQ134" s="437">
        <v>-701051.68315831409</v>
      </c>
      <c r="CR134" s="437">
        <v>268867.47189132014</v>
      </c>
      <c r="CS134" s="257"/>
    </row>
    <row r="135" spans="1:97" x14ac:dyDescent="0.2">
      <c r="A135" s="100">
        <v>434</v>
      </c>
      <c r="B135" s="100" t="s">
        <v>446</v>
      </c>
      <c r="C135" s="100">
        <v>14568</v>
      </c>
      <c r="D135" s="257"/>
      <c r="E135" s="257"/>
      <c r="F135" s="257"/>
      <c r="G135" s="257"/>
      <c r="H135" s="325"/>
      <c r="I135" s="257"/>
      <c r="J135" s="257"/>
      <c r="K135" s="257"/>
      <c r="L135" s="257"/>
      <c r="M135" s="257"/>
      <c r="N135" s="257"/>
      <c r="O135" s="257"/>
      <c r="P135" s="257"/>
      <c r="Q135" s="100">
        <v>595</v>
      </c>
      <c r="R135" s="100">
        <v>125</v>
      </c>
      <c r="S135" s="100">
        <v>872</v>
      </c>
      <c r="T135" s="100">
        <v>452</v>
      </c>
      <c r="U135" s="100">
        <v>12524</v>
      </c>
      <c r="V135" s="100"/>
      <c r="W135" s="100"/>
      <c r="X135" s="100"/>
      <c r="Y135" s="100"/>
      <c r="Z135" s="257"/>
      <c r="AA135" s="257"/>
      <c r="AB135" s="257"/>
      <c r="AC135" s="257"/>
      <c r="AD135" s="257"/>
      <c r="AE135" s="258">
        <v>0.83235869017578379</v>
      </c>
      <c r="AG135" s="441">
        <v>702</v>
      </c>
      <c r="AH135" s="443">
        <v>6745</v>
      </c>
      <c r="AJ135" s="88">
        <v>720</v>
      </c>
      <c r="AM135" s="88">
        <v>1</v>
      </c>
      <c r="AN135" s="88">
        <v>5747</v>
      </c>
      <c r="AP135" s="88">
        <v>3</v>
      </c>
      <c r="AQ135" s="399">
        <v>715</v>
      </c>
      <c r="AR135" s="88">
        <v>819.82</v>
      </c>
      <c r="AU135" s="399">
        <v>660</v>
      </c>
      <c r="AV135" s="399">
        <v>4182</v>
      </c>
      <c r="AY135" s="88">
        <v>0</v>
      </c>
      <c r="AZ135" s="432">
        <v>4867</v>
      </c>
      <c r="BA135" s="440">
        <v>5943</v>
      </c>
      <c r="BC135" s="439">
        <v>0</v>
      </c>
      <c r="BD135" s="88">
        <v>0</v>
      </c>
      <c r="BE135" s="88">
        <v>0</v>
      </c>
      <c r="BF135" s="434">
        <v>-575741.23250000004</v>
      </c>
      <c r="BG135" s="100">
        <v>-283251.45</v>
      </c>
      <c r="BH135" s="257"/>
      <c r="BI135" s="100"/>
      <c r="BJ135" s="257"/>
      <c r="BK135" s="100"/>
      <c r="BL135" s="100"/>
      <c r="BM135" s="100"/>
      <c r="BN135" s="257"/>
      <c r="BO135" s="100"/>
      <c r="BP135" s="100">
        <v>1210696</v>
      </c>
      <c r="BQ135" s="100">
        <v>410614</v>
      </c>
      <c r="BR135" s="100">
        <v>925084.89293401095</v>
      </c>
      <c r="BS135" s="100">
        <v>34547.962405567661</v>
      </c>
      <c r="BT135" s="100">
        <v>125012.20418803902</v>
      </c>
      <c r="BU135" s="100">
        <v>361109.18623529928</v>
      </c>
      <c r="BV135" s="100">
        <v>740508.55052407295</v>
      </c>
      <c r="BW135" s="100">
        <v>1231942.1627163913</v>
      </c>
      <c r="BX135" s="100">
        <v>383704.22232368414</v>
      </c>
      <c r="BY135" s="100">
        <v>648453.98283444031</v>
      </c>
      <c r="BZ135" s="257"/>
      <c r="CA135" s="100"/>
      <c r="CB135" s="257"/>
      <c r="CC135" s="257"/>
      <c r="CD135" s="257"/>
      <c r="CE135" s="100">
        <v>821010.12035861472</v>
      </c>
      <c r="CF135" s="100">
        <v>504571.29566713044</v>
      </c>
      <c r="CG135" s="100">
        <v>513275.06527404994</v>
      </c>
      <c r="CH135" s="100">
        <v>2582080.7873557578</v>
      </c>
      <c r="CI135" s="257"/>
      <c r="CJ135" s="437">
        <v>884375.8336557555</v>
      </c>
      <c r="CK135" s="404">
        <v>-874449</v>
      </c>
      <c r="CL135" s="404"/>
      <c r="CM135" s="437">
        <v>906850.85950000002</v>
      </c>
      <c r="CO135" s="434">
        <v>2251629.3192710802</v>
      </c>
      <c r="CP135" s="437">
        <v>1157596.0690550767</v>
      </c>
      <c r="CQ135" s="437">
        <v>-1317966.3079430016</v>
      </c>
      <c r="CR135" s="437">
        <v>505466.68350919499</v>
      </c>
      <c r="CS135" s="257"/>
    </row>
    <row r="136" spans="1:97" x14ac:dyDescent="0.2">
      <c r="A136" s="100">
        <v>435</v>
      </c>
      <c r="B136" s="100" t="s">
        <v>447</v>
      </c>
      <c r="C136" s="100">
        <v>692</v>
      </c>
      <c r="D136" s="257"/>
      <c r="E136" s="257"/>
      <c r="F136" s="257"/>
      <c r="G136" s="257"/>
      <c r="H136" s="325"/>
      <c r="I136" s="257"/>
      <c r="J136" s="257"/>
      <c r="K136" s="257"/>
      <c r="L136" s="257"/>
      <c r="M136" s="257"/>
      <c r="N136" s="257"/>
      <c r="O136" s="257"/>
      <c r="P136" s="257"/>
      <c r="Q136" s="100">
        <v>8</v>
      </c>
      <c r="R136" s="100">
        <v>3</v>
      </c>
      <c r="S136" s="100">
        <v>32</v>
      </c>
      <c r="T136" s="100">
        <v>11</v>
      </c>
      <c r="U136" s="100">
        <v>638</v>
      </c>
      <c r="V136" s="100"/>
      <c r="W136" s="100"/>
      <c r="X136" s="100"/>
      <c r="Y136" s="100"/>
      <c r="Z136" s="257"/>
      <c r="AA136" s="257"/>
      <c r="AB136" s="257"/>
      <c r="AC136" s="257"/>
      <c r="AD136" s="257"/>
      <c r="AE136" s="258">
        <v>0.6397690947439838</v>
      </c>
      <c r="AG136" s="441">
        <v>28.666666666666668</v>
      </c>
      <c r="AH136" s="443">
        <v>284</v>
      </c>
      <c r="AJ136" s="88">
        <v>4</v>
      </c>
      <c r="AM136" s="88">
        <v>0</v>
      </c>
      <c r="AN136" s="88">
        <v>0</v>
      </c>
      <c r="AP136" s="88">
        <v>3</v>
      </c>
      <c r="AQ136" s="399">
        <v>314</v>
      </c>
      <c r="AR136" s="88">
        <v>214.5</v>
      </c>
      <c r="AU136" s="399">
        <v>23</v>
      </c>
      <c r="AV136" s="399">
        <v>140</v>
      </c>
      <c r="AY136" s="88">
        <v>1.5087833333333334</v>
      </c>
      <c r="AZ136" s="432">
        <v>148</v>
      </c>
      <c r="BA136" s="440">
        <v>246</v>
      </c>
      <c r="BC136" s="439">
        <v>0.1</v>
      </c>
      <c r="BD136" s="88">
        <v>0</v>
      </c>
      <c r="BE136" s="88">
        <v>0</v>
      </c>
      <c r="BF136" s="434">
        <v>-12100.79</v>
      </c>
      <c r="BG136" s="100">
        <v>-13427.79</v>
      </c>
      <c r="BH136" s="257"/>
      <c r="BI136" s="100"/>
      <c r="BJ136" s="257"/>
      <c r="BK136" s="100"/>
      <c r="BL136" s="100"/>
      <c r="BM136" s="100"/>
      <c r="BN136" s="257"/>
      <c r="BO136" s="100"/>
      <c r="BP136" s="100">
        <v>102847</v>
      </c>
      <c r="BQ136" s="100">
        <v>28760</v>
      </c>
      <c r="BR136" s="100">
        <v>66423.337834394973</v>
      </c>
      <c r="BS136" s="100">
        <v>3815.7005838035793</v>
      </c>
      <c r="BT136" s="100">
        <v>10995.240063434358</v>
      </c>
      <c r="BU136" s="100">
        <v>27136.50793780879</v>
      </c>
      <c r="BV136" s="100">
        <v>33965.037856840478</v>
      </c>
      <c r="BW136" s="100">
        <v>51871.14596685789</v>
      </c>
      <c r="BX136" s="100">
        <v>18718.732284906531</v>
      </c>
      <c r="BY136" s="100">
        <v>34500.188558972826</v>
      </c>
      <c r="BZ136" s="257"/>
      <c r="CA136" s="100"/>
      <c r="CB136" s="257"/>
      <c r="CC136" s="257"/>
      <c r="CD136" s="257"/>
      <c r="CE136" s="100">
        <v>48143.323548804139</v>
      </c>
      <c r="CF136" s="100">
        <v>23972.015617374345</v>
      </c>
      <c r="CG136" s="100">
        <v>21774.154219626122</v>
      </c>
      <c r="CH136" s="100">
        <v>149774.89296295712</v>
      </c>
      <c r="CI136" s="257"/>
      <c r="CJ136" s="437">
        <v>51482.053425145852</v>
      </c>
      <c r="CK136" s="404">
        <v>-197164</v>
      </c>
      <c r="CL136" s="404"/>
      <c r="CM136" s="437">
        <v>-59599.407500000016</v>
      </c>
      <c r="CO136" s="434">
        <v>386413.02982456383</v>
      </c>
      <c r="CP136" s="437">
        <v>398643.91935570643</v>
      </c>
      <c r="CQ136" s="437">
        <v>-62605.209026397381</v>
      </c>
      <c r="CR136" s="437">
        <v>24010.361407767912</v>
      </c>
      <c r="CS136" s="257"/>
    </row>
    <row r="137" spans="1:97" x14ac:dyDescent="0.2">
      <c r="A137" s="100">
        <v>436</v>
      </c>
      <c r="B137" s="100" t="s">
        <v>448</v>
      </c>
      <c r="C137" s="100">
        <v>1988</v>
      </c>
      <c r="D137" s="257"/>
      <c r="E137" s="257"/>
      <c r="F137" s="257"/>
      <c r="G137" s="257"/>
      <c r="H137" s="325"/>
      <c r="I137" s="257"/>
      <c r="J137" s="257"/>
      <c r="K137" s="257"/>
      <c r="L137" s="257"/>
      <c r="M137" s="257"/>
      <c r="N137" s="257"/>
      <c r="O137" s="257"/>
      <c r="P137" s="257"/>
      <c r="Q137" s="100">
        <v>144</v>
      </c>
      <c r="R137" s="100">
        <v>33</v>
      </c>
      <c r="S137" s="100">
        <v>229</v>
      </c>
      <c r="T137" s="100">
        <v>122</v>
      </c>
      <c r="U137" s="100">
        <v>1460</v>
      </c>
      <c r="V137" s="100"/>
      <c r="W137" s="100"/>
      <c r="X137" s="100"/>
      <c r="Y137" s="100"/>
      <c r="Z137" s="257"/>
      <c r="AA137" s="257"/>
      <c r="AB137" s="257"/>
      <c r="AC137" s="257"/>
      <c r="AD137" s="257"/>
      <c r="AE137" s="258">
        <v>0.85514388727213941</v>
      </c>
      <c r="AG137" s="441">
        <v>49.666666666666664</v>
      </c>
      <c r="AH137" s="443">
        <v>824</v>
      </c>
      <c r="AJ137" s="88">
        <v>33</v>
      </c>
      <c r="AM137" s="88">
        <v>0</v>
      </c>
      <c r="AN137" s="88">
        <v>3</v>
      </c>
      <c r="AP137" s="88">
        <v>0</v>
      </c>
      <c r="AQ137" s="399">
        <v>0</v>
      </c>
      <c r="AR137" s="88">
        <v>214.12</v>
      </c>
      <c r="AU137" s="399">
        <v>53</v>
      </c>
      <c r="AV137" s="399">
        <v>548</v>
      </c>
      <c r="AY137" s="88">
        <v>6.2333333333333331E-2</v>
      </c>
      <c r="AZ137" s="432">
        <v>479</v>
      </c>
      <c r="BA137" s="440">
        <v>759</v>
      </c>
      <c r="BC137" s="439">
        <v>0</v>
      </c>
      <c r="BD137" s="88">
        <v>0</v>
      </c>
      <c r="BE137" s="88">
        <v>0</v>
      </c>
      <c r="BF137" s="434">
        <v>-32828.67</v>
      </c>
      <c r="BG137" s="100">
        <v>-39111.560000000005</v>
      </c>
      <c r="BH137" s="257"/>
      <c r="BI137" s="100"/>
      <c r="BJ137" s="257"/>
      <c r="BK137" s="100"/>
      <c r="BL137" s="100"/>
      <c r="BM137" s="100"/>
      <c r="BN137" s="257"/>
      <c r="BO137" s="100"/>
      <c r="BP137" s="100">
        <v>152295</v>
      </c>
      <c r="BQ137" s="100">
        <v>45371</v>
      </c>
      <c r="BR137" s="100">
        <v>119780.92998940397</v>
      </c>
      <c r="BS137" s="100">
        <v>4609.6513827783165</v>
      </c>
      <c r="BT137" s="100">
        <v>6310.9056571284282</v>
      </c>
      <c r="BU137" s="100">
        <v>59475.102131189837</v>
      </c>
      <c r="BV137" s="100">
        <v>96539.812859476326</v>
      </c>
      <c r="BW137" s="100">
        <v>158323.62571326451</v>
      </c>
      <c r="BX137" s="100">
        <v>36220.49153380224</v>
      </c>
      <c r="BY137" s="100">
        <v>79665.934653034899</v>
      </c>
      <c r="BZ137" s="257"/>
      <c r="CA137" s="100"/>
      <c r="CB137" s="257"/>
      <c r="CC137" s="257"/>
      <c r="CD137" s="257"/>
      <c r="CE137" s="100">
        <v>107837.55725778629</v>
      </c>
      <c r="CF137" s="100">
        <v>61886.620857859118</v>
      </c>
      <c r="CG137" s="100">
        <v>64087.176670649504</v>
      </c>
      <c r="CH137" s="100">
        <v>322752.50759831484</v>
      </c>
      <c r="CI137" s="257"/>
      <c r="CJ137" s="437">
        <v>1370357.932213129</v>
      </c>
      <c r="CK137" s="404">
        <v>-345903</v>
      </c>
      <c r="CL137" s="404"/>
      <c r="CM137" s="437">
        <v>-10696.564499999993</v>
      </c>
      <c r="CO137" s="434">
        <v>-94109.188607009564</v>
      </c>
      <c r="CP137" s="437">
        <v>-198042.53639674731</v>
      </c>
      <c r="CQ137" s="437">
        <v>-179854.27101803178</v>
      </c>
      <c r="CR137" s="437">
        <v>68977.743466246538</v>
      </c>
      <c r="CS137" s="257"/>
    </row>
    <row r="138" spans="1:97" x14ac:dyDescent="0.2">
      <c r="A138" s="100">
        <v>440</v>
      </c>
      <c r="B138" s="100" t="s">
        <v>449</v>
      </c>
      <c r="C138" s="100">
        <v>5732</v>
      </c>
      <c r="D138" s="257"/>
      <c r="E138" s="257"/>
      <c r="F138" s="257"/>
      <c r="G138" s="257"/>
      <c r="H138" s="325"/>
      <c r="I138" s="257"/>
      <c r="J138" s="257"/>
      <c r="K138" s="257"/>
      <c r="L138" s="257"/>
      <c r="M138" s="257"/>
      <c r="N138" s="257"/>
      <c r="O138" s="257"/>
      <c r="P138" s="257"/>
      <c r="Q138" s="100">
        <v>705</v>
      </c>
      <c r="R138" s="100">
        <v>108</v>
      </c>
      <c r="S138" s="100">
        <v>660</v>
      </c>
      <c r="T138" s="100">
        <v>316</v>
      </c>
      <c r="U138" s="100">
        <v>3943</v>
      </c>
      <c r="V138" s="100"/>
      <c r="W138" s="100"/>
      <c r="X138" s="100"/>
      <c r="Y138" s="100"/>
      <c r="Z138" s="257"/>
      <c r="AA138" s="257"/>
      <c r="AB138" s="257"/>
      <c r="AC138" s="257"/>
      <c r="AD138" s="257"/>
      <c r="AE138" s="258">
        <v>1.055134733626123</v>
      </c>
      <c r="AG138" s="441">
        <v>50.333333333333336</v>
      </c>
      <c r="AH138" s="443">
        <v>2443</v>
      </c>
      <c r="AJ138" s="88">
        <v>152</v>
      </c>
      <c r="AM138" s="88">
        <v>3</v>
      </c>
      <c r="AN138" s="88">
        <v>5277</v>
      </c>
      <c r="AP138" s="88">
        <v>3</v>
      </c>
      <c r="AQ138" s="399">
        <v>2104</v>
      </c>
      <c r="AR138" s="88">
        <v>142.74</v>
      </c>
      <c r="AU138" s="399">
        <v>128</v>
      </c>
      <c r="AV138" s="399">
        <v>1534</v>
      </c>
      <c r="AY138" s="88">
        <v>0</v>
      </c>
      <c r="AZ138" s="432">
        <v>1179</v>
      </c>
      <c r="BA138" s="440">
        <v>2471</v>
      </c>
      <c r="BC138" s="439">
        <v>1.9</v>
      </c>
      <c r="BD138" s="88">
        <v>0</v>
      </c>
      <c r="BE138" s="88">
        <v>0</v>
      </c>
      <c r="BF138" s="434">
        <v>-33531.86</v>
      </c>
      <c r="BG138" s="100">
        <v>-106308.14</v>
      </c>
      <c r="BH138" s="257"/>
      <c r="BI138" s="100"/>
      <c r="BJ138" s="257"/>
      <c r="BK138" s="100"/>
      <c r="BL138" s="100"/>
      <c r="BM138" s="100"/>
      <c r="BN138" s="257"/>
      <c r="BO138" s="100"/>
      <c r="BP138" s="100">
        <v>333918</v>
      </c>
      <c r="BQ138" s="100">
        <v>115068</v>
      </c>
      <c r="BR138" s="100">
        <v>264249.42472127429</v>
      </c>
      <c r="BS138" s="100">
        <v>8620.9717309340886</v>
      </c>
      <c r="BT138" s="100">
        <v>32415.934720927144</v>
      </c>
      <c r="BU138" s="100">
        <v>138524.35282339575</v>
      </c>
      <c r="BV138" s="100">
        <v>269394.57623006677</v>
      </c>
      <c r="BW138" s="100">
        <v>333512.19170808961</v>
      </c>
      <c r="BX138" s="100">
        <v>102423.60818471834</v>
      </c>
      <c r="BY138" s="100">
        <v>201379.02455617866</v>
      </c>
      <c r="BZ138" s="257"/>
      <c r="CA138" s="100"/>
      <c r="CB138" s="257"/>
      <c r="CC138" s="257"/>
      <c r="CD138" s="257"/>
      <c r="CE138" s="100">
        <v>249972.51896339984</v>
      </c>
      <c r="CF138" s="100">
        <v>165221.95337106785</v>
      </c>
      <c r="CG138" s="100">
        <v>177295.05752753647</v>
      </c>
      <c r="CH138" s="100">
        <v>758111.19354579132</v>
      </c>
      <c r="CI138" s="257"/>
      <c r="CJ138" s="437">
        <v>3109938.5714811538</v>
      </c>
      <c r="CK138" s="404">
        <v>-1562164</v>
      </c>
      <c r="CL138" s="404"/>
      <c r="CM138" s="437">
        <v>-64149.549999999974</v>
      </c>
      <c r="CO138" s="434">
        <v>-1089533.1974779894</v>
      </c>
      <c r="CP138" s="437">
        <v>-1161363.6266788817</v>
      </c>
      <c r="CQ138" s="437">
        <v>-518573.78343830898</v>
      </c>
      <c r="CR138" s="437">
        <v>198883.51385740703</v>
      </c>
      <c r="CS138" s="257"/>
    </row>
    <row r="139" spans="1:97" x14ac:dyDescent="0.2">
      <c r="A139" s="100">
        <v>441</v>
      </c>
      <c r="B139" s="100" t="s">
        <v>450</v>
      </c>
      <c r="C139" s="100">
        <v>4421</v>
      </c>
      <c r="D139" s="257"/>
      <c r="E139" s="257"/>
      <c r="F139" s="257"/>
      <c r="G139" s="257"/>
      <c r="H139" s="325"/>
      <c r="I139" s="257"/>
      <c r="J139" s="257"/>
      <c r="K139" s="257"/>
      <c r="L139" s="257"/>
      <c r="M139" s="257"/>
      <c r="N139" s="257"/>
      <c r="O139" s="257"/>
      <c r="P139" s="257"/>
      <c r="Q139" s="100">
        <v>145</v>
      </c>
      <c r="R139" s="100">
        <v>28</v>
      </c>
      <c r="S139" s="100">
        <v>247</v>
      </c>
      <c r="T139" s="100">
        <v>136</v>
      </c>
      <c r="U139" s="100">
        <v>3865</v>
      </c>
      <c r="V139" s="100"/>
      <c r="W139" s="100"/>
      <c r="X139" s="100"/>
      <c r="Y139" s="100"/>
      <c r="Z139" s="257"/>
      <c r="AA139" s="257"/>
      <c r="AB139" s="257"/>
      <c r="AC139" s="257"/>
      <c r="AD139" s="257"/>
      <c r="AE139" s="258">
        <v>0.98995482396034695</v>
      </c>
      <c r="AG139" s="441">
        <v>196.58333333333334</v>
      </c>
      <c r="AH139" s="443">
        <v>1911</v>
      </c>
      <c r="AJ139" s="88">
        <v>209</v>
      </c>
      <c r="AM139" s="88">
        <v>0</v>
      </c>
      <c r="AN139" s="88">
        <v>13</v>
      </c>
      <c r="AP139" s="88">
        <v>0</v>
      </c>
      <c r="AQ139" s="399">
        <v>0</v>
      </c>
      <c r="AR139" s="88">
        <v>750.16</v>
      </c>
      <c r="AU139" s="399">
        <v>144</v>
      </c>
      <c r="AV139" s="399">
        <v>1111</v>
      </c>
      <c r="AY139" s="88">
        <v>0.6498666666666667</v>
      </c>
      <c r="AZ139" s="432">
        <v>1198</v>
      </c>
      <c r="BA139" s="440">
        <v>1667</v>
      </c>
      <c r="BC139" s="439">
        <v>0</v>
      </c>
      <c r="BD139" s="88">
        <v>0</v>
      </c>
      <c r="BE139" s="88">
        <v>0</v>
      </c>
      <c r="BF139" s="434">
        <v>-181562.26</v>
      </c>
      <c r="BG139" s="100">
        <v>-87271.03</v>
      </c>
      <c r="BH139" s="257"/>
      <c r="BI139" s="100"/>
      <c r="BJ139" s="257"/>
      <c r="BK139" s="100"/>
      <c r="BL139" s="100"/>
      <c r="BM139" s="100"/>
      <c r="BN139" s="257"/>
      <c r="BO139" s="100"/>
      <c r="BP139" s="100">
        <v>440971</v>
      </c>
      <c r="BQ139" s="100">
        <v>142817</v>
      </c>
      <c r="BR139" s="100">
        <v>344336.52454953437</v>
      </c>
      <c r="BS139" s="100">
        <v>17832.943227524513</v>
      </c>
      <c r="BT139" s="100">
        <v>59729.456418195077</v>
      </c>
      <c r="BU139" s="100">
        <v>158241.6708336102</v>
      </c>
      <c r="BV139" s="100">
        <v>262569.6459401098</v>
      </c>
      <c r="BW139" s="100">
        <v>409634.62053091574</v>
      </c>
      <c r="BX139" s="100">
        <v>124770.503660501</v>
      </c>
      <c r="BY139" s="100">
        <v>219985.4825288346</v>
      </c>
      <c r="BZ139" s="257"/>
      <c r="CA139" s="100"/>
      <c r="CB139" s="257"/>
      <c r="CC139" s="257"/>
      <c r="CD139" s="257"/>
      <c r="CE139" s="100">
        <v>302548.04510296287</v>
      </c>
      <c r="CF139" s="100">
        <v>170566.49252309359</v>
      </c>
      <c r="CG139" s="100">
        <v>160484.0883988417</v>
      </c>
      <c r="CH139" s="100">
        <v>875665.43026136665</v>
      </c>
      <c r="CI139" s="257"/>
      <c r="CJ139" s="437">
        <v>1133238.7092830553</v>
      </c>
      <c r="CK139" s="404">
        <v>-293365</v>
      </c>
      <c r="CL139" s="404"/>
      <c r="CM139" s="437">
        <v>-93195.869500000001</v>
      </c>
      <c r="CO139" s="434">
        <v>-771732.80704087787</v>
      </c>
      <c r="CP139" s="437">
        <v>-208178.25878147365</v>
      </c>
      <c r="CQ139" s="437">
        <v>-399967.67211806768</v>
      </c>
      <c r="CR139" s="437">
        <v>153395.67598806639</v>
      </c>
      <c r="CS139" s="257"/>
    </row>
    <row r="140" spans="1:97" x14ac:dyDescent="0.2">
      <c r="A140" s="100">
        <v>475</v>
      </c>
      <c r="B140" s="100" t="s">
        <v>453</v>
      </c>
      <c r="C140" s="100">
        <v>5479</v>
      </c>
      <c r="D140" s="257"/>
      <c r="E140" s="257"/>
      <c r="F140" s="257"/>
      <c r="G140" s="257"/>
      <c r="H140" s="325"/>
      <c r="I140" s="257"/>
      <c r="J140" s="257"/>
      <c r="K140" s="257"/>
      <c r="L140" s="257"/>
      <c r="M140" s="257"/>
      <c r="N140" s="257"/>
      <c r="O140" s="257"/>
      <c r="P140" s="257"/>
      <c r="Q140" s="100">
        <v>321</v>
      </c>
      <c r="R140" s="100">
        <v>49</v>
      </c>
      <c r="S140" s="100">
        <v>333</v>
      </c>
      <c r="T140" s="100">
        <v>211</v>
      </c>
      <c r="U140" s="100">
        <v>4565</v>
      </c>
      <c r="V140" s="100"/>
      <c r="W140" s="100"/>
      <c r="X140" s="100"/>
      <c r="Y140" s="100"/>
      <c r="Z140" s="257"/>
      <c r="AA140" s="257"/>
      <c r="AB140" s="257"/>
      <c r="AC140" s="257"/>
      <c r="AD140" s="257"/>
      <c r="AE140" s="258">
        <v>1.0401075244790516</v>
      </c>
      <c r="AG140" s="441">
        <v>93.25</v>
      </c>
      <c r="AH140" s="443">
        <v>2583</v>
      </c>
      <c r="AJ140" s="88">
        <v>283</v>
      </c>
      <c r="AM140" s="88">
        <v>3</v>
      </c>
      <c r="AN140" s="88">
        <v>4671</v>
      </c>
      <c r="AP140" s="88">
        <v>1</v>
      </c>
      <c r="AQ140" s="399">
        <v>0</v>
      </c>
      <c r="AR140" s="88">
        <v>522.11</v>
      </c>
      <c r="AU140" s="399">
        <v>163</v>
      </c>
      <c r="AV140" s="399">
        <v>1624</v>
      </c>
      <c r="AY140" s="88">
        <v>8.0533333333333332E-2</v>
      </c>
      <c r="AZ140" s="432">
        <v>1865</v>
      </c>
      <c r="BA140" s="440">
        <v>2499</v>
      </c>
      <c r="BC140" s="439">
        <v>0.03</v>
      </c>
      <c r="BD140" s="88">
        <v>0</v>
      </c>
      <c r="BE140" s="88">
        <v>0</v>
      </c>
      <c r="BF140" s="434">
        <v>-53528.464999999997</v>
      </c>
      <c r="BG140" s="100">
        <v>-104713.71</v>
      </c>
      <c r="BH140" s="257"/>
      <c r="BI140" s="100"/>
      <c r="BJ140" s="257"/>
      <c r="BK140" s="100"/>
      <c r="BL140" s="100"/>
      <c r="BM140" s="100"/>
      <c r="BN140" s="257"/>
      <c r="BO140" s="100"/>
      <c r="BP140" s="100">
        <v>527887</v>
      </c>
      <c r="BQ140" s="100">
        <v>179692</v>
      </c>
      <c r="BR140" s="100">
        <v>440779.18001771974</v>
      </c>
      <c r="BS140" s="100">
        <v>19590.202182369918</v>
      </c>
      <c r="BT140" s="100">
        <v>73233.53154674625</v>
      </c>
      <c r="BU140" s="100">
        <v>172456.47551341791</v>
      </c>
      <c r="BV140" s="100">
        <v>309448.79501962755</v>
      </c>
      <c r="BW140" s="100">
        <v>542673.18343961413</v>
      </c>
      <c r="BX140" s="100">
        <v>163920.23664022674</v>
      </c>
      <c r="BY140" s="100">
        <v>270575.71096245118</v>
      </c>
      <c r="BZ140" s="257"/>
      <c r="CA140" s="100"/>
      <c r="CB140" s="257"/>
      <c r="CC140" s="257"/>
      <c r="CD140" s="257"/>
      <c r="CE140" s="100">
        <v>364213.62055919674</v>
      </c>
      <c r="CF140" s="100">
        <v>214770.54845358379</v>
      </c>
      <c r="CG140" s="100">
        <v>217505.33840835249</v>
      </c>
      <c r="CH140" s="100">
        <v>1089548.6860257196</v>
      </c>
      <c r="CI140" s="257"/>
      <c r="CJ140" s="437">
        <v>1760521.3545379383</v>
      </c>
      <c r="CK140" s="404">
        <v>-210424</v>
      </c>
      <c r="CL140" s="404"/>
      <c r="CM140" s="437">
        <v>725352.38850000012</v>
      </c>
      <c r="CO140" s="434">
        <v>-1369632.3485997785</v>
      </c>
      <c r="CP140" s="437">
        <v>-982308.96335567965</v>
      </c>
      <c r="CQ140" s="437">
        <v>-495684.88476247294</v>
      </c>
      <c r="CR140" s="437">
        <v>190105.1591808676</v>
      </c>
      <c r="CS140" s="257"/>
    </row>
    <row r="141" spans="1:97" x14ac:dyDescent="0.2">
      <c r="A141" s="100">
        <v>480</v>
      </c>
      <c r="B141" s="100" t="s">
        <v>454</v>
      </c>
      <c r="C141" s="100">
        <v>1978</v>
      </c>
      <c r="D141" s="257"/>
      <c r="E141" s="257"/>
      <c r="F141" s="257"/>
      <c r="G141" s="257"/>
      <c r="H141" s="325"/>
      <c r="I141" s="257"/>
      <c r="J141" s="257"/>
      <c r="K141" s="257"/>
      <c r="L141" s="257"/>
      <c r="M141" s="257"/>
      <c r="N141" s="257"/>
      <c r="O141" s="257"/>
      <c r="P141" s="257"/>
      <c r="Q141" s="100">
        <v>105</v>
      </c>
      <c r="R141" s="100">
        <v>26</v>
      </c>
      <c r="S141" s="100">
        <v>141</v>
      </c>
      <c r="T141" s="100">
        <v>71</v>
      </c>
      <c r="U141" s="100">
        <v>1635</v>
      </c>
      <c r="V141" s="100"/>
      <c r="W141" s="100"/>
      <c r="X141" s="100"/>
      <c r="Y141" s="100"/>
      <c r="Z141" s="257"/>
      <c r="AA141" s="257"/>
      <c r="AB141" s="257"/>
      <c r="AC141" s="257"/>
      <c r="AD141" s="257"/>
      <c r="AE141" s="258">
        <v>0.78669911263960246</v>
      </c>
      <c r="AG141" s="441">
        <v>53.916666666666664</v>
      </c>
      <c r="AH141" s="443">
        <v>906</v>
      </c>
      <c r="AJ141" s="88">
        <v>58</v>
      </c>
      <c r="AM141" s="88">
        <v>0</v>
      </c>
      <c r="AN141" s="88">
        <v>19</v>
      </c>
      <c r="AP141" s="88">
        <v>0</v>
      </c>
      <c r="AQ141" s="399">
        <v>0</v>
      </c>
      <c r="AR141" s="88">
        <v>195.31</v>
      </c>
      <c r="AU141" s="399">
        <v>89</v>
      </c>
      <c r="AV141" s="399">
        <v>588</v>
      </c>
      <c r="AY141" s="88">
        <v>0</v>
      </c>
      <c r="AZ141" s="432">
        <v>484</v>
      </c>
      <c r="BA141" s="440">
        <v>818</v>
      </c>
      <c r="BC141" s="439">
        <v>0</v>
      </c>
      <c r="BD141" s="88">
        <v>0</v>
      </c>
      <c r="BE141" s="88">
        <v>0</v>
      </c>
      <c r="BF141" s="434">
        <v>-34075.519999999997</v>
      </c>
      <c r="BG141" s="100">
        <v>-38400.79</v>
      </c>
      <c r="BH141" s="257"/>
      <c r="BI141" s="100"/>
      <c r="BJ141" s="257"/>
      <c r="BK141" s="100"/>
      <c r="BL141" s="100"/>
      <c r="BM141" s="100"/>
      <c r="BN141" s="257"/>
      <c r="BO141" s="100"/>
      <c r="BP141" s="100">
        <v>189435</v>
      </c>
      <c r="BQ141" s="100">
        <v>64417</v>
      </c>
      <c r="BR141" s="100">
        <v>154742.8346528901</v>
      </c>
      <c r="BS141" s="100">
        <v>7161.8526833394699</v>
      </c>
      <c r="BT141" s="100">
        <v>25643.293826561679</v>
      </c>
      <c r="BU141" s="100">
        <v>61135.430983444574</v>
      </c>
      <c r="BV141" s="100">
        <v>131032.95212894429</v>
      </c>
      <c r="BW141" s="100">
        <v>184634.59575103052</v>
      </c>
      <c r="BX141" s="100">
        <v>58231.54700398651</v>
      </c>
      <c r="BY141" s="100">
        <v>97282.763409949592</v>
      </c>
      <c r="BZ141" s="257"/>
      <c r="CA141" s="100"/>
      <c r="CB141" s="257"/>
      <c r="CC141" s="257"/>
      <c r="CD141" s="257"/>
      <c r="CE141" s="100">
        <v>134846.85780025378</v>
      </c>
      <c r="CF141" s="100">
        <v>78407.553211113685</v>
      </c>
      <c r="CG141" s="100">
        <v>76835.552497350742</v>
      </c>
      <c r="CH141" s="100">
        <v>425028.68870546325</v>
      </c>
      <c r="CI141" s="257"/>
      <c r="CJ141" s="437">
        <v>1045553.516954615</v>
      </c>
      <c r="CK141" s="404">
        <v>-505724</v>
      </c>
      <c r="CL141" s="404"/>
      <c r="CM141" s="437">
        <v>-792172.35000000021</v>
      </c>
      <c r="CO141" s="434">
        <v>111571.41106489858</v>
      </c>
      <c r="CP141" s="437">
        <v>-3659.5639550630558</v>
      </c>
      <c r="CQ141" s="437">
        <v>-178949.5714656272</v>
      </c>
      <c r="CR141" s="437">
        <v>68630.772925671859</v>
      </c>
      <c r="CS141" s="257"/>
    </row>
    <row r="142" spans="1:97" x14ac:dyDescent="0.2">
      <c r="A142" s="100">
        <v>481</v>
      </c>
      <c r="B142" s="100" t="s">
        <v>455</v>
      </c>
      <c r="C142" s="100">
        <v>9642</v>
      </c>
      <c r="D142" s="257"/>
      <c r="E142" s="257"/>
      <c r="F142" s="257"/>
      <c r="G142" s="257"/>
      <c r="H142" s="325"/>
      <c r="I142" s="257"/>
      <c r="J142" s="257"/>
      <c r="K142" s="257"/>
      <c r="L142" s="257"/>
      <c r="M142" s="257"/>
      <c r="N142" s="257"/>
      <c r="O142" s="257"/>
      <c r="P142" s="257"/>
      <c r="Q142" s="100">
        <v>610</v>
      </c>
      <c r="R142" s="100">
        <v>112</v>
      </c>
      <c r="S142" s="100">
        <v>854</v>
      </c>
      <c r="T142" s="100">
        <v>417</v>
      </c>
      <c r="U142" s="100">
        <v>7649</v>
      </c>
      <c r="V142" s="100"/>
      <c r="W142" s="100"/>
      <c r="X142" s="100"/>
      <c r="Y142" s="100"/>
      <c r="Z142" s="257"/>
      <c r="AA142" s="257"/>
      <c r="AB142" s="257"/>
      <c r="AC142" s="257"/>
      <c r="AD142" s="257"/>
      <c r="AE142" s="258">
        <v>1.0337967312252869</v>
      </c>
      <c r="AG142" s="441">
        <v>221.25</v>
      </c>
      <c r="AH142" s="443">
        <v>4789</v>
      </c>
      <c r="AJ142" s="88">
        <v>241</v>
      </c>
      <c r="AM142" s="88">
        <v>0</v>
      </c>
      <c r="AN142" s="88">
        <v>123</v>
      </c>
      <c r="AP142" s="88">
        <v>0</v>
      </c>
      <c r="AQ142" s="399">
        <v>0</v>
      </c>
      <c r="AR142" s="88">
        <v>174.89</v>
      </c>
      <c r="AU142" s="399">
        <v>287</v>
      </c>
      <c r="AV142" s="399">
        <v>3365</v>
      </c>
      <c r="AY142" s="88">
        <v>0</v>
      </c>
      <c r="AZ142" s="432">
        <v>2360</v>
      </c>
      <c r="BA142" s="440">
        <v>4536</v>
      </c>
      <c r="BC142" s="439">
        <v>0.38</v>
      </c>
      <c r="BD142" s="88">
        <v>0</v>
      </c>
      <c r="BE142" s="88">
        <v>0</v>
      </c>
      <c r="BF142" s="434">
        <v>-96933.797500000001</v>
      </c>
      <c r="BG142" s="100">
        <v>-183321.03</v>
      </c>
      <c r="BH142" s="257"/>
      <c r="BI142" s="100"/>
      <c r="BJ142" s="257"/>
      <c r="BK142" s="100"/>
      <c r="BL142" s="100"/>
      <c r="BM142" s="100"/>
      <c r="BN142" s="257"/>
      <c r="BO142" s="100"/>
      <c r="BP142" s="100">
        <v>621436</v>
      </c>
      <c r="BQ142" s="100">
        <v>207148</v>
      </c>
      <c r="BR142" s="100">
        <v>331328.82182197727</v>
      </c>
      <c r="BS142" s="100">
        <v>-3308.5954171148328</v>
      </c>
      <c r="BT142" s="100">
        <v>-53204.678997454095</v>
      </c>
      <c r="BU142" s="100">
        <v>172834.1055396685</v>
      </c>
      <c r="BV142" s="100">
        <v>408529.98781932035</v>
      </c>
      <c r="BW142" s="100">
        <v>752960.61097494164</v>
      </c>
      <c r="BX142" s="100">
        <v>181718.37970835684</v>
      </c>
      <c r="BY142" s="100">
        <v>322529.81921711017</v>
      </c>
      <c r="BZ142" s="257"/>
      <c r="CA142" s="100"/>
      <c r="CB142" s="257"/>
      <c r="CC142" s="257"/>
      <c r="CD142" s="257"/>
      <c r="CE142" s="100">
        <v>405730.03047926672</v>
      </c>
      <c r="CF142" s="100">
        <v>272602.39546321786</v>
      </c>
      <c r="CG142" s="100">
        <v>284204.78691372473</v>
      </c>
      <c r="CH142" s="100">
        <v>1209835.8994331209</v>
      </c>
      <c r="CI142" s="257"/>
      <c r="CJ142" s="437">
        <v>954728.97615719913</v>
      </c>
      <c r="CK142" s="404">
        <v>-2232956</v>
      </c>
      <c r="CL142" s="404"/>
      <c r="CM142" s="437">
        <v>-228984.05650000001</v>
      </c>
      <c r="CO142" s="434">
        <v>327377.96851024253</v>
      </c>
      <c r="CP142" s="437">
        <v>4740.8405081012779</v>
      </c>
      <c r="CQ142" s="437">
        <v>-872311.30842850229</v>
      </c>
      <c r="CR142" s="437">
        <v>334548.99522210722</v>
      </c>
      <c r="CS142" s="257"/>
    </row>
    <row r="143" spans="1:97" x14ac:dyDescent="0.2">
      <c r="A143" s="100">
        <v>483</v>
      </c>
      <c r="B143" s="100" t="s">
        <v>456</v>
      </c>
      <c r="C143" s="100">
        <v>1067</v>
      </c>
      <c r="D143" s="257"/>
      <c r="E143" s="257"/>
      <c r="F143" s="257"/>
      <c r="G143" s="257"/>
      <c r="H143" s="325"/>
      <c r="I143" s="257"/>
      <c r="J143" s="257"/>
      <c r="K143" s="257"/>
      <c r="L143" s="257"/>
      <c r="M143" s="257"/>
      <c r="N143" s="257"/>
      <c r="O143" s="257"/>
      <c r="P143" s="257"/>
      <c r="Q143" s="100">
        <v>97</v>
      </c>
      <c r="R143" s="100">
        <v>18</v>
      </c>
      <c r="S143" s="100">
        <v>118</v>
      </c>
      <c r="T143" s="100">
        <v>41</v>
      </c>
      <c r="U143" s="100">
        <v>793</v>
      </c>
      <c r="V143" s="100"/>
      <c r="W143" s="100"/>
      <c r="X143" s="100"/>
      <c r="Y143" s="100"/>
      <c r="Z143" s="257"/>
      <c r="AA143" s="257"/>
      <c r="AB143" s="257"/>
      <c r="AC143" s="257"/>
      <c r="AD143" s="257"/>
      <c r="AE143" s="258">
        <v>0.62886768293060624</v>
      </c>
      <c r="AG143" s="441">
        <v>30.416666666666668</v>
      </c>
      <c r="AH143" s="443">
        <v>413</v>
      </c>
      <c r="AJ143" s="88">
        <v>3</v>
      </c>
      <c r="AM143" s="88">
        <v>0</v>
      </c>
      <c r="AN143" s="88">
        <v>3</v>
      </c>
      <c r="AP143" s="88">
        <v>0</v>
      </c>
      <c r="AQ143" s="399">
        <v>0</v>
      </c>
      <c r="AR143" s="88">
        <v>229.97</v>
      </c>
      <c r="AU143" s="399">
        <v>21</v>
      </c>
      <c r="AV143" s="399">
        <v>226</v>
      </c>
      <c r="AY143" s="88">
        <v>0.44555</v>
      </c>
      <c r="AZ143" s="432">
        <v>253</v>
      </c>
      <c r="BA143" s="440">
        <v>381</v>
      </c>
      <c r="BC143" s="439">
        <v>0</v>
      </c>
      <c r="BD143" s="88">
        <v>0</v>
      </c>
      <c r="BE143" s="88">
        <v>0</v>
      </c>
      <c r="BF143" s="434">
        <v>-36982.695</v>
      </c>
      <c r="BG143" s="100">
        <v>-20708.38</v>
      </c>
      <c r="BH143" s="257"/>
      <c r="BI143" s="100"/>
      <c r="BJ143" s="257"/>
      <c r="BK143" s="100"/>
      <c r="BL143" s="100"/>
      <c r="BM143" s="100"/>
      <c r="BN143" s="257"/>
      <c r="BO143" s="100"/>
      <c r="BP143" s="100">
        <v>112571</v>
      </c>
      <c r="BQ143" s="100">
        <v>33696</v>
      </c>
      <c r="BR143" s="100">
        <v>92424.517882423592</v>
      </c>
      <c r="BS143" s="100">
        <v>5507.5553950647927</v>
      </c>
      <c r="BT143" s="100">
        <v>19154.822726968228</v>
      </c>
      <c r="BU143" s="100">
        <v>43544.673574117616</v>
      </c>
      <c r="BV143" s="100">
        <v>65777.089882971923</v>
      </c>
      <c r="BW143" s="100">
        <v>103253.28900229663</v>
      </c>
      <c r="BX143" s="100">
        <v>26737.415639207149</v>
      </c>
      <c r="BY143" s="100">
        <v>53503.323978154454</v>
      </c>
      <c r="BZ143" s="257"/>
      <c r="CA143" s="100"/>
      <c r="CB143" s="257"/>
      <c r="CC143" s="257"/>
      <c r="CD143" s="257"/>
      <c r="CE143" s="100">
        <v>78290.571500293823</v>
      </c>
      <c r="CF143" s="100">
        <v>44070.747498643381</v>
      </c>
      <c r="CG143" s="100">
        <v>41921.366200589859</v>
      </c>
      <c r="CH143" s="100">
        <v>239935.47596454332</v>
      </c>
      <c r="CI143" s="257"/>
      <c r="CJ143" s="437">
        <v>954351.17404241033</v>
      </c>
      <c r="CK143" s="404">
        <v>-219864</v>
      </c>
      <c r="CL143" s="404"/>
      <c r="CM143" s="437">
        <v>58256.742499999993</v>
      </c>
      <c r="CO143" s="434">
        <v>-212166.39532572028</v>
      </c>
      <c r="CP143" s="437">
        <v>-275535.03664816794</v>
      </c>
      <c r="CQ143" s="437">
        <v>-96531.44224156937</v>
      </c>
      <c r="CR143" s="437">
        <v>37021.756679318438</v>
      </c>
      <c r="CS143" s="257"/>
    </row>
    <row r="144" spans="1:97" x14ac:dyDescent="0.2">
      <c r="A144" s="100">
        <v>484</v>
      </c>
      <c r="B144" s="100" t="s">
        <v>457</v>
      </c>
      <c r="C144" s="100">
        <v>2967</v>
      </c>
      <c r="D144" s="257"/>
      <c r="E144" s="257"/>
      <c r="F144" s="257"/>
      <c r="G144" s="257"/>
      <c r="H144" s="325"/>
      <c r="I144" s="257"/>
      <c r="J144" s="257"/>
      <c r="K144" s="257"/>
      <c r="L144" s="257"/>
      <c r="M144" s="257"/>
      <c r="N144" s="257"/>
      <c r="O144" s="257"/>
      <c r="P144" s="257"/>
      <c r="Q144" s="100">
        <v>149</v>
      </c>
      <c r="R144" s="100">
        <v>27</v>
      </c>
      <c r="S144" s="100">
        <v>196</v>
      </c>
      <c r="T144" s="100">
        <v>81</v>
      </c>
      <c r="U144" s="100">
        <v>2514</v>
      </c>
      <c r="V144" s="100"/>
      <c r="W144" s="100"/>
      <c r="X144" s="100"/>
      <c r="Y144" s="100"/>
      <c r="Z144" s="257"/>
      <c r="AA144" s="257"/>
      <c r="AB144" s="257"/>
      <c r="AC144" s="257"/>
      <c r="AD144" s="257"/>
      <c r="AE144" s="258">
        <v>0.67479935223867671</v>
      </c>
      <c r="AG144" s="441">
        <v>102.5</v>
      </c>
      <c r="AH144" s="443">
        <v>1195</v>
      </c>
      <c r="AJ144" s="88">
        <v>59</v>
      </c>
      <c r="AM144" s="88">
        <v>0</v>
      </c>
      <c r="AN144" s="88">
        <v>15</v>
      </c>
      <c r="AP144" s="88">
        <v>0</v>
      </c>
      <c r="AQ144" s="399">
        <v>0</v>
      </c>
      <c r="AR144" s="88">
        <v>446.28</v>
      </c>
      <c r="AU144" s="399">
        <v>120</v>
      </c>
      <c r="AV144" s="399">
        <v>704</v>
      </c>
      <c r="AY144" s="88">
        <v>0.84028333333333327</v>
      </c>
      <c r="AZ144" s="432">
        <v>947</v>
      </c>
      <c r="BA144" s="440">
        <v>1056</v>
      </c>
      <c r="BC144" s="439">
        <v>0</v>
      </c>
      <c r="BD144" s="88">
        <v>0</v>
      </c>
      <c r="BE144" s="88">
        <v>0</v>
      </c>
      <c r="BF144" s="434">
        <v>-41013.089999999997</v>
      </c>
      <c r="BG144" s="100">
        <v>-58897.86</v>
      </c>
      <c r="BH144" s="257"/>
      <c r="BI144" s="100"/>
      <c r="BJ144" s="257"/>
      <c r="BK144" s="100"/>
      <c r="BL144" s="100"/>
      <c r="BM144" s="100"/>
      <c r="BN144" s="257"/>
      <c r="BO144" s="100"/>
      <c r="BP144" s="100">
        <v>331324</v>
      </c>
      <c r="BQ144" s="100">
        <v>93113</v>
      </c>
      <c r="BR144" s="100">
        <v>256823.8610218016</v>
      </c>
      <c r="BS144" s="100">
        <v>13951.650723552873</v>
      </c>
      <c r="BT144" s="100">
        <v>22369.264152764252</v>
      </c>
      <c r="BU144" s="100">
        <v>113238.57277297978</v>
      </c>
      <c r="BV144" s="100">
        <v>151607.59694996048</v>
      </c>
      <c r="BW144" s="100">
        <v>266347.51058556547</v>
      </c>
      <c r="BX144" s="100">
        <v>74204.931666800185</v>
      </c>
      <c r="BY144" s="100">
        <v>134678.30637987037</v>
      </c>
      <c r="BZ144" s="257"/>
      <c r="CA144" s="100"/>
      <c r="CB144" s="257"/>
      <c r="CC144" s="257"/>
      <c r="CD144" s="257"/>
      <c r="CE144" s="100">
        <v>195253.85175951576</v>
      </c>
      <c r="CF144" s="100">
        <v>109855.45639265601</v>
      </c>
      <c r="CG144" s="100">
        <v>97915.53809081194</v>
      </c>
      <c r="CH144" s="100">
        <v>603634.27597390395</v>
      </c>
      <c r="CI144" s="257"/>
      <c r="CJ144" s="437">
        <v>1072995.1742732907</v>
      </c>
      <c r="CK144" s="404">
        <v>284726</v>
      </c>
      <c r="CL144" s="404"/>
      <c r="CM144" s="437">
        <v>128448.28499999997</v>
      </c>
      <c r="CO144" s="434">
        <v>-371346.06581088656</v>
      </c>
      <c r="CP144" s="437">
        <v>68319.422661186181</v>
      </c>
      <c r="CQ144" s="437">
        <v>-268424.35719844082</v>
      </c>
      <c r="CR144" s="437">
        <v>102946.15938850779</v>
      </c>
      <c r="CS144" s="257"/>
    </row>
    <row r="145" spans="1:97" x14ac:dyDescent="0.2">
      <c r="A145" s="100">
        <v>489</v>
      </c>
      <c r="B145" s="100" t="s">
        <v>458</v>
      </c>
      <c r="C145" s="100">
        <v>1791</v>
      </c>
      <c r="D145" s="257"/>
      <c r="E145" s="257"/>
      <c r="F145" s="257"/>
      <c r="G145" s="257"/>
      <c r="H145" s="325"/>
      <c r="I145" s="257"/>
      <c r="J145" s="257"/>
      <c r="K145" s="257"/>
      <c r="L145" s="257"/>
      <c r="M145" s="257"/>
      <c r="N145" s="257"/>
      <c r="O145" s="257"/>
      <c r="P145" s="257"/>
      <c r="Q145" s="100">
        <v>49</v>
      </c>
      <c r="R145" s="100">
        <v>10</v>
      </c>
      <c r="S145" s="100">
        <v>74</v>
      </c>
      <c r="T145" s="100">
        <v>52</v>
      </c>
      <c r="U145" s="100">
        <v>1606</v>
      </c>
      <c r="V145" s="100"/>
      <c r="W145" s="100"/>
      <c r="X145" s="100"/>
      <c r="Y145" s="100"/>
      <c r="Z145" s="257"/>
      <c r="AA145" s="257"/>
      <c r="AB145" s="257"/>
      <c r="AC145" s="257"/>
      <c r="AD145" s="257"/>
      <c r="AE145" s="258">
        <v>0.70295698481369473</v>
      </c>
      <c r="AG145" s="441">
        <v>74</v>
      </c>
      <c r="AH145" s="443">
        <v>756</v>
      </c>
      <c r="AJ145" s="88">
        <v>90</v>
      </c>
      <c r="AM145" s="88">
        <v>0</v>
      </c>
      <c r="AN145" s="88">
        <v>6</v>
      </c>
      <c r="AP145" s="88">
        <v>0</v>
      </c>
      <c r="AQ145" s="399">
        <v>0</v>
      </c>
      <c r="AR145" s="88">
        <v>422.63</v>
      </c>
      <c r="AU145" s="399">
        <v>83</v>
      </c>
      <c r="AV145" s="399">
        <v>443</v>
      </c>
      <c r="AY145" s="88">
        <v>1.1574333333333333</v>
      </c>
      <c r="AZ145" s="432">
        <v>434</v>
      </c>
      <c r="BA145" s="440">
        <v>638</v>
      </c>
      <c r="BC145" s="439">
        <v>0</v>
      </c>
      <c r="BD145" s="88">
        <v>0</v>
      </c>
      <c r="BE145" s="88">
        <v>0</v>
      </c>
      <c r="BF145" s="434">
        <v>-34666.76</v>
      </c>
      <c r="BG145" s="100">
        <v>-35884.28</v>
      </c>
      <c r="BH145" s="257"/>
      <c r="BI145" s="100"/>
      <c r="BJ145" s="257"/>
      <c r="BK145" s="100"/>
      <c r="BL145" s="100"/>
      <c r="BM145" s="100"/>
      <c r="BN145" s="257"/>
      <c r="BO145" s="100"/>
      <c r="BP145" s="100">
        <v>244042</v>
      </c>
      <c r="BQ145" s="100">
        <v>68380</v>
      </c>
      <c r="BR145" s="100">
        <v>194514.60255742777</v>
      </c>
      <c r="BS145" s="100">
        <v>9286.7896293089398</v>
      </c>
      <c r="BT145" s="100">
        <v>31055.311057721268</v>
      </c>
      <c r="BU145" s="100">
        <v>85533.226993937569</v>
      </c>
      <c r="BV145" s="100">
        <v>101389.57729098982</v>
      </c>
      <c r="BW145" s="100">
        <v>167634.94692412065</v>
      </c>
      <c r="BX145" s="100">
        <v>52449.196243946673</v>
      </c>
      <c r="BY145" s="100">
        <v>93097.116658875355</v>
      </c>
      <c r="BZ145" s="257"/>
      <c r="CA145" s="100"/>
      <c r="CB145" s="257"/>
      <c r="CC145" s="257"/>
      <c r="CD145" s="257"/>
      <c r="CE145" s="100">
        <v>136647.09226866692</v>
      </c>
      <c r="CF145" s="100">
        <v>71317.371591665258</v>
      </c>
      <c r="CG145" s="100">
        <v>65375.985925305169</v>
      </c>
      <c r="CH145" s="100">
        <v>421166.26189265435</v>
      </c>
      <c r="CI145" s="257"/>
      <c r="CJ145" s="437">
        <v>857723.72717211826</v>
      </c>
      <c r="CK145" s="404">
        <v>-528717</v>
      </c>
      <c r="CL145" s="404"/>
      <c r="CM145" s="437">
        <v>-1234505.875</v>
      </c>
      <c r="CO145" s="434">
        <v>633239.01053460699</v>
      </c>
      <c r="CP145" s="437">
        <v>329982.20523277845</v>
      </c>
      <c r="CQ145" s="437">
        <v>-162031.68983566144</v>
      </c>
      <c r="CR145" s="437">
        <v>62142.423816925329</v>
      </c>
      <c r="CS145" s="257"/>
    </row>
    <row r="146" spans="1:97" x14ac:dyDescent="0.2">
      <c r="A146" s="100">
        <v>491</v>
      </c>
      <c r="B146" s="100" t="s">
        <v>459</v>
      </c>
      <c r="C146" s="100">
        <v>51980</v>
      </c>
      <c r="D146" s="257"/>
      <c r="E146" s="257"/>
      <c r="F146" s="257"/>
      <c r="G146" s="257"/>
      <c r="H146" s="325"/>
      <c r="I146" s="257"/>
      <c r="J146" s="257"/>
      <c r="K146" s="257"/>
      <c r="L146" s="257"/>
      <c r="M146" s="257"/>
      <c r="N146" s="257"/>
      <c r="O146" s="257"/>
      <c r="P146" s="257"/>
      <c r="Q146" s="100">
        <v>2356</v>
      </c>
      <c r="R146" s="100">
        <v>491</v>
      </c>
      <c r="S146" s="100">
        <v>3082</v>
      </c>
      <c r="T146" s="100">
        <v>1608</v>
      </c>
      <c r="U146" s="100">
        <v>44443</v>
      </c>
      <c r="V146" s="100"/>
      <c r="W146" s="100"/>
      <c r="X146" s="100"/>
      <c r="Y146" s="100"/>
      <c r="Z146" s="257"/>
      <c r="AA146" s="257"/>
      <c r="AB146" s="257"/>
      <c r="AC146" s="257"/>
      <c r="AD146" s="257"/>
      <c r="AE146" s="258">
        <v>1.0098176672923416</v>
      </c>
      <c r="AG146" s="441">
        <v>2312.75</v>
      </c>
      <c r="AH146" s="443">
        <v>23508</v>
      </c>
      <c r="AJ146" s="88">
        <v>2364</v>
      </c>
      <c r="AM146" s="88">
        <v>0</v>
      </c>
      <c r="AN146" s="88">
        <v>85</v>
      </c>
      <c r="AP146" s="88">
        <v>3</v>
      </c>
      <c r="AQ146" s="399">
        <v>286</v>
      </c>
      <c r="AR146" s="88">
        <v>2548.35</v>
      </c>
      <c r="AU146" s="399">
        <v>1663</v>
      </c>
      <c r="AV146" s="399">
        <v>14868</v>
      </c>
      <c r="AY146" s="88">
        <v>0</v>
      </c>
      <c r="AZ146" s="432">
        <v>21755</v>
      </c>
      <c r="BA146" s="440">
        <v>20994</v>
      </c>
      <c r="BC146" s="439">
        <v>0</v>
      </c>
      <c r="BD146" s="88">
        <v>0</v>
      </c>
      <c r="BE146" s="88">
        <v>0</v>
      </c>
      <c r="BF146" s="434">
        <v>-2821299.0830000001</v>
      </c>
      <c r="BG146" s="100">
        <v>-1010119.43</v>
      </c>
      <c r="BH146" s="257"/>
      <c r="BI146" s="100"/>
      <c r="BJ146" s="257"/>
      <c r="BK146" s="100"/>
      <c r="BL146" s="100"/>
      <c r="BM146" s="100"/>
      <c r="BN146" s="257"/>
      <c r="BO146" s="100"/>
      <c r="BP146" s="100">
        <v>4322833</v>
      </c>
      <c r="BQ146" s="100">
        <v>1361978</v>
      </c>
      <c r="BR146" s="100">
        <v>3066998.8023660365</v>
      </c>
      <c r="BS146" s="100">
        <v>122168.39431532685</v>
      </c>
      <c r="BT146" s="100">
        <v>340435.90893708135</v>
      </c>
      <c r="BU146" s="100">
        <v>1609040.7155045995</v>
      </c>
      <c r="BV146" s="100">
        <v>2742251.6253696885</v>
      </c>
      <c r="BW146" s="100">
        <v>4236835.1595660737</v>
      </c>
      <c r="BX146" s="100">
        <v>1338821.7239010881</v>
      </c>
      <c r="BY146" s="100">
        <v>2333577.0332820513</v>
      </c>
      <c r="BZ146" s="257"/>
      <c r="CA146" s="100"/>
      <c r="CB146" s="257"/>
      <c r="CC146" s="257"/>
      <c r="CD146" s="257"/>
      <c r="CE146" s="100">
        <v>3035028.0673102704</v>
      </c>
      <c r="CF146" s="100">
        <v>1849046.070379161</v>
      </c>
      <c r="CG146" s="100">
        <v>1786062.0789888019</v>
      </c>
      <c r="CH146" s="100">
        <v>8891267.5812161621</v>
      </c>
      <c r="CI146" s="257"/>
      <c r="CJ146" s="437">
        <v>10990523.321787212</v>
      </c>
      <c r="CK146" s="404">
        <v>1492455</v>
      </c>
      <c r="CL146" s="404"/>
      <c r="CM146" s="437">
        <v>203891.13950000028</v>
      </c>
      <c r="CO146" s="434">
        <v>-12130052.307945328</v>
      </c>
      <c r="CP146" s="437">
        <v>-5033268.7734156651</v>
      </c>
      <c r="CQ146" s="437">
        <v>-4702628.2733990401</v>
      </c>
      <c r="CR146" s="437">
        <v>1803552.8699071908</v>
      </c>
      <c r="CS146" s="257"/>
    </row>
    <row r="147" spans="1:97" x14ac:dyDescent="0.2">
      <c r="A147" s="100">
        <v>494</v>
      </c>
      <c r="B147" s="100" t="s">
        <v>460</v>
      </c>
      <c r="C147" s="100">
        <v>8882</v>
      </c>
      <c r="D147" s="257"/>
      <c r="E147" s="257"/>
      <c r="F147" s="257"/>
      <c r="G147" s="257"/>
      <c r="H147" s="325"/>
      <c r="I147" s="257"/>
      <c r="J147" s="257"/>
      <c r="K147" s="257"/>
      <c r="L147" s="257"/>
      <c r="M147" s="257"/>
      <c r="N147" s="257"/>
      <c r="O147" s="257"/>
      <c r="P147" s="257"/>
      <c r="Q147" s="100">
        <v>644</v>
      </c>
      <c r="R147" s="100">
        <v>113</v>
      </c>
      <c r="S147" s="100">
        <v>913</v>
      </c>
      <c r="T147" s="100">
        <v>464</v>
      </c>
      <c r="U147" s="100">
        <v>6748</v>
      </c>
      <c r="V147" s="100"/>
      <c r="W147" s="100"/>
      <c r="X147" s="100"/>
      <c r="Y147" s="100"/>
      <c r="Z147" s="257"/>
      <c r="AA147" s="257"/>
      <c r="AB147" s="257"/>
      <c r="AC147" s="257"/>
      <c r="AD147" s="257"/>
      <c r="AE147" s="258">
        <v>0.78118536676674666</v>
      </c>
      <c r="AG147" s="441">
        <v>370.5</v>
      </c>
      <c r="AH147" s="443">
        <v>3838</v>
      </c>
      <c r="AJ147" s="88">
        <v>132</v>
      </c>
      <c r="AM147" s="88">
        <v>0</v>
      </c>
      <c r="AN147" s="88">
        <v>5</v>
      </c>
      <c r="AP147" s="88">
        <v>0</v>
      </c>
      <c r="AQ147" s="399">
        <v>0</v>
      </c>
      <c r="AR147" s="88">
        <v>784.59</v>
      </c>
      <c r="AU147" s="399">
        <v>226</v>
      </c>
      <c r="AV147" s="399">
        <v>2664</v>
      </c>
      <c r="AY147" s="88">
        <v>0.19033333333333333</v>
      </c>
      <c r="AZ147" s="432">
        <v>2466</v>
      </c>
      <c r="BA147" s="440">
        <v>3363</v>
      </c>
      <c r="BC147" s="439">
        <v>0</v>
      </c>
      <c r="BD147" s="88">
        <v>0</v>
      </c>
      <c r="BE147" s="88">
        <v>0</v>
      </c>
      <c r="BF147" s="434">
        <v>-270538.83500000002</v>
      </c>
      <c r="BG147" s="100">
        <v>-171026.63</v>
      </c>
      <c r="BH147" s="257"/>
      <c r="BI147" s="100"/>
      <c r="BJ147" s="257"/>
      <c r="BK147" s="100"/>
      <c r="BL147" s="100"/>
      <c r="BM147" s="100"/>
      <c r="BN147" s="257"/>
      <c r="BO147" s="100"/>
      <c r="BP147" s="100">
        <v>653139</v>
      </c>
      <c r="BQ147" s="100">
        <v>192506</v>
      </c>
      <c r="BR147" s="100">
        <v>447332.69429898052</v>
      </c>
      <c r="BS147" s="100">
        <v>11353.484939487833</v>
      </c>
      <c r="BT147" s="100">
        <v>31511.033225112184</v>
      </c>
      <c r="BU147" s="100">
        <v>234842.3314750822</v>
      </c>
      <c r="BV147" s="100">
        <v>426890.52187569498</v>
      </c>
      <c r="BW147" s="100">
        <v>628463.0091237711</v>
      </c>
      <c r="BX147" s="100">
        <v>151492.25340050299</v>
      </c>
      <c r="BY147" s="100">
        <v>335902.63491397357</v>
      </c>
      <c r="BZ147" s="257"/>
      <c r="CA147" s="100"/>
      <c r="CB147" s="257"/>
      <c r="CC147" s="257"/>
      <c r="CD147" s="257"/>
      <c r="CE147" s="100">
        <v>447443.29224917362</v>
      </c>
      <c r="CF147" s="100">
        <v>283168.8837006567</v>
      </c>
      <c r="CG147" s="100">
        <v>272345.90509352391</v>
      </c>
      <c r="CH147" s="100">
        <v>1337371.9809139245</v>
      </c>
      <c r="CI147" s="257"/>
      <c r="CJ147" s="437">
        <v>4996715.2621696265</v>
      </c>
      <c r="CK147" s="404">
        <v>-238822</v>
      </c>
      <c r="CL147" s="404"/>
      <c r="CM147" s="437">
        <v>92136.656000000017</v>
      </c>
      <c r="CO147" s="434">
        <v>-1684273.5612121855</v>
      </c>
      <c r="CP147" s="437">
        <v>-1940590.0174546521</v>
      </c>
      <c r="CQ147" s="437">
        <v>-803554.14244575368</v>
      </c>
      <c r="CR147" s="437">
        <v>308179.23413843149</v>
      </c>
      <c r="CS147" s="257"/>
    </row>
    <row r="148" spans="1:97" x14ac:dyDescent="0.2">
      <c r="A148" s="100">
        <v>495</v>
      </c>
      <c r="B148" s="100" t="s">
        <v>461</v>
      </c>
      <c r="C148" s="100">
        <v>1477</v>
      </c>
      <c r="D148" s="257"/>
      <c r="E148" s="257"/>
      <c r="F148" s="257"/>
      <c r="G148" s="257"/>
      <c r="H148" s="325"/>
      <c r="I148" s="257"/>
      <c r="J148" s="257"/>
      <c r="K148" s="257"/>
      <c r="L148" s="257"/>
      <c r="M148" s="257"/>
      <c r="N148" s="257"/>
      <c r="O148" s="257"/>
      <c r="P148" s="257"/>
      <c r="Q148" s="100">
        <v>58</v>
      </c>
      <c r="R148" s="100">
        <v>12</v>
      </c>
      <c r="S148" s="100">
        <v>87</v>
      </c>
      <c r="T148" s="100">
        <v>50</v>
      </c>
      <c r="U148" s="100">
        <v>1270</v>
      </c>
      <c r="V148" s="100"/>
      <c r="W148" s="100"/>
      <c r="X148" s="100"/>
      <c r="Y148" s="100"/>
      <c r="Z148" s="257"/>
      <c r="AA148" s="257"/>
      <c r="AB148" s="257"/>
      <c r="AC148" s="257"/>
      <c r="AD148" s="257"/>
      <c r="AE148" s="258">
        <v>0.88791671779571479</v>
      </c>
      <c r="AG148" s="441">
        <v>58.75</v>
      </c>
      <c r="AH148" s="443">
        <v>593</v>
      </c>
      <c r="AJ148" s="88">
        <v>30</v>
      </c>
      <c r="AM148" s="88">
        <v>0</v>
      </c>
      <c r="AN148" s="88">
        <v>2</v>
      </c>
      <c r="AP148" s="88">
        <v>0</v>
      </c>
      <c r="AQ148" s="399">
        <v>0</v>
      </c>
      <c r="AR148" s="88">
        <v>733.25</v>
      </c>
      <c r="AU148" s="399">
        <v>54</v>
      </c>
      <c r="AV148" s="399">
        <v>336</v>
      </c>
      <c r="AY148" s="88">
        <v>0.85261666666666658</v>
      </c>
      <c r="AZ148" s="432">
        <v>529</v>
      </c>
      <c r="BA148" s="440">
        <v>489</v>
      </c>
      <c r="BC148" s="439">
        <v>0</v>
      </c>
      <c r="BD148" s="88">
        <v>0</v>
      </c>
      <c r="BE148" s="88">
        <v>0</v>
      </c>
      <c r="BF148" s="434">
        <v>-61190.69</v>
      </c>
      <c r="BG148" s="100">
        <v>-29929.18</v>
      </c>
      <c r="BH148" s="257"/>
      <c r="BI148" s="100"/>
      <c r="BJ148" s="257"/>
      <c r="BK148" s="100"/>
      <c r="BL148" s="100"/>
      <c r="BM148" s="100"/>
      <c r="BN148" s="257"/>
      <c r="BO148" s="100"/>
      <c r="BP148" s="100">
        <v>201000</v>
      </c>
      <c r="BQ148" s="100">
        <v>58208</v>
      </c>
      <c r="BR148" s="100">
        <v>145030.28769449375</v>
      </c>
      <c r="BS148" s="100">
        <v>7608.7066560980174</v>
      </c>
      <c r="BT148" s="100">
        <v>11383.485910040366</v>
      </c>
      <c r="BU148" s="100">
        <v>76181.802370632897</v>
      </c>
      <c r="BV148" s="100">
        <v>89379.490121134033</v>
      </c>
      <c r="BW148" s="100">
        <v>138868.57876536797</v>
      </c>
      <c r="BX148" s="100">
        <v>39101.052904414988</v>
      </c>
      <c r="BY148" s="100">
        <v>76872.69028395084</v>
      </c>
      <c r="BZ148" s="257"/>
      <c r="CA148" s="100"/>
      <c r="CB148" s="257"/>
      <c r="CC148" s="257"/>
      <c r="CD148" s="257"/>
      <c r="CE148" s="100">
        <v>107965.53201872055</v>
      </c>
      <c r="CF148" s="100">
        <v>56571.660696905819</v>
      </c>
      <c r="CG148" s="100">
        <v>52914.57452378673</v>
      </c>
      <c r="CH148" s="100">
        <v>328284.18479940266</v>
      </c>
      <c r="CI148" s="257"/>
      <c r="CJ148" s="437">
        <v>277393.98080993321</v>
      </c>
      <c r="CK148" s="404">
        <v>-370631</v>
      </c>
      <c r="CL148" s="404"/>
      <c r="CM148" s="437">
        <v>-65119.252500000017</v>
      </c>
      <c r="CO148" s="434">
        <v>-8204.042889708815</v>
      </c>
      <c r="CP148" s="437">
        <v>1897.1725520682137</v>
      </c>
      <c r="CQ148" s="437">
        <v>-133624.12389015741</v>
      </c>
      <c r="CR148" s="437">
        <v>51247.548842880351</v>
      </c>
      <c r="CS148" s="257"/>
    </row>
    <row r="149" spans="1:97" x14ac:dyDescent="0.2">
      <c r="A149" s="100">
        <v>498</v>
      </c>
      <c r="B149" s="100" t="s">
        <v>462</v>
      </c>
      <c r="C149" s="100">
        <v>2281</v>
      </c>
      <c r="D149" s="257"/>
      <c r="E149" s="257"/>
      <c r="F149" s="257"/>
      <c r="G149" s="257"/>
      <c r="H149" s="325"/>
      <c r="I149" s="257"/>
      <c r="J149" s="257"/>
      <c r="K149" s="257"/>
      <c r="L149" s="257"/>
      <c r="M149" s="257"/>
      <c r="N149" s="257"/>
      <c r="O149" s="257"/>
      <c r="P149" s="257"/>
      <c r="Q149" s="100">
        <v>96</v>
      </c>
      <c r="R149" s="100">
        <v>20</v>
      </c>
      <c r="S149" s="100">
        <v>154</v>
      </c>
      <c r="T149" s="100">
        <v>72</v>
      </c>
      <c r="U149" s="100">
        <v>1939</v>
      </c>
      <c r="V149" s="100"/>
      <c r="W149" s="100"/>
      <c r="X149" s="100"/>
      <c r="Y149" s="100"/>
      <c r="Z149" s="257"/>
      <c r="AA149" s="257"/>
      <c r="AB149" s="257"/>
      <c r="AC149" s="257"/>
      <c r="AD149" s="257"/>
      <c r="AE149" s="258">
        <v>1.017076457782057</v>
      </c>
      <c r="AG149" s="441">
        <v>134.33333333333334</v>
      </c>
      <c r="AH149" s="443">
        <v>1054</v>
      </c>
      <c r="AJ149" s="88">
        <v>99</v>
      </c>
      <c r="AM149" s="88">
        <v>0</v>
      </c>
      <c r="AN149" s="88">
        <v>13</v>
      </c>
      <c r="AP149" s="88">
        <v>0</v>
      </c>
      <c r="AQ149" s="399">
        <v>0</v>
      </c>
      <c r="AR149" s="88">
        <v>1904.05</v>
      </c>
      <c r="AU149" s="399">
        <v>87</v>
      </c>
      <c r="AV149" s="399">
        <v>674</v>
      </c>
      <c r="AY149" s="88">
        <v>1.8335333333333335</v>
      </c>
      <c r="AZ149" s="432">
        <v>1003</v>
      </c>
      <c r="BA149" s="440">
        <v>966</v>
      </c>
      <c r="BC149" s="439">
        <v>0</v>
      </c>
      <c r="BD149" s="88">
        <v>0</v>
      </c>
      <c r="BE149" s="88">
        <v>8</v>
      </c>
      <c r="BF149" s="434">
        <v>-22698.26</v>
      </c>
      <c r="BG149" s="100">
        <v>-44125.37</v>
      </c>
      <c r="BH149" s="257"/>
      <c r="BI149" s="100"/>
      <c r="BJ149" s="257"/>
      <c r="BK149" s="100"/>
      <c r="BL149" s="100"/>
      <c r="BM149" s="100"/>
      <c r="BN149" s="257"/>
      <c r="BO149" s="100"/>
      <c r="BP149" s="100">
        <v>181502</v>
      </c>
      <c r="BQ149" s="100">
        <v>72651</v>
      </c>
      <c r="BR149" s="100">
        <v>189835.50121662323</v>
      </c>
      <c r="BS149" s="100">
        <v>9827.2942848043986</v>
      </c>
      <c r="BT149" s="100">
        <v>18290.033882567379</v>
      </c>
      <c r="BU149" s="100">
        <v>66345.622014192253</v>
      </c>
      <c r="BV149" s="100">
        <v>141999.74252757968</v>
      </c>
      <c r="BW149" s="100">
        <v>202939.75100335455</v>
      </c>
      <c r="BX149" s="100">
        <v>74196.188390861789</v>
      </c>
      <c r="BY149" s="100">
        <v>119805.01513015835</v>
      </c>
      <c r="BZ149" s="257"/>
      <c r="CA149" s="100"/>
      <c r="CB149" s="257"/>
      <c r="CC149" s="257"/>
      <c r="CD149" s="257"/>
      <c r="CE149" s="100">
        <v>159470.26827673789</v>
      </c>
      <c r="CF149" s="100">
        <v>89081.029352981408</v>
      </c>
      <c r="CG149" s="100">
        <v>95991.129980599129</v>
      </c>
      <c r="CH149" s="100">
        <v>439580.56041408132</v>
      </c>
      <c r="CI149" s="257"/>
      <c r="CJ149" s="437">
        <v>36990.052047333578</v>
      </c>
      <c r="CK149" s="404">
        <v>233543</v>
      </c>
      <c r="CL149" s="404"/>
      <c r="CM149" s="437">
        <v>27509.713999999978</v>
      </c>
      <c r="CO149" s="434">
        <v>73354.581710006387</v>
      </c>
      <c r="CP149" s="437">
        <v>581312.13613669772</v>
      </c>
      <c r="CQ149" s="437">
        <v>-206361.96790348616</v>
      </c>
      <c r="CR149" s="437">
        <v>79143.980305084697</v>
      </c>
      <c r="CS149" s="257"/>
    </row>
    <row r="150" spans="1:97" x14ac:dyDescent="0.2">
      <c r="A150" s="100">
        <v>499</v>
      </c>
      <c r="B150" s="100" t="s">
        <v>463</v>
      </c>
      <c r="C150" s="100">
        <v>19662</v>
      </c>
      <c r="D150" s="257"/>
      <c r="E150" s="257"/>
      <c r="F150" s="257"/>
      <c r="G150" s="257"/>
      <c r="H150" s="325"/>
      <c r="I150" s="257"/>
      <c r="J150" s="257"/>
      <c r="K150" s="257"/>
      <c r="L150" s="257"/>
      <c r="M150" s="257"/>
      <c r="N150" s="257"/>
      <c r="O150" s="257"/>
      <c r="P150" s="257"/>
      <c r="Q150" s="100">
        <v>1306</v>
      </c>
      <c r="R150" s="100">
        <v>259</v>
      </c>
      <c r="S150" s="100">
        <v>1682</v>
      </c>
      <c r="T150" s="100">
        <v>783</v>
      </c>
      <c r="U150" s="100">
        <v>15632</v>
      </c>
      <c r="V150" s="100"/>
      <c r="W150" s="100"/>
      <c r="X150" s="100"/>
      <c r="Y150" s="100"/>
      <c r="Z150" s="257"/>
      <c r="AA150" s="257"/>
      <c r="AB150" s="257"/>
      <c r="AC150" s="257"/>
      <c r="AD150" s="257"/>
      <c r="AE150" s="258">
        <v>0.99679894682896952</v>
      </c>
      <c r="AG150" s="441">
        <v>328</v>
      </c>
      <c r="AH150" s="443">
        <v>9337</v>
      </c>
      <c r="AJ150" s="88">
        <v>596</v>
      </c>
      <c r="AM150" s="88">
        <v>3</v>
      </c>
      <c r="AN150" s="88">
        <v>13483</v>
      </c>
      <c r="AP150" s="88">
        <v>3</v>
      </c>
      <c r="AQ150" s="399">
        <v>2089</v>
      </c>
      <c r="AR150" s="88">
        <v>849.49</v>
      </c>
      <c r="AU150" s="399">
        <v>451</v>
      </c>
      <c r="AV150" s="399">
        <v>6424</v>
      </c>
      <c r="AY150" s="88">
        <v>0</v>
      </c>
      <c r="AZ150" s="432">
        <v>5241</v>
      </c>
      <c r="BA150" s="440">
        <v>9077</v>
      </c>
      <c r="BC150" s="439">
        <v>0.37</v>
      </c>
      <c r="BD150" s="88">
        <v>0</v>
      </c>
      <c r="BE150" s="88">
        <v>0</v>
      </c>
      <c r="BF150" s="434">
        <v>-249149.9425</v>
      </c>
      <c r="BG150" s="100">
        <v>-373692.13</v>
      </c>
      <c r="BH150" s="257"/>
      <c r="BI150" s="100"/>
      <c r="BJ150" s="257"/>
      <c r="BK150" s="100"/>
      <c r="BL150" s="100"/>
      <c r="BM150" s="100"/>
      <c r="BN150" s="257"/>
      <c r="BO150" s="100"/>
      <c r="BP150" s="100">
        <v>1354331</v>
      </c>
      <c r="BQ150" s="100">
        <v>457111</v>
      </c>
      <c r="BR150" s="100">
        <v>972889.30785334425</v>
      </c>
      <c r="BS150" s="100">
        <v>21636.196198909871</v>
      </c>
      <c r="BT150" s="100">
        <v>12412.837833004593</v>
      </c>
      <c r="BU150" s="100">
        <v>412351.04040340486</v>
      </c>
      <c r="BV150" s="100">
        <v>922743.16903269012</v>
      </c>
      <c r="BW150" s="100">
        <v>1507483.560543186</v>
      </c>
      <c r="BX150" s="100">
        <v>416792.25852722558</v>
      </c>
      <c r="BY150" s="100">
        <v>740084.80580703972</v>
      </c>
      <c r="BZ150" s="257"/>
      <c r="CA150" s="100"/>
      <c r="CB150" s="257"/>
      <c r="CC150" s="257"/>
      <c r="CD150" s="257"/>
      <c r="CE150" s="100">
        <v>972090.3473987605</v>
      </c>
      <c r="CF150" s="100">
        <v>601274.82408826158</v>
      </c>
      <c r="CG150" s="100">
        <v>623889.40077950573</v>
      </c>
      <c r="CH150" s="100">
        <v>2824104.0038644425</v>
      </c>
      <c r="CI150" s="257"/>
      <c r="CJ150" s="437">
        <v>4089687.6496608984</v>
      </c>
      <c r="CK150" s="404">
        <v>-1511313</v>
      </c>
      <c r="CL150" s="404"/>
      <c r="CM150" s="437">
        <v>395702.76955000032</v>
      </c>
      <c r="CO150" s="434">
        <v>1281107.2935538911</v>
      </c>
      <c r="CP150" s="437">
        <v>9667.5384847839996</v>
      </c>
      <c r="CQ150" s="437">
        <v>-1778820.2599378978</v>
      </c>
      <c r="CR150" s="437">
        <v>682213.47687793733</v>
      </c>
      <c r="CS150" s="257"/>
    </row>
    <row r="151" spans="1:97" x14ac:dyDescent="0.2">
      <c r="A151" s="100">
        <v>500</v>
      </c>
      <c r="B151" s="100" t="s">
        <v>464</v>
      </c>
      <c r="C151" s="100">
        <v>10486</v>
      </c>
      <c r="D151" s="257"/>
      <c r="E151" s="257"/>
      <c r="F151" s="257"/>
      <c r="G151" s="257"/>
      <c r="H151" s="325"/>
      <c r="I151" s="257"/>
      <c r="J151" s="257"/>
      <c r="K151" s="257"/>
      <c r="L151" s="257"/>
      <c r="M151" s="257"/>
      <c r="N151" s="257"/>
      <c r="O151" s="257"/>
      <c r="P151" s="257"/>
      <c r="Q151" s="100">
        <v>680</v>
      </c>
      <c r="R151" s="100">
        <v>130</v>
      </c>
      <c r="S151" s="100">
        <v>1057</v>
      </c>
      <c r="T151" s="100">
        <v>494</v>
      </c>
      <c r="U151" s="100">
        <v>8125</v>
      </c>
      <c r="V151" s="100"/>
      <c r="W151" s="100"/>
      <c r="X151" s="100"/>
      <c r="Y151" s="100"/>
      <c r="Z151" s="257"/>
      <c r="AA151" s="257"/>
      <c r="AB151" s="257"/>
      <c r="AC151" s="257"/>
      <c r="AD151" s="257"/>
      <c r="AE151" s="258">
        <v>0.79809617773368291</v>
      </c>
      <c r="AG151" s="441">
        <v>364.5</v>
      </c>
      <c r="AH151" s="443">
        <v>4876</v>
      </c>
      <c r="AJ151" s="88">
        <v>196</v>
      </c>
      <c r="AM151" s="88">
        <v>0</v>
      </c>
      <c r="AN151" s="88">
        <v>12</v>
      </c>
      <c r="AP151" s="88">
        <v>0</v>
      </c>
      <c r="AQ151" s="399">
        <v>0</v>
      </c>
      <c r="AR151" s="88">
        <v>144.06</v>
      </c>
      <c r="AU151" s="399">
        <v>195</v>
      </c>
      <c r="AV151" s="399">
        <v>3619</v>
      </c>
      <c r="AY151" s="88">
        <v>0</v>
      </c>
      <c r="AZ151" s="432">
        <v>2855</v>
      </c>
      <c r="BA151" s="440">
        <v>4521</v>
      </c>
      <c r="BC151" s="439">
        <v>1.05</v>
      </c>
      <c r="BD151" s="88">
        <v>0</v>
      </c>
      <c r="BE151" s="88">
        <v>0</v>
      </c>
      <c r="BF151" s="434">
        <v>-200837.83499999999</v>
      </c>
      <c r="BG151" s="100">
        <v>-197229.07</v>
      </c>
      <c r="BH151" s="257"/>
      <c r="BI151" s="100"/>
      <c r="BJ151" s="257"/>
      <c r="BK151" s="100"/>
      <c r="BL151" s="100"/>
      <c r="BM151" s="100"/>
      <c r="BN151" s="257"/>
      <c r="BO151" s="100"/>
      <c r="BP151" s="100">
        <v>581389</v>
      </c>
      <c r="BQ151" s="100">
        <v>183400</v>
      </c>
      <c r="BR151" s="100">
        <v>363140.87080625573</v>
      </c>
      <c r="BS151" s="100">
        <v>3914.9002659224384</v>
      </c>
      <c r="BT151" s="100">
        <v>-423439.1547483835</v>
      </c>
      <c r="BU151" s="100">
        <v>128225.02205424709</v>
      </c>
      <c r="BV151" s="100">
        <v>386549.50453305768</v>
      </c>
      <c r="BW151" s="100">
        <v>667376.99820234778</v>
      </c>
      <c r="BX151" s="100">
        <v>167680.14204433767</v>
      </c>
      <c r="BY151" s="100">
        <v>323116.8319311075</v>
      </c>
      <c r="BZ151" s="257"/>
      <c r="CA151" s="100"/>
      <c r="CB151" s="257"/>
      <c r="CC151" s="257"/>
      <c r="CD151" s="257"/>
      <c r="CE151" s="100">
        <v>379412.16862785514</v>
      </c>
      <c r="CF151" s="100">
        <v>269571.43722290994</v>
      </c>
      <c r="CG151" s="100">
        <v>268165.14964583749</v>
      </c>
      <c r="CH151" s="100">
        <v>1032774.5607903547</v>
      </c>
      <c r="CI151" s="257"/>
      <c r="CJ151" s="437">
        <v>1325646.2473453768</v>
      </c>
      <c r="CK151" s="404">
        <v>-830742</v>
      </c>
      <c r="CL151" s="404"/>
      <c r="CM151" s="437">
        <v>-223001.73799999995</v>
      </c>
      <c r="CO151" s="434">
        <v>2704430.9146959474</v>
      </c>
      <c r="CP151" s="437">
        <v>1285190.440215284</v>
      </c>
      <c r="CQ151" s="437">
        <v>-948667.95065144938</v>
      </c>
      <c r="CR151" s="437">
        <v>363833.30884661031</v>
      </c>
      <c r="CS151" s="257"/>
    </row>
    <row r="152" spans="1:97" x14ac:dyDescent="0.2">
      <c r="A152" s="100">
        <v>503</v>
      </c>
      <c r="B152" s="100" t="s">
        <v>465</v>
      </c>
      <c r="C152" s="100">
        <v>7539</v>
      </c>
      <c r="D152" s="257"/>
      <c r="E152" s="257"/>
      <c r="F152" s="257"/>
      <c r="G152" s="257"/>
      <c r="H152" s="325"/>
      <c r="I152" s="257"/>
      <c r="J152" s="257"/>
      <c r="K152" s="257"/>
      <c r="L152" s="257"/>
      <c r="M152" s="257"/>
      <c r="N152" s="257"/>
      <c r="O152" s="257"/>
      <c r="P152" s="257"/>
      <c r="Q152" s="100">
        <v>392</v>
      </c>
      <c r="R152" s="100">
        <v>77</v>
      </c>
      <c r="S152" s="100">
        <v>461</v>
      </c>
      <c r="T152" s="100">
        <v>265</v>
      </c>
      <c r="U152" s="100">
        <v>6344</v>
      </c>
      <c r="V152" s="100"/>
      <c r="W152" s="100"/>
      <c r="X152" s="100"/>
      <c r="Y152" s="100"/>
      <c r="Z152" s="257"/>
      <c r="AA152" s="257"/>
      <c r="AB152" s="257"/>
      <c r="AC152" s="257"/>
      <c r="AD152" s="257"/>
      <c r="AE152" s="258">
        <v>1.0116237962772705</v>
      </c>
      <c r="AG152" s="441">
        <v>220.91666666666666</v>
      </c>
      <c r="AH152" s="443">
        <v>3554</v>
      </c>
      <c r="AJ152" s="88">
        <v>237</v>
      </c>
      <c r="AM152" s="88">
        <v>0</v>
      </c>
      <c r="AN152" s="88">
        <v>65</v>
      </c>
      <c r="AP152" s="88">
        <v>0</v>
      </c>
      <c r="AQ152" s="399">
        <v>0</v>
      </c>
      <c r="AR152" s="88">
        <v>519.84</v>
      </c>
      <c r="AU152" s="399">
        <v>294</v>
      </c>
      <c r="AV152" s="399">
        <v>2221</v>
      </c>
      <c r="AY152" s="88">
        <v>0</v>
      </c>
      <c r="AZ152" s="432">
        <v>1953</v>
      </c>
      <c r="BA152" s="440">
        <v>3286</v>
      </c>
      <c r="BC152" s="439">
        <v>0</v>
      </c>
      <c r="BD152" s="88">
        <v>0</v>
      </c>
      <c r="BE152" s="88">
        <v>0</v>
      </c>
      <c r="BF152" s="434">
        <v>-152616.57500000001</v>
      </c>
      <c r="BG152" s="100">
        <v>-146860.45000000001</v>
      </c>
      <c r="BH152" s="257"/>
      <c r="BI152" s="100"/>
      <c r="BJ152" s="257"/>
      <c r="BK152" s="100"/>
      <c r="BL152" s="100"/>
      <c r="BM152" s="100"/>
      <c r="BN152" s="257"/>
      <c r="BO152" s="100"/>
      <c r="BP152" s="100">
        <v>672555</v>
      </c>
      <c r="BQ152" s="100">
        <v>216780</v>
      </c>
      <c r="BR152" s="100">
        <v>474562.0938275964</v>
      </c>
      <c r="BS152" s="100">
        <v>15988.738246839741</v>
      </c>
      <c r="BT152" s="100">
        <v>78732.967067071033</v>
      </c>
      <c r="BU152" s="100">
        <v>195548.96349423224</v>
      </c>
      <c r="BV152" s="100">
        <v>430684.55735492456</v>
      </c>
      <c r="BW152" s="100">
        <v>726253.74604211713</v>
      </c>
      <c r="BX152" s="100">
        <v>200202.43590228446</v>
      </c>
      <c r="BY152" s="100">
        <v>347871.3990283382</v>
      </c>
      <c r="BZ152" s="257"/>
      <c r="CA152" s="100"/>
      <c r="CB152" s="257"/>
      <c r="CC152" s="257"/>
      <c r="CD152" s="257"/>
      <c r="CE152" s="100">
        <v>460505.56339408149</v>
      </c>
      <c r="CF152" s="100">
        <v>280432.62115809065</v>
      </c>
      <c r="CG152" s="100">
        <v>274759.67195137532</v>
      </c>
      <c r="CH152" s="100">
        <v>1388308.1387866098</v>
      </c>
      <c r="CI152" s="257"/>
      <c r="CJ152" s="437">
        <v>2935606.9525766899</v>
      </c>
      <c r="CK152" s="404">
        <v>-317109</v>
      </c>
      <c r="CL152" s="404"/>
      <c r="CM152" s="437">
        <v>142665.61550000001</v>
      </c>
      <c r="CO152" s="434">
        <v>-628372.56171772804</v>
      </c>
      <c r="CP152" s="437">
        <v>-759135.11666541337</v>
      </c>
      <c r="CQ152" s="437">
        <v>-682052.99255781772</v>
      </c>
      <c r="CR152" s="437">
        <v>261581.09053925186</v>
      </c>
      <c r="CS152" s="257"/>
    </row>
    <row r="153" spans="1:97" x14ac:dyDescent="0.2">
      <c r="A153" s="100">
        <v>504</v>
      </c>
      <c r="B153" s="100" t="s">
        <v>466</v>
      </c>
      <c r="C153" s="100">
        <v>1764</v>
      </c>
      <c r="D153" s="257"/>
      <c r="E153" s="257"/>
      <c r="F153" s="257"/>
      <c r="G153" s="257"/>
      <c r="H153" s="325"/>
      <c r="I153" s="257"/>
      <c r="J153" s="257"/>
      <c r="K153" s="257"/>
      <c r="L153" s="257"/>
      <c r="M153" s="257"/>
      <c r="N153" s="257"/>
      <c r="O153" s="257"/>
      <c r="P153" s="257"/>
      <c r="Q153" s="100">
        <v>73</v>
      </c>
      <c r="R153" s="100">
        <v>11</v>
      </c>
      <c r="S153" s="100">
        <v>118</v>
      </c>
      <c r="T153" s="100">
        <v>67</v>
      </c>
      <c r="U153" s="100">
        <v>1495</v>
      </c>
      <c r="V153" s="100"/>
      <c r="W153" s="100"/>
      <c r="X153" s="100"/>
      <c r="Y153" s="100"/>
      <c r="Z153" s="257"/>
      <c r="AA153" s="257"/>
      <c r="AB153" s="257"/>
      <c r="AC153" s="257"/>
      <c r="AD153" s="257"/>
      <c r="AE153" s="258">
        <v>0.96531430505818505</v>
      </c>
      <c r="AG153" s="441">
        <v>82.75</v>
      </c>
      <c r="AH153" s="443">
        <v>856</v>
      </c>
      <c r="AJ153" s="88">
        <v>67</v>
      </c>
      <c r="AM153" s="88">
        <v>1</v>
      </c>
      <c r="AN153" s="88">
        <v>158</v>
      </c>
      <c r="AP153" s="88">
        <v>0</v>
      </c>
      <c r="AQ153" s="399">
        <v>0</v>
      </c>
      <c r="AR153" s="88">
        <v>200.44</v>
      </c>
      <c r="AU153" s="399">
        <v>87</v>
      </c>
      <c r="AV153" s="399">
        <v>516</v>
      </c>
      <c r="AY153" s="88">
        <v>0</v>
      </c>
      <c r="AZ153" s="432">
        <v>502</v>
      </c>
      <c r="BA153" s="440">
        <v>732</v>
      </c>
      <c r="BC153" s="439">
        <v>0</v>
      </c>
      <c r="BD153" s="88">
        <v>0</v>
      </c>
      <c r="BE153" s="88">
        <v>0</v>
      </c>
      <c r="BF153" s="434">
        <v>-63438.855000000003</v>
      </c>
      <c r="BG153" s="100">
        <v>-35941.910000000003</v>
      </c>
      <c r="BH153" s="257"/>
      <c r="BI153" s="100"/>
      <c r="BJ153" s="257"/>
      <c r="BK153" s="100"/>
      <c r="BL153" s="100"/>
      <c r="BM153" s="100"/>
      <c r="BN153" s="257"/>
      <c r="BO153" s="100"/>
      <c r="BP153" s="100">
        <v>195468</v>
      </c>
      <c r="BQ153" s="100">
        <v>62369</v>
      </c>
      <c r="BR153" s="100">
        <v>141372.8779053007</v>
      </c>
      <c r="BS153" s="100">
        <v>6568.4240449716908</v>
      </c>
      <c r="BT153" s="100">
        <v>18572.25033574297</v>
      </c>
      <c r="BU153" s="100">
        <v>55129.766599642076</v>
      </c>
      <c r="BV153" s="100">
        <v>116165.30917116661</v>
      </c>
      <c r="BW153" s="100">
        <v>177216.08435129444</v>
      </c>
      <c r="BX153" s="100">
        <v>61755.481621091742</v>
      </c>
      <c r="BY153" s="100">
        <v>92708.745123056709</v>
      </c>
      <c r="BZ153" s="257"/>
      <c r="CA153" s="100"/>
      <c r="CB153" s="257"/>
      <c r="CC153" s="257"/>
      <c r="CD153" s="257"/>
      <c r="CE153" s="100">
        <v>125473.27135620078</v>
      </c>
      <c r="CF153" s="100">
        <v>72041.961089114469</v>
      </c>
      <c r="CG153" s="100">
        <v>78278.514525176375</v>
      </c>
      <c r="CH153" s="100">
        <v>381953.30608945538</v>
      </c>
      <c r="CI153" s="257"/>
      <c r="CJ153" s="437">
        <v>749595.54293986352</v>
      </c>
      <c r="CK153" s="404">
        <v>-423278</v>
      </c>
      <c r="CL153" s="404"/>
      <c r="CM153" s="437">
        <v>-847176.85950000014</v>
      </c>
      <c r="CO153" s="434">
        <v>-480931.45170114934</v>
      </c>
      <c r="CP153" s="437">
        <v>-174777.81529521823</v>
      </c>
      <c r="CQ153" s="437">
        <v>-159589.00104416904</v>
      </c>
      <c r="CR153" s="437">
        <v>61205.603357373693</v>
      </c>
      <c r="CS153" s="257"/>
    </row>
    <row r="154" spans="1:97" x14ac:dyDescent="0.2">
      <c r="A154" s="100">
        <v>505</v>
      </c>
      <c r="B154" s="100" t="s">
        <v>467</v>
      </c>
      <c r="C154" s="100">
        <v>20912</v>
      </c>
      <c r="D154" s="257"/>
      <c r="E154" s="257"/>
      <c r="F154" s="257"/>
      <c r="G154" s="257"/>
      <c r="H154" s="325"/>
      <c r="I154" s="257"/>
      <c r="J154" s="257"/>
      <c r="K154" s="257"/>
      <c r="L154" s="257"/>
      <c r="M154" s="257"/>
      <c r="N154" s="257"/>
      <c r="O154" s="257"/>
      <c r="P154" s="257"/>
      <c r="Q154" s="100">
        <v>1190</v>
      </c>
      <c r="R154" s="100">
        <v>285</v>
      </c>
      <c r="S154" s="100">
        <v>1722</v>
      </c>
      <c r="T154" s="100">
        <v>966</v>
      </c>
      <c r="U154" s="100">
        <v>16749</v>
      </c>
      <c r="V154" s="100"/>
      <c r="W154" s="100"/>
      <c r="X154" s="100"/>
      <c r="Y154" s="100"/>
      <c r="Z154" s="257"/>
      <c r="AA154" s="257"/>
      <c r="AB154" s="257"/>
      <c r="AC154" s="257"/>
      <c r="AD154" s="257"/>
      <c r="AE154" s="258">
        <v>0.98889920025722478</v>
      </c>
      <c r="AG154" s="441">
        <v>643.66666666666663</v>
      </c>
      <c r="AH154" s="443">
        <v>10203</v>
      </c>
      <c r="AJ154" s="88">
        <v>970</v>
      </c>
      <c r="AM154" s="88">
        <v>0</v>
      </c>
      <c r="AN154" s="88">
        <v>167</v>
      </c>
      <c r="AP154" s="88">
        <v>0</v>
      </c>
      <c r="AQ154" s="399">
        <v>0</v>
      </c>
      <c r="AR154" s="88">
        <v>580.85</v>
      </c>
      <c r="AU154" s="399">
        <v>938</v>
      </c>
      <c r="AV154" s="399">
        <v>6816</v>
      </c>
      <c r="AY154" s="88">
        <v>0</v>
      </c>
      <c r="AZ154" s="432">
        <v>6145</v>
      </c>
      <c r="BA154" s="440">
        <v>9508</v>
      </c>
      <c r="BC154" s="439">
        <v>0.31</v>
      </c>
      <c r="BD154" s="88">
        <v>0</v>
      </c>
      <c r="BE154" s="88">
        <v>6</v>
      </c>
      <c r="BF154" s="434">
        <v>-805752.06030000001</v>
      </c>
      <c r="BG154" s="100">
        <v>-399241.43</v>
      </c>
      <c r="BH154" s="257"/>
      <c r="BI154" s="100"/>
      <c r="BJ154" s="257"/>
      <c r="BK154" s="100"/>
      <c r="BL154" s="100"/>
      <c r="BM154" s="100"/>
      <c r="BN154" s="257"/>
      <c r="BO154" s="100"/>
      <c r="BP154" s="100">
        <v>1479734</v>
      </c>
      <c r="BQ154" s="100">
        <v>475013</v>
      </c>
      <c r="BR154" s="100">
        <v>989053.62818179117</v>
      </c>
      <c r="BS154" s="100">
        <v>9088.8920530040396</v>
      </c>
      <c r="BT154" s="100">
        <v>13788.275486488605</v>
      </c>
      <c r="BU154" s="100">
        <v>313030.11754291435</v>
      </c>
      <c r="BV154" s="100">
        <v>1002537.4279780103</v>
      </c>
      <c r="BW154" s="100">
        <v>1537345.6575770497</v>
      </c>
      <c r="BX154" s="100">
        <v>427475.5058452923</v>
      </c>
      <c r="BY154" s="100">
        <v>779475.21865189087</v>
      </c>
      <c r="BZ154" s="257"/>
      <c r="CA154" s="100"/>
      <c r="CB154" s="257"/>
      <c r="CC154" s="257"/>
      <c r="CD154" s="257"/>
      <c r="CE154" s="100">
        <v>1001701.6257097448</v>
      </c>
      <c r="CF154" s="100">
        <v>648612.67841961398</v>
      </c>
      <c r="CG154" s="100">
        <v>663175.65046410845</v>
      </c>
      <c r="CH154" s="100">
        <v>3077114.9719463256</v>
      </c>
      <c r="CI154" s="257"/>
      <c r="CJ154" s="437">
        <v>3849164.0262180516</v>
      </c>
      <c r="CK154" s="404">
        <v>-2391598</v>
      </c>
      <c r="CL154" s="404"/>
      <c r="CM154" s="437">
        <v>-1811538.5364999999</v>
      </c>
      <c r="CO154" s="434">
        <v>-689453.45907624206</v>
      </c>
      <c r="CP154" s="437">
        <v>-7158.2585109192814</v>
      </c>
      <c r="CQ154" s="437">
        <v>-1891907.7039884713</v>
      </c>
      <c r="CR154" s="437">
        <v>725584.79444977245</v>
      </c>
      <c r="CS154" s="257"/>
    </row>
    <row r="155" spans="1:97" x14ac:dyDescent="0.2">
      <c r="A155" s="100">
        <v>508</v>
      </c>
      <c r="B155" s="100" t="s">
        <v>469</v>
      </c>
      <c r="C155" s="100">
        <v>9360</v>
      </c>
      <c r="D155" s="257"/>
      <c r="E155" s="257"/>
      <c r="F155" s="257"/>
      <c r="G155" s="257"/>
      <c r="H155" s="325"/>
      <c r="I155" s="257"/>
      <c r="J155" s="257"/>
      <c r="K155" s="257"/>
      <c r="L155" s="257"/>
      <c r="M155" s="257"/>
      <c r="N155" s="257"/>
      <c r="O155" s="257"/>
      <c r="P155" s="257"/>
      <c r="Q155" s="100">
        <v>338</v>
      </c>
      <c r="R155" s="100">
        <v>62</v>
      </c>
      <c r="S155" s="100">
        <v>488</v>
      </c>
      <c r="T155" s="100">
        <v>264</v>
      </c>
      <c r="U155" s="100">
        <v>8208</v>
      </c>
      <c r="V155" s="100"/>
      <c r="W155" s="100"/>
      <c r="X155" s="100"/>
      <c r="Y155" s="100"/>
      <c r="Z155" s="257"/>
      <c r="AA155" s="257"/>
      <c r="AB155" s="257"/>
      <c r="AC155" s="257"/>
      <c r="AD155" s="257"/>
      <c r="AE155" s="258">
        <v>0.94466330620898176</v>
      </c>
      <c r="AG155" s="441">
        <v>326</v>
      </c>
      <c r="AH155" s="443">
        <v>3834</v>
      </c>
      <c r="AJ155" s="88">
        <v>274</v>
      </c>
      <c r="AM155" s="88">
        <v>0</v>
      </c>
      <c r="AN155" s="88">
        <v>14</v>
      </c>
      <c r="AP155" s="88">
        <v>0</v>
      </c>
      <c r="AQ155" s="399">
        <v>0</v>
      </c>
      <c r="AR155" s="88">
        <v>534.80999999999995</v>
      </c>
      <c r="AU155" s="399">
        <v>326</v>
      </c>
      <c r="AV155" s="399">
        <v>2394</v>
      </c>
      <c r="AY155" s="88">
        <v>0.56678333333333331</v>
      </c>
      <c r="AZ155" s="432">
        <v>3692</v>
      </c>
      <c r="BA155" s="440">
        <v>3408</v>
      </c>
      <c r="BC155" s="439">
        <v>0</v>
      </c>
      <c r="BD155" s="88">
        <v>0</v>
      </c>
      <c r="BE155" s="88">
        <v>1</v>
      </c>
      <c r="BF155" s="434">
        <v>-505410.18910000002</v>
      </c>
      <c r="BG155" s="100">
        <v>-185818.33000000002</v>
      </c>
      <c r="BH155" s="257"/>
      <c r="BI155" s="100"/>
      <c r="BJ155" s="257"/>
      <c r="BK155" s="100"/>
      <c r="BL155" s="100"/>
      <c r="BM155" s="100"/>
      <c r="BN155" s="257"/>
      <c r="BO155" s="100"/>
      <c r="BP155" s="100">
        <v>803272</v>
      </c>
      <c r="BQ155" s="100">
        <v>260536</v>
      </c>
      <c r="BR155" s="100">
        <v>594607.00557090575</v>
      </c>
      <c r="BS155" s="100">
        <v>29984.572558197375</v>
      </c>
      <c r="BT155" s="100">
        <v>81713.79125779483</v>
      </c>
      <c r="BU155" s="100">
        <v>348205.48234426253</v>
      </c>
      <c r="BV155" s="100">
        <v>470837.27244409214</v>
      </c>
      <c r="BW155" s="100">
        <v>887671.22592393123</v>
      </c>
      <c r="BX155" s="100">
        <v>228034.70317835227</v>
      </c>
      <c r="BY155" s="100">
        <v>418329.02621177264</v>
      </c>
      <c r="BZ155" s="257"/>
      <c r="CA155" s="100"/>
      <c r="CB155" s="257"/>
      <c r="CC155" s="257"/>
      <c r="CD155" s="257"/>
      <c r="CE155" s="100">
        <v>534889.71925580513</v>
      </c>
      <c r="CF155" s="100">
        <v>319124.39739216893</v>
      </c>
      <c r="CG155" s="100">
        <v>294728.01405640482</v>
      </c>
      <c r="CH155" s="100">
        <v>1662356.1026546212</v>
      </c>
      <c r="CI155" s="257"/>
      <c r="CJ155" s="437">
        <v>2354897.9557672702</v>
      </c>
      <c r="CK155" s="404">
        <v>-738807</v>
      </c>
      <c r="CL155" s="404"/>
      <c r="CM155" s="437">
        <v>111679.89099999997</v>
      </c>
      <c r="CO155" s="434">
        <v>-838485.16698785278</v>
      </c>
      <c r="CP155" s="437">
        <v>-492522.30838188279</v>
      </c>
      <c r="CQ155" s="437">
        <v>-846798.78105069289</v>
      </c>
      <c r="CR155" s="437">
        <v>324764.42597790121</v>
      </c>
      <c r="CS155" s="257"/>
    </row>
    <row r="156" spans="1:97" x14ac:dyDescent="0.2">
      <c r="A156" s="100">
        <v>507</v>
      </c>
      <c r="B156" s="100" t="s">
        <v>468</v>
      </c>
      <c r="C156" s="100">
        <v>5564</v>
      </c>
      <c r="D156" s="257"/>
      <c r="E156" s="257"/>
      <c r="F156" s="257"/>
      <c r="G156" s="257"/>
      <c r="H156" s="325"/>
      <c r="I156" s="257"/>
      <c r="J156" s="257"/>
      <c r="K156" s="257"/>
      <c r="L156" s="257"/>
      <c r="M156" s="257"/>
      <c r="N156" s="257"/>
      <c r="O156" s="257"/>
      <c r="P156" s="257"/>
      <c r="Q156" s="100">
        <v>173</v>
      </c>
      <c r="R156" s="100">
        <v>35</v>
      </c>
      <c r="S156" s="100">
        <v>291</v>
      </c>
      <c r="T156" s="100">
        <v>155</v>
      </c>
      <c r="U156" s="100">
        <v>4910</v>
      </c>
      <c r="V156" s="100"/>
      <c r="W156" s="100"/>
      <c r="X156" s="100"/>
      <c r="Y156" s="100"/>
      <c r="Z156" s="257"/>
      <c r="AA156" s="257"/>
      <c r="AB156" s="257"/>
      <c r="AC156" s="257"/>
      <c r="AD156" s="257"/>
      <c r="AE156" s="258">
        <v>1.0314056063702628</v>
      </c>
      <c r="AG156" s="441">
        <v>205.16666666666666</v>
      </c>
      <c r="AH156" s="443">
        <v>2208</v>
      </c>
      <c r="AJ156" s="88">
        <v>151</v>
      </c>
      <c r="AM156" s="88">
        <v>0</v>
      </c>
      <c r="AN156" s="88">
        <v>13</v>
      </c>
      <c r="AP156" s="88">
        <v>0</v>
      </c>
      <c r="AQ156" s="399">
        <v>0</v>
      </c>
      <c r="AR156" s="88">
        <v>981.26</v>
      </c>
      <c r="AU156" s="399">
        <v>229</v>
      </c>
      <c r="AV156" s="399">
        <v>1267</v>
      </c>
      <c r="AY156" s="88">
        <v>0.68535000000000001</v>
      </c>
      <c r="AZ156" s="432">
        <v>1907</v>
      </c>
      <c r="BA156" s="440">
        <v>1975</v>
      </c>
      <c r="BC156" s="439">
        <v>0</v>
      </c>
      <c r="BD156" s="88">
        <v>0</v>
      </c>
      <c r="BE156" s="88">
        <v>0</v>
      </c>
      <c r="BF156" s="434">
        <v>-210707.63500000001</v>
      </c>
      <c r="BG156" s="100">
        <v>-109035.96</v>
      </c>
      <c r="BH156" s="257"/>
      <c r="BI156" s="100"/>
      <c r="BJ156" s="257"/>
      <c r="BK156" s="100"/>
      <c r="BL156" s="100"/>
      <c r="BM156" s="100"/>
      <c r="BN156" s="257"/>
      <c r="BO156" s="100"/>
      <c r="BP156" s="100">
        <v>612511</v>
      </c>
      <c r="BQ156" s="100">
        <v>180567</v>
      </c>
      <c r="BR156" s="100">
        <v>450385.43213346513</v>
      </c>
      <c r="BS156" s="100">
        <v>24541.285169192579</v>
      </c>
      <c r="BT156" s="100">
        <v>82977.254527237368</v>
      </c>
      <c r="BU156" s="100">
        <v>229492.8758543228</v>
      </c>
      <c r="BV156" s="100">
        <v>315091.64487333701</v>
      </c>
      <c r="BW156" s="100">
        <v>509287.61366675328</v>
      </c>
      <c r="BX156" s="100">
        <v>144620.68137410979</v>
      </c>
      <c r="BY156" s="100">
        <v>270129.4987416424</v>
      </c>
      <c r="BZ156" s="257"/>
      <c r="CA156" s="100"/>
      <c r="CB156" s="257"/>
      <c r="CC156" s="257"/>
      <c r="CD156" s="257"/>
      <c r="CE156" s="100">
        <v>366252.40444420127</v>
      </c>
      <c r="CF156" s="100">
        <v>207075.90957533682</v>
      </c>
      <c r="CG156" s="100">
        <v>183870.0576627166</v>
      </c>
      <c r="CH156" s="100">
        <v>1106543.9257034184</v>
      </c>
      <c r="CI156" s="257"/>
      <c r="CJ156" s="437">
        <v>972036.42851637793</v>
      </c>
      <c r="CK156" s="404">
        <v>20160</v>
      </c>
      <c r="CL156" s="404"/>
      <c r="CM156" s="437">
        <v>43696.286500000017</v>
      </c>
      <c r="CO156" s="434">
        <v>-778872.56072240649</v>
      </c>
      <c r="CP156" s="437">
        <v>-76178.122286481695</v>
      </c>
      <c r="CQ156" s="437">
        <v>-503374.83095791191</v>
      </c>
      <c r="CR156" s="437">
        <v>193054.40877575238</v>
      </c>
      <c r="CS156" s="257"/>
    </row>
    <row r="157" spans="1:97" x14ac:dyDescent="0.2">
      <c r="A157" s="100">
        <v>529</v>
      </c>
      <c r="B157" s="100" t="s">
        <v>470</v>
      </c>
      <c r="C157" s="100">
        <v>19850</v>
      </c>
      <c r="D157" s="257"/>
      <c r="E157" s="257"/>
      <c r="F157" s="257"/>
      <c r="G157" s="257"/>
      <c r="H157" s="325"/>
      <c r="I157" s="257"/>
      <c r="J157" s="257"/>
      <c r="K157" s="257"/>
      <c r="L157" s="257"/>
      <c r="M157" s="257"/>
      <c r="N157" s="257"/>
      <c r="O157" s="257"/>
      <c r="P157" s="257"/>
      <c r="Q157" s="100">
        <v>936</v>
      </c>
      <c r="R157" s="100">
        <v>200</v>
      </c>
      <c r="S157" s="100">
        <v>1253</v>
      </c>
      <c r="T157" s="100">
        <v>730</v>
      </c>
      <c r="U157" s="100">
        <v>16731</v>
      </c>
      <c r="V157" s="100"/>
      <c r="W157" s="100"/>
      <c r="X157" s="100"/>
      <c r="Y157" s="100"/>
      <c r="Z157" s="257"/>
      <c r="AA157" s="257"/>
      <c r="AB157" s="257"/>
      <c r="AC157" s="257"/>
      <c r="AD157" s="257"/>
      <c r="AE157" s="258">
        <v>1.0880562164544256</v>
      </c>
      <c r="AG157" s="441">
        <v>591.91666666666663</v>
      </c>
      <c r="AH157" s="443">
        <v>9082</v>
      </c>
      <c r="AJ157" s="88">
        <v>658</v>
      </c>
      <c r="AM157" s="88">
        <v>0</v>
      </c>
      <c r="AN157" s="88">
        <v>270</v>
      </c>
      <c r="AP157" s="88">
        <v>3</v>
      </c>
      <c r="AQ157" s="399">
        <v>4263</v>
      </c>
      <c r="AR157" s="88">
        <v>312.58</v>
      </c>
      <c r="AU157" s="399">
        <v>617</v>
      </c>
      <c r="AV157" s="399">
        <v>5986</v>
      </c>
      <c r="AY157" s="88">
        <v>0</v>
      </c>
      <c r="AZ157" s="432">
        <v>5387</v>
      </c>
      <c r="BA157" s="440">
        <v>8545</v>
      </c>
      <c r="BC157" s="439">
        <v>0.92</v>
      </c>
      <c r="BD157" s="88">
        <v>0</v>
      </c>
      <c r="BE157" s="88">
        <v>1</v>
      </c>
      <c r="BF157" s="434">
        <v>-554322.26249999995</v>
      </c>
      <c r="BG157" s="100">
        <v>-373192.67000000004</v>
      </c>
      <c r="BH157" s="257"/>
      <c r="BI157" s="100"/>
      <c r="BJ157" s="257"/>
      <c r="BK157" s="100"/>
      <c r="BL157" s="100"/>
      <c r="BM157" s="100"/>
      <c r="BN157" s="257"/>
      <c r="BO157" s="100"/>
      <c r="BP157" s="100">
        <v>1126269</v>
      </c>
      <c r="BQ157" s="100">
        <v>399804</v>
      </c>
      <c r="BR157" s="100">
        <v>766201.27662967087</v>
      </c>
      <c r="BS157" s="100">
        <v>14389.925838253772</v>
      </c>
      <c r="BT157" s="100">
        <v>-431494.31892511674</v>
      </c>
      <c r="BU157" s="100">
        <v>292074.77072624414</v>
      </c>
      <c r="BV157" s="100">
        <v>716649.17486238037</v>
      </c>
      <c r="BW157" s="100">
        <v>1313253.5607455149</v>
      </c>
      <c r="BX157" s="100">
        <v>386703.96748320304</v>
      </c>
      <c r="BY157" s="100">
        <v>671825.33558644855</v>
      </c>
      <c r="BZ157" s="257"/>
      <c r="CA157" s="100"/>
      <c r="CB157" s="257"/>
      <c r="CC157" s="257"/>
      <c r="CD157" s="257"/>
      <c r="CE157" s="100">
        <v>837054.10549226706</v>
      </c>
      <c r="CF157" s="100">
        <v>537418.16333842266</v>
      </c>
      <c r="CG157" s="100">
        <v>540483.33955623186</v>
      </c>
      <c r="CH157" s="100">
        <v>2301642.8770866529</v>
      </c>
      <c r="CI157" s="257"/>
      <c r="CJ157" s="437">
        <v>-634526.86247983784</v>
      </c>
      <c r="CK157" s="404">
        <v>-1072985</v>
      </c>
      <c r="CL157" s="404"/>
      <c r="CM157" s="437">
        <v>-200888.04544999992</v>
      </c>
      <c r="CO157" s="434">
        <v>4326281.6549170716</v>
      </c>
      <c r="CP157" s="437">
        <v>952929.11478100612</v>
      </c>
      <c r="CQ157" s="437">
        <v>-1795828.6115231041</v>
      </c>
      <c r="CR157" s="437">
        <v>688736.52304074133</v>
      </c>
      <c r="CS157" s="257"/>
    </row>
    <row r="158" spans="1:97" x14ac:dyDescent="0.2">
      <c r="A158" s="100">
        <v>531</v>
      </c>
      <c r="B158" s="100" t="s">
        <v>471</v>
      </c>
      <c r="C158" s="100">
        <v>5072</v>
      </c>
      <c r="D158" s="257"/>
      <c r="E158" s="257"/>
      <c r="F158" s="257"/>
      <c r="G158" s="257"/>
      <c r="H158" s="325"/>
      <c r="I158" s="257"/>
      <c r="J158" s="257"/>
      <c r="K158" s="257"/>
      <c r="L158" s="257"/>
      <c r="M158" s="257"/>
      <c r="N158" s="257"/>
      <c r="O158" s="257"/>
      <c r="P158" s="257"/>
      <c r="Q158" s="100">
        <v>184</v>
      </c>
      <c r="R158" s="100">
        <v>45</v>
      </c>
      <c r="S158" s="100">
        <v>347</v>
      </c>
      <c r="T158" s="100">
        <v>182</v>
      </c>
      <c r="U158" s="100">
        <v>4314</v>
      </c>
      <c r="V158" s="100"/>
      <c r="W158" s="100"/>
      <c r="X158" s="100"/>
      <c r="Y158" s="100"/>
      <c r="Z158" s="257"/>
      <c r="AA158" s="257"/>
      <c r="AB158" s="257"/>
      <c r="AC158" s="257"/>
      <c r="AD158" s="257"/>
      <c r="AE158" s="258">
        <v>0.88395943454301862</v>
      </c>
      <c r="AG158" s="441">
        <v>155.33333333333334</v>
      </c>
      <c r="AH158" s="443">
        <v>2273</v>
      </c>
      <c r="AJ158" s="88">
        <v>97</v>
      </c>
      <c r="AM158" s="88">
        <v>0</v>
      </c>
      <c r="AN158" s="88">
        <v>29</v>
      </c>
      <c r="AP158" s="88">
        <v>0</v>
      </c>
      <c r="AQ158" s="399">
        <v>0</v>
      </c>
      <c r="AR158" s="88">
        <v>182.93</v>
      </c>
      <c r="AU158" s="399">
        <v>155</v>
      </c>
      <c r="AV158" s="399">
        <v>1451</v>
      </c>
      <c r="AY158" s="88">
        <v>0</v>
      </c>
      <c r="AZ158" s="432">
        <v>1465</v>
      </c>
      <c r="BA158" s="440">
        <v>2042</v>
      </c>
      <c r="BC158" s="439">
        <v>0</v>
      </c>
      <c r="BD158" s="88">
        <v>0</v>
      </c>
      <c r="BE158" s="88">
        <v>0</v>
      </c>
      <c r="BF158" s="434">
        <v>-143782.83749999999</v>
      </c>
      <c r="BG158" s="100">
        <v>-100967.76000000001</v>
      </c>
      <c r="BH158" s="257"/>
      <c r="BI158" s="100"/>
      <c r="BJ158" s="257"/>
      <c r="BK158" s="100"/>
      <c r="BL158" s="100"/>
      <c r="BM158" s="100"/>
      <c r="BN158" s="257"/>
      <c r="BO158" s="100"/>
      <c r="BP158" s="100">
        <v>438841</v>
      </c>
      <c r="BQ158" s="100">
        <v>144033</v>
      </c>
      <c r="BR158" s="100">
        <v>315657.2615734365</v>
      </c>
      <c r="BS158" s="100">
        <v>13267.612924917235</v>
      </c>
      <c r="BT158" s="100">
        <v>5784.8774261088856</v>
      </c>
      <c r="BU158" s="100">
        <v>154824.90383729787</v>
      </c>
      <c r="BV158" s="100">
        <v>277279.57392231474</v>
      </c>
      <c r="BW158" s="100">
        <v>446750.80011926929</v>
      </c>
      <c r="BX158" s="100">
        <v>120873.60937409131</v>
      </c>
      <c r="BY158" s="100">
        <v>226991.36700585016</v>
      </c>
      <c r="BZ158" s="257"/>
      <c r="CA158" s="100"/>
      <c r="CB158" s="257"/>
      <c r="CC158" s="257"/>
      <c r="CD158" s="257"/>
      <c r="CE158" s="100">
        <v>295492.10994245997</v>
      </c>
      <c r="CF158" s="100">
        <v>172881.86799960214</v>
      </c>
      <c r="CG158" s="100">
        <v>171282.96214401201</v>
      </c>
      <c r="CH158" s="100">
        <v>879128.80053243821</v>
      </c>
      <c r="CI158" s="257"/>
      <c r="CJ158" s="437">
        <v>2197489.3816848043</v>
      </c>
      <c r="CK158" s="404">
        <v>-299520</v>
      </c>
      <c r="CL158" s="404"/>
      <c r="CM158" s="437">
        <v>36465.289550000016</v>
      </c>
      <c r="CO158" s="434">
        <v>-1124023.1332962255</v>
      </c>
      <c r="CP158" s="437">
        <v>-1000241.5866294442</v>
      </c>
      <c r="CQ158" s="437">
        <v>-458863.61297960626</v>
      </c>
      <c r="CR158" s="437">
        <v>175983.4581794781</v>
      </c>
      <c r="CS158" s="257"/>
    </row>
    <row r="159" spans="1:97" x14ac:dyDescent="0.2">
      <c r="A159" s="100">
        <v>535</v>
      </c>
      <c r="B159" s="100" t="s">
        <v>472</v>
      </c>
      <c r="C159" s="100">
        <v>10419</v>
      </c>
      <c r="D159" s="257"/>
      <c r="E159" s="257"/>
      <c r="F159" s="257"/>
      <c r="G159" s="257"/>
      <c r="H159" s="325"/>
      <c r="I159" s="257"/>
      <c r="J159" s="257"/>
      <c r="K159" s="257"/>
      <c r="L159" s="257"/>
      <c r="M159" s="257"/>
      <c r="N159" s="257"/>
      <c r="O159" s="257"/>
      <c r="P159" s="257"/>
      <c r="Q159" s="100">
        <v>715</v>
      </c>
      <c r="R159" s="100">
        <v>129</v>
      </c>
      <c r="S159" s="100">
        <v>1052</v>
      </c>
      <c r="T159" s="100">
        <v>528</v>
      </c>
      <c r="U159" s="100">
        <v>7995</v>
      </c>
      <c r="V159" s="100"/>
      <c r="W159" s="100"/>
      <c r="X159" s="100"/>
      <c r="Y159" s="100"/>
      <c r="Z159" s="257"/>
      <c r="AA159" s="257"/>
      <c r="AB159" s="257"/>
      <c r="AC159" s="257"/>
      <c r="AD159" s="257"/>
      <c r="AE159" s="258">
        <v>0.9888955781394021</v>
      </c>
      <c r="AG159" s="441">
        <v>283.91666666666669</v>
      </c>
      <c r="AH159" s="443">
        <v>4381</v>
      </c>
      <c r="AJ159" s="88">
        <v>115</v>
      </c>
      <c r="AM159" s="88">
        <v>0</v>
      </c>
      <c r="AN159" s="88">
        <v>5</v>
      </c>
      <c r="AP159" s="88">
        <v>0</v>
      </c>
      <c r="AQ159" s="399">
        <v>0</v>
      </c>
      <c r="AR159" s="88">
        <v>527.30999999999995</v>
      </c>
      <c r="AU159" s="399">
        <v>274</v>
      </c>
      <c r="AV159" s="399">
        <v>2782</v>
      </c>
      <c r="AY159" s="88">
        <v>8.7833333333333333E-2</v>
      </c>
      <c r="AZ159" s="432">
        <v>3730</v>
      </c>
      <c r="BA159" s="440">
        <v>3980</v>
      </c>
      <c r="BC159" s="439">
        <v>0</v>
      </c>
      <c r="BD159" s="88">
        <v>0</v>
      </c>
      <c r="BE159" s="88">
        <v>0</v>
      </c>
      <c r="BF159" s="434">
        <v>-235103.72500000001</v>
      </c>
      <c r="BG159" s="100">
        <v>-201705</v>
      </c>
      <c r="BH159" s="257"/>
      <c r="BI159" s="100"/>
      <c r="BJ159" s="257"/>
      <c r="BK159" s="100"/>
      <c r="BL159" s="100"/>
      <c r="BM159" s="100"/>
      <c r="BN159" s="257"/>
      <c r="BO159" s="100"/>
      <c r="BP159" s="100">
        <v>959779</v>
      </c>
      <c r="BQ159" s="100">
        <v>298038</v>
      </c>
      <c r="BR159" s="100">
        <v>742244.57160108408</v>
      </c>
      <c r="BS159" s="100">
        <v>31395.044960570765</v>
      </c>
      <c r="BT159" s="100">
        <v>86216.866427678178</v>
      </c>
      <c r="BU159" s="100">
        <v>384828.58999843674</v>
      </c>
      <c r="BV159" s="100">
        <v>586699.58609590796</v>
      </c>
      <c r="BW159" s="100">
        <v>917056.14742827835</v>
      </c>
      <c r="BX159" s="100">
        <v>236083.63672031384</v>
      </c>
      <c r="BY159" s="100">
        <v>483486.12478537211</v>
      </c>
      <c r="BZ159" s="257"/>
      <c r="CA159" s="100"/>
      <c r="CB159" s="257"/>
      <c r="CC159" s="257"/>
      <c r="CD159" s="257"/>
      <c r="CE159" s="100">
        <v>655415.29803997499</v>
      </c>
      <c r="CF159" s="100">
        <v>382809.24456154421</v>
      </c>
      <c r="CG159" s="100">
        <v>369265.51453717396</v>
      </c>
      <c r="CH159" s="100">
        <v>1996894.0519505634</v>
      </c>
      <c r="CI159" s="257"/>
      <c r="CJ159" s="437">
        <v>6452510.2409875169</v>
      </c>
      <c r="CK159" s="404">
        <v>-742870</v>
      </c>
      <c r="CL159" s="404"/>
      <c r="CM159" s="437">
        <v>-61986.367500000051</v>
      </c>
      <c r="CO159" s="434">
        <v>429892.18568184361</v>
      </c>
      <c r="CP159" s="437">
        <v>-360918.46046346228</v>
      </c>
      <c r="CQ159" s="437">
        <v>-942606.46365033858</v>
      </c>
      <c r="CR159" s="437">
        <v>361508.60622475995</v>
      </c>
      <c r="CS159" s="257"/>
    </row>
    <row r="160" spans="1:97" x14ac:dyDescent="0.2">
      <c r="A160" s="100">
        <v>536</v>
      </c>
      <c r="B160" s="100" t="s">
        <v>473</v>
      </c>
      <c r="C160" s="100">
        <v>35346</v>
      </c>
      <c r="D160" s="257"/>
      <c r="E160" s="257"/>
      <c r="F160" s="257"/>
      <c r="G160" s="257"/>
      <c r="H160" s="325"/>
      <c r="I160" s="257"/>
      <c r="J160" s="257"/>
      <c r="K160" s="257"/>
      <c r="L160" s="257"/>
      <c r="M160" s="257"/>
      <c r="N160" s="257"/>
      <c r="O160" s="257"/>
      <c r="P160" s="257"/>
      <c r="Q160" s="100">
        <v>2060</v>
      </c>
      <c r="R160" s="100">
        <v>364</v>
      </c>
      <c r="S160" s="100">
        <v>2749</v>
      </c>
      <c r="T160" s="100">
        <v>1522</v>
      </c>
      <c r="U160" s="100">
        <v>28651</v>
      </c>
      <c r="V160" s="100"/>
      <c r="W160" s="100"/>
      <c r="X160" s="100"/>
      <c r="Y160" s="100"/>
      <c r="Z160" s="257"/>
      <c r="AA160" s="257"/>
      <c r="AB160" s="257"/>
      <c r="AC160" s="257"/>
      <c r="AD160" s="257"/>
      <c r="AE160" s="258">
        <v>1.096181438399497</v>
      </c>
      <c r="AG160" s="441">
        <v>1220.8333333333333</v>
      </c>
      <c r="AH160" s="443">
        <v>16562</v>
      </c>
      <c r="AJ160" s="88">
        <v>1117</v>
      </c>
      <c r="AM160" s="88">
        <v>0</v>
      </c>
      <c r="AN160" s="88">
        <v>117</v>
      </c>
      <c r="AP160" s="88">
        <v>0</v>
      </c>
      <c r="AQ160" s="399">
        <v>0</v>
      </c>
      <c r="AR160" s="88">
        <v>288.3</v>
      </c>
      <c r="AU160" s="399">
        <v>1065</v>
      </c>
      <c r="AV160" s="399">
        <v>12045</v>
      </c>
      <c r="AY160" s="88">
        <v>0</v>
      </c>
      <c r="AZ160" s="432">
        <v>12111</v>
      </c>
      <c r="BA160" s="440">
        <v>15541</v>
      </c>
      <c r="BC160" s="439">
        <v>1.37</v>
      </c>
      <c r="BD160" s="88">
        <v>0</v>
      </c>
      <c r="BE160" s="88">
        <v>4</v>
      </c>
      <c r="BF160" s="434">
        <v>-1643810.3174999999</v>
      </c>
      <c r="BG160" s="100">
        <v>-662283.96000000008</v>
      </c>
      <c r="BH160" s="257"/>
      <c r="BI160" s="100"/>
      <c r="BJ160" s="257"/>
      <c r="BK160" s="100"/>
      <c r="BL160" s="100"/>
      <c r="BM160" s="100"/>
      <c r="BN160" s="257"/>
      <c r="BO160" s="100"/>
      <c r="BP160" s="100">
        <v>2025008</v>
      </c>
      <c r="BQ160" s="100">
        <v>639058</v>
      </c>
      <c r="BR160" s="100">
        <v>1293658.0277316587</v>
      </c>
      <c r="BS160" s="100">
        <v>16113.233209466209</v>
      </c>
      <c r="BT160" s="100">
        <v>29726.065003372754</v>
      </c>
      <c r="BU160" s="100">
        <v>685453.07183000259</v>
      </c>
      <c r="BV160" s="100">
        <v>1344889.1313814824</v>
      </c>
      <c r="BW160" s="100">
        <v>2233952.0745359459</v>
      </c>
      <c r="BX160" s="100">
        <v>578686.89771078154</v>
      </c>
      <c r="BY160" s="100">
        <v>1155887.2384274635</v>
      </c>
      <c r="BZ160" s="257"/>
      <c r="CA160" s="100"/>
      <c r="CB160" s="257"/>
      <c r="CC160" s="257"/>
      <c r="CD160" s="257"/>
      <c r="CE160" s="100">
        <v>1444850.5615021733</v>
      </c>
      <c r="CF160" s="100">
        <v>964067.93394148012</v>
      </c>
      <c r="CG160" s="100">
        <v>917409.74826010515</v>
      </c>
      <c r="CH160" s="100">
        <v>4243793.9768804414</v>
      </c>
      <c r="CI160" s="257"/>
      <c r="CJ160" s="437">
        <v>5605455.9076610524</v>
      </c>
      <c r="CK160" s="404">
        <v>-2200417</v>
      </c>
      <c r="CL160" s="404"/>
      <c r="CM160" s="437">
        <v>-13856.302799999248</v>
      </c>
      <c r="CO160" s="434">
        <v>-1472683.6671168597</v>
      </c>
      <c r="CP160" s="437">
        <v>-864760.66701380664</v>
      </c>
      <c r="CQ160" s="437">
        <v>-3197751.0379292513</v>
      </c>
      <c r="CR160" s="437">
        <v>1226402.0727152668</v>
      </c>
      <c r="CS160" s="257"/>
    </row>
    <row r="161" spans="1:97" x14ac:dyDescent="0.2">
      <c r="A161" s="100">
        <v>538</v>
      </c>
      <c r="B161" s="100" t="s">
        <v>474</v>
      </c>
      <c r="C161" s="100">
        <v>4644</v>
      </c>
      <c r="D161" s="257"/>
      <c r="E161" s="257"/>
      <c r="F161" s="257"/>
      <c r="G161" s="257"/>
      <c r="H161" s="325"/>
      <c r="I161" s="257"/>
      <c r="J161" s="257"/>
      <c r="K161" s="257"/>
      <c r="L161" s="257"/>
      <c r="M161" s="257"/>
      <c r="N161" s="257"/>
      <c r="O161" s="257"/>
      <c r="P161" s="257"/>
      <c r="Q161" s="100">
        <v>273</v>
      </c>
      <c r="R161" s="100">
        <v>50</v>
      </c>
      <c r="S161" s="100">
        <v>410</v>
      </c>
      <c r="T161" s="100">
        <v>209</v>
      </c>
      <c r="U161" s="100">
        <v>3702</v>
      </c>
      <c r="V161" s="100"/>
      <c r="W161" s="100"/>
      <c r="X161" s="100"/>
      <c r="Y161" s="100"/>
      <c r="Z161" s="257"/>
      <c r="AA161" s="257"/>
      <c r="AB161" s="257"/>
      <c r="AC161" s="257"/>
      <c r="AD161" s="257"/>
      <c r="AE161" s="258">
        <v>0.79078091981656062</v>
      </c>
      <c r="AG161" s="441">
        <v>117.5</v>
      </c>
      <c r="AH161" s="443">
        <v>2307</v>
      </c>
      <c r="AJ161" s="88">
        <v>105</v>
      </c>
      <c r="AM161" s="88">
        <v>0</v>
      </c>
      <c r="AN161" s="88">
        <v>37</v>
      </c>
      <c r="AP161" s="88">
        <v>0</v>
      </c>
      <c r="AQ161" s="399">
        <v>0</v>
      </c>
      <c r="AR161" s="88">
        <v>198.93</v>
      </c>
      <c r="AU161" s="399">
        <v>154</v>
      </c>
      <c r="AV161" s="399">
        <v>1577</v>
      </c>
      <c r="AY161" s="88">
        <v>0</v>
      </c>
      <c r="AZ161" s="432">
        <v>917</v>
      </c>
      <c r="BA161" s="440">
        <v>2124</v>
      </c>
      <c r="BC161" s="439">
        <v>0</v>
      </c>
      <c r="BD161" s="88">
        <v>0</v>
      </c>
      <c r="BE161" s="88">
        <v>1</v>
      </c>
      <c r="BF161" s="434">
        <v>-51360.747499999998</v>
      </c>
      <c r="BG161" s="100">
        <v>-90152.53</v>
      </c>
      <c r="BH161" s="257"/>
      <c r="BI161" s="100"/>
      <c r="BJ161" s="257"/>
      <c r="BK161" s="100"/>
      <c r="BL161" s="100"/>
      <c r="BM161" s="100"/>
      <c r="BN161" s="257"/>
      <c r="BO161" s="100"/>
      <c r="BP161" s="100">
        <v>391270</v>
      </c>
      <c r="BQ161" s="100">
        <v>123013</v>
      </c>
      <c r="BR161" s="100">
        <v>242596.63038865852</v>
      </c>
      <c r="BS161" s="100">
        <v>3579.7945299190155</v>
      </c>
      <c r="BT161" s="100">
        <v>17659.404046923213</v>
      </c>
      <c r="BU161" s="100">
        <v>96120.125570317046</v>
      </c>
      <c r="BV161" s="100">
        <v>243463.35821764384</v>
      </c>
      <c r="BW161" s="100">
        <v>418804.37475416379</v>
      </c>
      <c r="BX161" s="100">
        <v>102384.76512897338</v>
      </c>
      <c r="BY161" s="100">
        <v>193340.95306111281</v>
      </c>
      <c r="BZ161" s="257"/>
      <c r="CA161" s="100"/>
      <c r="CB161" s="257"/>
      <c r="CC161" s="257"/>
      <c r="CD161" s="257"/>
      <c r="CE161" s="100">
        <v>251378.99568681928</v>
      </c>
      <c r="CF161" s="100">
        <v>163920.25787598902</v>
      </c>
      <c r="CG161" s="100">
        <v>160847.77643368248</v>
      </c>
      <c r="CH161" s="100">
        <v>778488.80307166837</v>
      </c>
      <c r="CI161" s="257"/>
      <c r="CJ161" s="437">
        <v>1892610.609176897</v>
      </c>
      <c r="CK161" s="404">
        <v>1059015</v>
      </c>
      <c r="CL161" s="404"/>
      <c r="CM161" s="437">
        <v>-78993.457500000019</v>
      </c>
      <c r="CO161" s="434">
        <v>3898.6838013950255</v>
      </c>
      <c r="CP161" s="437">
        <v>-206415.34504788092</v>
      </c>
      <c r="CQ161" s="437">
        <v>-420142.47213668993</v>
      </c>
      <c r="CR161" s="437">
        <v>161133.11904288176</v>
      </c>
      <c r="CS161" s="257"/>
    </row>
    <row r="162" spans="1:97" x14ac:dyDescent="0.2">
      <c r="A162" s="100">
        <v>541</v>
      </c>
      <c r="B162" s="100" t="s">
        <v>475</v>
      </c>
      <c r="C162" s="100">
        <v>9243</v>
      </c>
      <c r="D162" s="257"/>
      <c r="E162" s="257"/>
      <c r="F162" s="257"/>
      <c r="G162" s="257"/>
      <c r="H162" s="325"/>
      <c r="I162" s="257"/>
      <c r="J162" s="257"/>
      <c r="K162" s="257"/>
      <c r="L162" s="257"/>
      <c r="M162" s="257"/>
      <c r="N162" s="257"/>
      <c r="O162" s="257"/>
      <c r="P162" s="257"/>
      <c r="Q162" s="100">
        <v>341</v>
      </c>
      <c r="R162" s="100">
        <v>65</v>
      </c>
      <c r="S162" s="100">
        <v>476</v>
      </c>
      <c r="T162" s="100">
        <v>250</v>
      </c>
      <c r="U162" s="100">
        <v>8111</v>
      </c>
      <c r="V162" s="100"/>
      <c r="W162" s="100"/>
      <c r="X162" s="100"/>
      <c r="Y162" s="100"/>
      <c r="Z162" s="257"/>
      <c r="AA162" s="257"/>
      <c r="AB162" s="257"/>
      <c r="AC162" s="257"/>
      <c r="AD162" s="257"/>
      <c r="AE162" s="258">
        <v>0.87788450816407115</v>
      </c>
      <c r="AG162" s="441">
        <v>451.5</v>
      </c>
      <c r="AH162" s="443">
        <v>3862</v>
      </c>
      <c r="AJ162" s="88">
        <v>252</v>
      </c>
      <c r="AM162" s="88">
        <v>0</v>
      </c>
      <c r="AN162" s="88">
        <v>8</v>
      </c>
      <c r="AP162" s="88">
        <v>0</v>
      </c>
      <c r="AQ162" s="399">
        <v>0</v>
      </c>
      <c r="AR162" s="88">
        <v>2401.35</v>
      </c>
      <c r="AU162" s="399">
        <v>288</v>
      </c>
      <c r="AV162" s="399">
        <v>2219</v>
      </c>
      <c r="AY162" s="88">
        <v>1.181</v>
      </c>
      <c r="AZ162" s="432">
        <v>3215</v>
      </c>
      <c r="BA162" s="440">
        <v>3227</v>
      </c>
      <c r="BC162" s="439">
        <v>0</v>
      </c>
      <c r="BD162" s="88">
        <v>0</v>
      </c>
      <c r="BE162" s="88">
        <v>0</v>
      </c>
      <c r="BF162" s="434">
        <v>-328769.23499999999</v>
      </c>
      <c r="BG162" s="100">
        <v>-182514.21000000002</v>
      </c>
      <c r="BH162" s="257"/>
      <c r="BI162" s="100"/>
      <c r="BJ162" s="257"/>
      <c r="BK162" s="100"/>
      <c r="BL162" s="100"/>
      <c r="BM162" s="100"/>
      <c r="BN162" s="257"/>
      <c r="BO162" s="100"/>
      <c r="BP162" s="100">
        <v>995247</v>
      </c>
      <c r="BQ162" s="100">
        <v>308034</v>
      </c>
      <c r="BR162" s="100">
        <v>838594.18057144899</v>
      </c>
      <c r="BS162" s="100">
        <v>47545.389432168769</v>
      </c>
      <c r="BT162" s="100">
        <v>133720.40702885162</v>
      </c>
      <c r="BU162" s="100">
        <v>433982.73767950042</v>
      </c>
      <c r="BV162" s="100">
        <v>556119.80564314523</v>
      </c>
      <c r="BW162" s="100">
        <v>898885.23495856766</v>
      </c>
      <c r="BX162" s="100">
        <v>274897.1767368656</v>
      </c>
      <c r="BY162" s="100">
        <v>484578.39218715357</v>
      </c>
      <c r="BZ162" s="257"/>
      <c r="CA162" s="100"/>
      <c r="CB162" s="257"/>
      <c r="CC162" s="257"/>
      <c r="CD162" s="257"/>
      <c r="CE162" s="100">
        <v>656237.73745466163</v>
      </c>
      <c r="CF162" s="100">
        <v>351879.62141524645</v>
      </c>
      <c r="CG162" s="100">
        <v>351616.53941517585</v>
      </c>
      <c r="CH162" s="100">
        <v>2030617.8902143268</v>
      </c>
      <c r="CI162" s="257"/>
      <c r="CJ162" s="437">
        <v>4567844.1577191809</v>
      </c>
      <c r="CK162" s="404">
        <v>-591797</v>
      </c>
      <c r="CL162" s="404"/>
      <c r="CM162" s="437">
        <v>-9796.9789500000188</v>
      </c>
      <c r="CO162" s="434">
        <v>2447775.2254937766</v>
      </c>
      <c r="CP162" s="437">
        <v>1662750.2368185597</v>
      </c>
      <c r="CQ162" s="437">
        <v>-836213.79628755921</v>
      </c>
      <c r="CR162" s="437">
        <v>320704.87065317744</v>
      </c>
      <c r="CS162" s="257"/>
    </row>
    <row r="163" spans="1:97" x14ac:dyDescent="0.2">
      <c r="A163" s="100">
        <v>543</v>
      </c>
      <c r="B163" s="100" t="s">
        <v>476</v>
      </c>
      <c r="C163" s="100">
        <v>44458</v>
      </c>
      <c r="D163" s="257"/>
      <c r="E163" s="257"/>
      <c r="F163" s="257"/>
      <c r="G163" s="257"/>
      <c r="H163" s="325"/>
      <c r="I163" s="257"/>
      <c r="J163" s="257"/>
      <c r="K163" s="257"/>
      <c r="L163" s="257"/>
      <c r="M163" s="257"/>
      <c r="N163" s="257"/>
      <c r="O163" s="257"/>
      <c r="P163" s="257"/>
      <c r="Q163" s="100">
        <v>2821</v>
      </c>
      <c r="R163" s="100">
        <v>547</v>
      </c>
      <c r="S163" s="100">
        <v>3736</v>
      </c>
      <c r="T163" s="100">
        <v>2005</v>
      </c>
      <c r="U163" s="100">
        <v>35349</v>
      </c>
      <c r="V163" s="100"/>
      <c r="W163" s="100"/>
      <c r="X163" s="100"/>
      <c r="Y163" s="100"/>
      <c r="Z163" s="257"/>
      <c r="AA163" s="257"/>
      <c r="AB163" s="257"/>
      <c r="AC163" s="257"/>
      <c r="AD163" s="257"/>
      <c r="AE163" s="258">
        <v>1.0230469108163431</v>
      </c>
      <c r="AG163" s="441">
        <v>1528.0833333333333</v>
      </c>
      <c r="AH163" s="443">
        <v>22307</v>
      </c>
      <c r="AJ163" s="88">
        <v>3164</v>
      </c>
      <c r="AM163" s="88">
        <v>0</v>
      </c>
      <c r="AN163" s="88">
        <v>546</v>
      </c>
      <c r="AP163" s="88">
        <v>0</v>
      </c>
      <c r="AQ163" s="399">
        <v>0</v>
      </c>
      <c r="AR163" s="88">
        <v>361.9</v>
      </c>
      <c r="AU163" s="399">
        <v>2289</v>
      </c>
      <c r="AV163" s="399">
        <v>15143</v>
      </c>
      <c r="AY163" s="88">
        <v>0</v>
      </c>
      <c r="AZ163" s="432">
        <v>12389</v>
      </c>
      <c r="BA163" s="440">
        <v>21040</v>
      </c>
      <c r="BC163" s="439">
        <v>1.1200000000000001</v>
      </c>
      <c r="BD163" s="88">
        <v>0</v>
      </c>
      <c r="BE163" s="88">
        <v>1</v>
      </c>
      <c r="BF163" s="434">
        <v>-1773385.575</v>
      </c>
      <c r="BG163" s="100">
        <v>-838766.23</v>
      </c>
      <c r="BH163" s="257"/>
      <c r="BI163" s="100"/>
      <c r="BJ163" s="257"/>
      <c r="BK163" s="100"/>
      <c r="BL163" s="100"/>
      <c r="BM163" s="100"/>
      <c r="BN163" s="257"/>
      <c r="BO163" s="100"/>
      <c r="BP163" s="100">
        <v>2508951</v>
      </c>
      <c r="BQ163" s="100">
        <v>815872</v>
      </c>
      <c r="BR163" s="100">
        <v>1541302.5968424971</v>
      </c>
      <c r="BS163" s="100">
        <v>-2689.5568037836974</v>
      </c>
      <c r="BT163" s="100">
        <v>-252744.74866968312</v>
      </c>
      <c r="BU163" s="100">
        <v>461128.29631924519</v>
      </c>
      <c r="BV163" s="100">
        <v>1697250.0701201775</v>
      </c>
      <c r="BW163" s="100">
        <v>2641548.730693181</v>
      </c>
      <c r="BX163" s="100">
        <v>760307.29971737438</v>
      </c>
      <c r="BY163" s="100">
        <v>1322288.977590187</v>
      </c>
      <c r="BZ163" s="257"/>
      <c r="CA163" s="100"/>
      <c r="CB163" s="257"/>
      <c r="CC163" s="257"/>
      <c r="CD163" s="257"/>
      <c r="CE163" s="100">
        <v>1636796.1764733593</v>
      </c>
      <c r="CF163" s="100">
        <v>1178622.779299265</v>
      </c>
      <c r="CG163" s="100">
        <v>1174380.9819326294</v>
      </c>
      <c r="CH163" s="100">
        <v>5144222.2518574186</v>
      </c>
      <c r="CI163" s="257"/>
      <c r="CJ163" s="437">
        <v>-198832.6306909867</v>
      </c>
      <c r="CK163" s="404">
        <v>-8239258</v>
      </c>
      <c r="CL163" s="404"/>
      <c r="CM163" s="437">
        <v>-266196.76289999997</v>
      </c>
      <c r="CO163" s="434">
        <v>5228666.4970606994</v>
      </c>
      <c r="CP163" s="437">
        <v>2990732.435531389</v>
      </c>
      <c r="CQ163" s="437">
        <v>-4022113.2700803103</v>
      </c>
      <c r="CR163" s="437">
        <v>1542561.629286916</v>
      </c>
      <c r="CS163" s="257"/>
    </row>
    <row r="164" spans="1:97" x14ac:dyDescent="0.2">
      <c r="A164" s="100">
        <v>545</v>
      </c>
      <c r="B164" s="100" t="s">
        <v>477</v>
      </c>
      <c r="C164" s="100">
        <v>9584</v>
      </c>
      <c r="D164" s="257"/>
      <c r="E164" s="257"/>
      <c r="F164" s="257"/>
      <c r="G164" s="257"/>
      <c r="H164" s="325"/>
      <c r="I164" s="257"/>
      <c r="J164" s="257"/>
      <c r="K164" s="257"/>
      <c r="L164" s="257"/>
      <c r="M164" s="257"/>
      <c r="N164" s="257"/>
      <c r="O164" s="257"/>
      <c r="P164" s="257"/>
      <c r="Q164" s="100">
        <v>565</v>
      </c>
      <c r="R164" s="100">
        <v>108</v>
      </c>
      <c r="S164" s="100">
        <v>651</v>
      </c>
      <c r="T164" s="100">
        <v>293</v>
      </c>
      <c r="U164" s="100">
        <v>7967</v>
      </c>
      <c r="V164" s="100"/>
      <c r="W164" s="100"/>
      <c r="X164" s="100"/>
      <c r="Y164" s="100"/>
      <c r="Z164" s="257"/>
      <c r="AA164" s="257"/>
      <c r="AB164" s="257"/>
      <c r="AC164" s="257"/>
      <c r="AD164" s="257"/>
      <c r="AE164" s="258">
        <v>0.79029199784663906</v>
      </c>
      <c r="AG164" s="441">
        <v>160.66666666666666</v>
      </c>
      <c r="AH164" s="443">
        <v>4495</v>
      </c>
      <c r="AJ164" s="88">
        <v>1870</v>
      </c>
      <c r="AM164" s="88">
        <v>3</v>
      </c>
      <c r="AN164" s="88">
        <v>7212</v>
      </c>
      <c r="AP164" s="88">
        <v>3</v>
      </c>
      <c r="AQ164" s="399">
        <v>93</v>
      </c>
      <c r="AR164" s="88">
        <v>977.82</v>
      </c>
      <c r="AU164" s="399">
        <v>716</v>
      </c>
      <c r="AV164" s="399">
        <v>2858</v>
      </c>
      <c r="AY164" s="88">
        <v>0.75511666666666666</v>
      </c>
      <c r="AZ164" s="432">
        <v>4588</v>
      </c>
      <c r="BA164" s="440">
        <v>4293</v>
      </c>
      <c r="BC164" s="439">
        <v>0.37</v>
      </c>
      <c r="BD164" s="88">
        <v>0</v>
      </c>
      <c r="BE164" s="88">
        <v>0</v>
      </c>
      <c r="BF164" s="434">
        <v>-79379.12</v>
      </c>
      <c r="BG164" s="100">
        <v>-183609.18000000002</v>
      </c>
      <c r="BH164" s="257"/>
      <c r="BI164" s="100"/>
      <c r="BJ164" s="257"/>
      <c r="BK164" s="100"/>
      <c r="BL164" s="100"/>
      <c r="BM164" s="100"/>
      <c r="BN164" s="257"/>
      <c r="BO164" s="100"/>
      <c r="BP164" s="100">
        <v>882100</v>
      </c>
      <c r="BQ164" s="100">
        <v>360351</v>
      </c>
      <c r="BR164" s="100">
        <v>862960.74430859403</v>
      </c>
      <c r="BS164" s="100">
        <v>51821.178533274098</v>
      </c>
      <c r="BT164" s="100">
        <v>100620.96981149455</v>
      </c>
      <c r="BU164" s="100">
        <v>341477.81833302096</v>
      </c>
      <c r="BV164" s="100">
        <v>661809.19778420764</v>
      </c>
      <c r="BW164" s="100">
        <v>988815.4396264588</v>
      </c>
      <c r="BX164" s="100">
        <v>358380.75568269467</v>
      </c>
      <c r="BY164" s="100">
        <v>546498.55625187315</v>
      </c>
      <c r="BZ164" s="257"/>
      <c r="CA164" s="100"/>
      <c r="CB164" s="257"/>
      <c r="CC164" s="257"/>
      <c r="CD164" s="257"/>
      <c r="CE164" s="100">
        <v>744996.28072836669</v>
      </c>
      <c r="CF164" s="100">
        <v>435165.12566096312</v>
      </c>
      <c r="CG164" s="100">
        <v>446816.54095903301</v>
      </c>
      <c r="CH164" s="100">
        <v>2173390.3931355006</v>
      </c>
      <c r="CI164" s="257"/>
      <c r="CJ164" s="437">
        <v>3119934.886978758</v>
      </c>
      <c r="CK164" s="404">
        <v>315285</v>
      </c>
      <c r="CL164" s="404"/>
      <c r="CM164" s="437">
        <v>13575.834999999992</v>
      </c>
      <c r="CO164" s="434">
        <v>1843044.0596636783</v>
      </c>
      <c r="CP164" s="437">
        <v>1425004.0646821237</v>
      </c>
      <c r="CQ164" s="437">
        <v>-867064.05102455569</v>
      </c>
      <c r="CR164" s="437">
        <v>332536.56608677405</v>
      </c>
      <c r="CS164" s="257"/>
    </row>
    <row r="165" spans="1:97" x14ac:dyDescent="0.2">
      <c r="A165" s="100">
        <v>560</v>
      </c>
      <c r="B165" s="100" t="s">
        <v>478</v>
      </c>
      <c r="C165" s="100">
        <v>15735</v>
      </c>
      <c r="D165" s="257"/>
      <c r="E165" s="257"/>
      <c r="F165" s="257"/>
      <c r="G165" s="257"/>
      <c r="H165" s="325"/>
      <c r="I165" s="257"/>
      <c r="J165" s="257"/>
      <c r="K165" s="257"/>
      <c r="L165" s="257"/>
      <c r="M165" s="257"/>
      <c r="N165" s="257"/>
      <c r="O165" s="257"/>
      <c r="P165" s="257"/>
      <c r="Q165" s="100">
        <v>794</v>
      </c>
      <c r="R165" s="100">
        <v>173</v>
      </c>
      <c r="S165" s="100">
        <v>1143</v>
      </c>
      <c r="T165" s="100">
        <v>593</v>
      </c>
      <c r="U165" s="100">
        <v>13032</v>
      </c>
      <c r="V165" s="100"/>
      <c r="W165" s="100"/>
      <c r="X165" s="100"/>
      <c r="Y165" s="100"/>
      <c r="Z165" s="257"/>
      <c r="AA165" s="257"/>
      <c r="AB165" s="257"/>
      <c r="AC165" s="257"/>
      <c r="AD165" s="257"/>
      <c r="AE165" s="258">
        <v>0.82726209921144778</v>
      </c>
      <c r="AG165" s="441">
        <v>724.08333333333337</v>
      </c>
      <c r="AH165" s="443">
        <v>7242</v>
      </c>
      <c r="AJ165" s="88">
        <v>557</v>
      </c>
      <c r="AM165" s="88">
        <v>0</v>
      </c>
      <c r="AN165" s="88">
        <v>96</v>
      </c>
      <c r="AP165" s="88">
        <v>0</v>
      </c>
      <c r="AQ165" s="399">
        <v>0</v>
      </c>
      <c r="AR165" s="88">
        <v>785.26</v>
      </c>
      <c r="AU165" s="399">
        <v>719</v>
      </c>
      <c r="AV165" s="399">
        <v>4749</v>
      </c>
      <c r="AY165" s="88">
        <v>0</v>
      </c>
      <c r="AZ165" s="432">
        <v>4603</v>
      </c>
      <c r="BA165" s="440">
        <v>6411</v>
      </c>
      <c r="BC165" s="439">
        <v>0</v>
      </c>
      <c r="BD165" s="88">
        <v>0</v>
      </c>
      <c r="BE165" s="88">
        <v>4</v>
      </c>
      <c r="BF165" s="434">
        <v>-709485.97499999998</v>
      </c>
      <c r="BG165" s="100">
        <v>-305093.22000000003</v>
      </c>
      <c r="BH165" s="257"/>
      <c r="BI165" s="100"/>
      <c r="BJ165" s="257"/>
      <c r="BK165" s="100"/>
      <c r="BL165" s="100"/>
      <c r="BM165" s="100"/>
      <c r="BN165" s="257"/>
      <c r="BO165" s="100"/>
      <c r="BP165" s="100">
        <v>1347206</v>
      </c>
      <c r="BQ165" s="100">
        <v>448989</v>
      </c>
      <c r="BR165" s="100">
        <v>1044372.1029025062</v>
      </c>
      <c r="BS165" s="100">
        <v>40840.805751340253</v>
      </c>
      <c r="BT165" s="100">
        <v>25536.415548027293</v>
      </c>
      <c r="BU165" s="100">
        <v>410477.114387732</v>
      </c>
      <c r="BV165" s="100">
        <v>841468.43956446939</v>
      </c>
      <c r="BW165" s="100">
        <v>1345148.8386893263</v>
      </c>
      <c r="BX165" s="100">
        <v>396782.10989634832</v>
      </c>
      <c r="BY165" s="100">
        <v>698393.14452333818</v>
      </c>
      <c r="BZ165" s="257"/>
      <c r="CA165" s="100"/>
      <c r="CB165" s="257"/>
      <c r="CC165" s="257"/>
      <c r="CD165" s="257"/>
      <c r="CE165" s="100">
        <v>922060.50137157866</v>
      </c>
      <c r="CF165" s="100">
        <v>551655.60284756392</v>
      </c>
      <c r="CG165" s="100">
        <v>558862.28518612147</v>
      </c>
      <c r="CH165" s="100">
        <v>2752491.5886558881</v>
      </c>
      <c r="CI165" s="257"/>
      <c r="CJ165" s="437">
        <v>6119155.5578805432</v>
      </c>
      <c r="CK165" s="404">
        <v>-1796427</v>
      </c>
      <c r="CL165" s="404"/>
      <c r="CM165" s="437">
        <v>474517.20505000046</v>
      </c>
      <c r="CO165" s="434">
        <v>140866.56848577116</v>
      </c>
      <c r="CP165" s="437">
        <v>7736.6858945212198</v>
      </c>
      <c r="CQ165" s="437">
        <v>-1423544.7457086167</v>
      </c>
      <c r="CR165" s="437">
        <v>545958.14559426019</v>
      </c>
      <c r="CS165" s="257"/>
    </row>
    <row r="166" spans="1:97" x14ac:dyDescent="0.2">
      <c r="A166" s="100">
        <v>561</v>
      </c>
      <c r="B166" s="100" t="s">
        <v>479</v>
      </c>
      <c r="C166" s="100">
        <v>1317</v>
      </c>
      <c r="D166" s="257"/>
      <c r="E166" s="257"/>
      <c r="F166" s="257"/>
      <c r="G166" s="257"/>
      <c r="H166" s="325"/>
      <c r="I166" s="257"/>
      <c r="J166" s="257"/>
      <c r="K166" s="257"/>
      <c r="L166" s="257"/>
      <c r="M166" s="257"/>
      <c r="N166" s="257"/>
      <c r="O166" s="257"/>
      <c r="P166" s="257"/>
      <c r="Q166" s="100">
        <v>73</v>
      </c>
      <c r="R166" s="100">
        <v>9</v>
      </c>
      <c r="S166" s="100">
        <v>97</v>
      </c>
      <c r="T166" s="100">
        <v>54</v>
      </c>
      <c r="U166" s="100">
        <v>1084</v>
      </c>
      <c r="V166" s="100"/>
      <c r="W166" s="100"/>
      <c r="X166" s="100"/>
      <c r="Y166" s="100"/>
      <c r="Z166" s="257"/>
      <c r="AA166" s="257"/>
      <c r="AB166" s="257"/>
      <c r="AC166" s="257"/>
      <c r="AD166" s="257"/>
      <c r="AE166" s="258">
        <v>0.66911842598991667</v>
      </c>
      <c r="AG166" s="441">
        <v>39.583333333333336</v>
      </c>
      <c r="AH166" s="443">
        <v>580</v>
      </c>
      <c r="AJ166" s="88">
        <v>105</v>
      </c>
      <c r="AM166" s="88">
        <v>0</v>
      </c>
      <c r="AN166" s="88">
        <v>6</v>
      </c>
      <c r="AP166" s="88">
        <v>0</v>
      </c>
      <c r="AQ166" s="399">
        <v>0</v>
      </c>
      <c r="AR166" s="88">
        <v>117.78</v>
      </c>
      <c r="AU166" s="399">
        <v>90</v>
      </c>
      <c r="AV166" s="399">
        <v>400</v>
      </c>
      <c r="AY166" s="88">
        <v>0</v>
      </c>
      <c r="AZ166" s="432">
        <v>462</v>
      </c>
      <c r="BA166" s="440">
        <v>549</v>
      </c>
      <c r="BC166" s="439">
        <v>0</v>
      </c>
      <c r="BD166" s="88">
        <v>0</v>
      </c>
      <c r="BE166" s="88">
        <v>0</v>
      </c>
      <c r="BF166" s="434">
        <v>-19956.45</v>
      </c>
      <c r="BG166" s="100">
        <v>-25626.14</v>
      </c>
      <c r="BH166" s="257"/>
      <c r="BI166" s="100"/>
      <c r="BJ166" s="257"/>
      <c r="BK166" s="100"/>
      <c r="BL166" s="100"/>
      <c r="BM166" s="100"/>
      <c r="BN166" s="257"/>
      <c r="BO166" s="100"/>
      <c r="BP166" s="100">
        <v>125388</v>
      </c>
      <c r="BQ166" s="100">
        <v>47164</v>
      </c>
      <c r="BR166" s="100">
        <v>120705.51309423543</v>
      </c>
      <c r="BS166" s="100">
        <v>6912.0473510312058</v>
      </c>
      <c r="BT166" s="100">
        <v>16468.420393850014</v>
      </c>
      <c r="BU166" s="100">
        <v>44923.497967833151</v>
      </c>
      <c r="BV166" s="100">
        <v>91105.935910178683</v>
      </c>
      <c r="BW166" s="100">
        <v>127322.0639238273</v>
      </c>
      <c r="BX166" s="100">
        <v>42722.480114134763</v>
      </c>
      <c r="BY166" s="100">
        <v>69442.992919674653</v>
      </c>
      <c r="BZ166" s="257"/>
      <c r="CA166" s="100"/>
      <c r="CB166" s="257"/>
      <c r="CC166" s="257"/>
      <c r="CD166" s="257"/>
      <c r="CE166" s="100">
        <v>95695.844868757136</v>
      </c>
      <c r="CF166" s="100">
        <v>56285.301239261629</v>
      </c>
      <c r="CG166" s="100">
        <v>58535.208895824187</v>
      </c>
      <c r="CH166" s="100">
        <v>340084.14675400406</v>
      </c>
      <c r="CI166" s="257"/>
      <c r="CJ166" s="437">
        <v>436774.38299178809</v>
      </c>
      <c r="CK166" s="404">
        <v>-278523</v>
      </c>
      <c r="CL166" s="404"/>
      <c r="CM166" s="437">
        <v>-593756.30000000005</v>
      </c>
      <c r="CO166" s="434">
        <v>397799.26799250866</v>
      </c>
      <c r="CP166" s="437">
        <v>315999.25419367111</v>
      </c>
      <c r="CQ166" s="437">
        <v>-119148.93105168403</v>
      </c>
      <c r="CR166" s="437">
        <v>45696.020193685457</v>
      </c>
      <c r="CS166" s="257"/>
    </row>
    <row r="167" spans="1:97" x14ac:dyDescent="0.2">
      <c r="A167" s="100">
        <v>562</v>
      </c>
      <c r="B167" s="100" t="s">
        <v>480</v>
      </c>
      <c r="C167" s="100">
        <v>8935</v>
      </c>
      <c r="D167" s="257"/>
      <c r="E167" s="257"/>
      <c r="F167" s="257"/>
      <c r="G167" s="257"/>
      <c r="H167" s="325"/>
      <c r="I167" s="257"/>
      <c r="J167" s="257"/>
      <c r="K167" s="257"/>
      <c r="L167" s="257"/>
      <c r="M167" s="257"/>
      <c r="N167" s="257"/>
      <c r="O167" s="257"/>
      <c r="P167" s="257"/>
      <c r="Q167" s="100">
        <v>391</v>
      </c>
      <c r="R167" s="100">
        <v>76</v>
      </c>
      <c r="S167" s="100">
        <v>567</v>
      </c>
      <c r="T167" s="100">
        <v>310</v>
      </c>
      <c r="U167" s="100">
        <v>7591</v>
      </c>
      <c r="V167" s="100"/>
      <c r="W167" s="100"/>
      <c r="X167" s="100"/>
      <c r="Y167" s="100"/>
      <c r="Z167" s="257"/>
      <c r="AA167" s="257"/>
      <c r="AB167" s="257"/>
      <c r="AC167" s="257"/>
      <c r="AD167" s="257"/>
      <c r="AE167" s="258">
        <v>0.97075963962546497</v>
      </c>
      <c r="AG167" s="441">
        <v>329.25</v>
      </c>
      <c r="AH167" s="443">
        <v>3875</v>
      </c>
      <c r="AJ167" s="88">
        <v>174</v>
      </c>
      <c r="AM167" s="88">
        <v>0</v>
      </c>
      <c r="AN167" s="88">
        <v>14</v>
      </c>
      <c r="AP167" s="88">
        <v>0</v>
      </c>
      <c r="AQ167" s="399">
        <v>0</v>
      </c>
      <c r="AR167" s="88">
        <v>799.72</v>
      </c>
      <c r="AU167" s="399">
        <v>253</v>
      </c>
      <c r="AV167" s="399">
        <v>2476</v>
      </c>
      <c r="AY167" s="88">
        <v>0.28939999999999999</v>
      </c>
      <c r="AZ167" s="432">
        <v>2419</v>
      </c>
      <c r="BA167" s="440">
        <v>3417</v>
      </c>
      <c r="BC167" s="439">
        <v>0</v>
      </c>
      <c r="BD167" s="88">
        <v>0</v>
      </c>
      <c r="BE167" s="88">
        <v>0</v>
      </c>
      <c r="BF167" s="434">
        <v>-271039.6225</v>
      </c>
      <c r="BG167" s="100">
        <v>-173043.68000000002</v>
      </c>
      <c r="BH167" s="257"/>
      <c r="BI167" s="100"/>
      <c r="BJ167" s="257"/>
      <c r="BK167" s="100"/>
      <c r="BL167" s="100"/>
      <c r="BM167" s="100"/>
      <c r="BN167" s="257"/>
      <c r="BO167" s="100"/>
      <c r="BP167" s="100">
        <v>830958</v>
      </c>
      <c r="BQ167" s="100">
        <v>272171</v>
      </c>
      <c r="BR167" s="100">
        <v>596253.02858232183</v>
      </c>
      <c r="BS167" s="100">
        <v>27439.144029399191</v>
      </c>
      <c r="BT167" s="100">
        <v>84570.054895810055</v>
      </c>
      <c r="BU167" s="100">
        <v>269120.68028650165</v>
      </c>
      <c r="BV167" s="100">
        <v>520355.84063226765</v>
      </c>
      <c r="BW167" s="100">
        <v>820429.66557845939</v>
      </c>
      <c r="BX167" s="100">
        <v>233185.05735749073</v>
      </c>
      <c r="BY167" s="100">
        <v>414341.86908865831</v>
      </c>
      <c r="BZ167" s="257"/>
      <c r="CA167" s="100"/>
      <c r="CB167" s="257"/>
      <c r="CC167" s="257"/>
      <c r="CD167" s="257"/>
      <c r="CE167" s="100">
        <v>553388.66922539088</v>
      </c>
      <c r="CF167" s="100">
        <v>315388.40156651445</v>
      </c>
      <c r="CG167" s="100">
        <v>316105.78093442513</v>
      </c>
      <c r="CH167" s="100">
        <v>1658725.5906780572</v>
      </c>
      <c r="CI167" s="257"/>
      <c r="CJ167" s="437">
        <v>3280420.7878165888</v>
      </c>
      <c r="CK167" s="404">
        <v>-403832</v>
      </c>
      <c r="CL167" s="404"/>
      <c r="CM167" s="437">
        <v>-121248.61689999991</v>
      </c>
      <c r="CO167" s="434">
        <v>-16000.239089833281</v>
      </c>
      <c r="CP167" s="437">
        <v>-4736.9200800910085</v>
      </c>
      <c r="CQ167" s="437">
        <v>-808349.05007349805</v>
      </c>
      <c r="CR167" s="437">
        <v>310018.17800347728</v>
      </c>
      <c r="CS167" s="257"/>
    </row>
    <row r="168" spans="1:97" x14ac:dyDescent="0.2">
      <c r="A168" s="100">
        <v>563</v>
      </c>
      <c r="B168" s="100" t="s">
        <v>481</v>
      </c>
      <c r="C168" s="100">
        <v>7025</v>
      </c>
      <c r="D168" s="257"/>
      <c r="E168" s="257"/>
      <c r="F168" s="257"/>
      <c r="G168" s="257"/>
      <c r="H168" s="325"/>
      <c r="I168" s="257"/>
      <c r="J168" s="257"/>
      <c r="K168" s="257"/>
      <c r="L168" s="257"/>
      <c r="M168" s="257"/>
      <c r="N168" s="257"/>
      <c r="O168" s="257"/>
      <c r="P168" s="257"/>
      <c r="Q168" s="100">
        <v>344</v>
      </c>
      <c r="R168" s="100">
        <v>95</v>
      </c>
      <c r="S168" s="100">
        <v>528</v>
      </c>
      <c r="T168" s="100">
        <v>309</v>
      </c>
      <c r="U168" s="100">
        <v>5749</v>
      </c>
      <c r="V168" s="100"/>
      <c r="W168" s="100"/>
      <c r="X168" s="100"/>
      <c r="Y168" s="100"/>
      <c r="Z168" s="257"/>
      <c r="AA168" s="257"/>
      <c r="AB168" s="257"/>
      <c r="AC168" s="257"/>
      <c r="AD168" s="257"/>
      <c r="AE168" s="258">
        <v>0.80213018059702057</v>
      </c>
      <c r="AG168" s="441">
        <v>223</v>
      </c>
      <c r="AH168" s="443">
        <v>2957</v>
      </c>
      <c r="AJ168" s="88">
        <v>125</v>
      </c>
      <c r="AM168" s="88">
        <v>0</v>
      </c>
      <c r="AN168" s="88">
        <v>8</v>
      </c>
      <c r="AP168" s="88">
        <v>0</v>
      </c>
      <c r="AQ168" s="399">
        <v>0</v>
      </c>
      <c r="AR168" s="88">
        <v>587.84</v>
      </c>
      <c r="AU168" s="399">
        <v>190</v>
      </c>
      <c r="AV168" s="399">
        <v>1813</v>
      </c>
      <c r="AY168" s="88">
        <v>0.48</v>
      </c>
      <c r="AZ168" s="432">
        <v>2848</v>
      </c>
      <c r="BA168" s="440">
        <v>2642</v>
      </c>
      <c r="BC168" s="439">
        <v>0</v>
      </c>
      <c r="BD168" s="88">
        <v>0</v>
      </c>
      <c r="BE168" s="88">
        <v>0</v>
      </c>
      <c r="BF168" s="434">
        <v>-202190.71</v>
      </c>
      <c r="BG168" s="100">
        <v>-137447.55000000002</v>
      </c>
      <c r="BH168" s="257"/>
      <c r="BI168" s="100"/>
      <c r="BJ168" s="257"/>
      <c r="BK168" s="100"/>
      <c r="BL168" s="100"/>
      <c r="BM168" s="100"/>
      <c r="BN168" s="257"/>
      <c r="BO168" s="100"/>
      <c r="BP168" s="100">
        <v>671353</v>
      </c>
      <c r="BQ168" s="100">
        <v>207901</v>
      </c>
      <c r="BR168" s="100">
        <v>489424.87352101569</v>
      </c>
      <c r="BS168" s="100">
        <v>20115.517900169791</v>
      </c>
      <c r="BT168" s="100">
        <v>47737.777973836666</v>
      </c>
      <c r="BU168" s="100">
        <v>243027.83338420675</v>
      </c>
      <c r="BV168" s="100">
        <v>383364.1612117319</v>
      </c>
      <c r="BW168" s="100">
        <v>631795.76511602849</v>
      </c>
      <c r="BX168" s="100">
        <v>164118.53861002752</v>
      </c>
      <c r="BY168" s="100">
        <v>320445.3298210681</v>
      </c>
      <c r="BZ168" s="257"/>
      <c r="CA168" s="100"/>
      <c r="CB168" s="257"/>
      <c r="CC168" s="257"/>
      <c r="CD168" s="257"/>
      <c r="CE168" s="100">
        <v>424993.62145444023</v>
      </c>
      <c r="CF168" s="100">
        <v>251655.63985256257</v>
      </c>
      <c r="CG168" s="100">
        <v>241650.74120336221</v>
      </c>
      <c r="CH168" s="100">
        <v>1297173.6383667197</v>
      </c>
      <c r="CI168" s="257"/>
      <c r="CJ168" s="437">
        <v>3488074.9075481249</v>
      </c>
      <c r="CK168" s="404">
        <v>-330825</v>
      </c>
      <c r="CL168" s="404"/>
      <c r="CM168" s="437">
        <v>11815.452000000019</v>
      </c>
      <c r="CO168" s="434">
        <v>-676870.36458423827</v>
      </c>
      <c r="CP168" s="437">
        <v>-1008528.6421063918</v>
      </c>
      <c r="CQ168" s="437">
        <v>-635551.43556422193</v>
      </c>
      <c r="CR168" s="437">
        <v>243746.80475371325</v>
      </c>
      <c r="CS168" s="257"/>
    </row>
    <row r="169" spans="1:97" x14ac:dyDescent="0.2">
      <c r="A169" s="100">
        <v>564</v>
      </c>
      <c r="B169" s="100" t="s">
        <v>482</v>
      </c>
      <c r="C169" s="100">
        <v>211848</v>
      </c>
      <c r="D169" s="257"/>
      <c r="E169" s="257"/>
      <c r="F169" s="257"/>
      <c r="G169" s="257"/>
      <c r="H169" s="325"/>
      <c r="I169" s="257"/>
      <c r="J169" s="257"/>
      <c r="K169" s="257"/>
      <c r="L169" s="257"/>
      <c r="M169" s="257"/>
      <c r="N169" s="257"/>
      <c r="O169" s="257"/>
      <c r="P169" s="257"/>
      <c r="Q169" s="100">
        <v>12324</v>
      </c>
      <c r="R169" s="100">
        <v>2230</v>
      </c>
      <c r="S169" s="100">
        <v>15246</v>
      </c>
      <c r="T169" s="100">
        <v>7973</v>
      </c>
      <c r="U169" s="100">
        <v>174075</v>
      </c>
      <c r="V169" s="100"/>
      <c r="W169" s="100"/>
      <c r="X169" s="100"/>
      <c r="Y169" s="100"/>
      <c r="Z169" s="257"/>
      <c r="AA169" s="257"/>
      <c r="AB169" s="257"/>
      <c r="AC169" s="257"/>
      <c r="AD169" s="257"/>
      <c r="AE169" s="258">
        <v>1.016820039361183</v>
      </c>
      <c r="AG169" s="441">
        <v>11529</v>
      </c>
      <c r="AH169" s="443">
        <v>101653</v>
      </c>
      <c r="AJ169" s="88">
        <v>10999</v>
      </c>
      <c r="AM169" s="88">
        <v>0</v>
      </c>
      <c r="AN169" s="88">
        <v>480</v>
      </c>
      <c r="AP169" s="88">
        <v>0</v>
      </c>
      <c r="AQ169" s="399">
        <v>0</v>
      </c>
      <c r="AR169" s="88">
        <v>2972.44</v>
      </c>
      <c r="AU169" s="399">
        <v>6231</v>
      </c>
      <c r="AV169" s="399">
        <v>68357</v>
      </c>
      <c r="AY169" s="88">
        <v>0</v>
      </c>
      <c r="AZ169" s="432">
        <v>94664</v>
      </c>
      <c r="BA169" s="440">
        <v>90795</v>
      </c>
      <c r="BC169" s="439">
        <v>1.02</v>
      </c>
      <c r="BD169" s="88">
        <v>0</v>
      </c>
      <c r="BE169" s="88">
        <v>143</v>
      </c>
      <c r="BF169" s="434">
        <v>-11371140.5185</v>
      </c>
      <c r="BG169" s="100">
        <v>-3982751.6700000004</v>
      </c>
      <c r="BH169" s="257"/>
      <c r="BI169" s="100"/>
      <c r="BJ169" s="257"/>
      <c r="BK169" s="100"/>
      <c r="BL169" s="100"/>
      <c r="BM169" s="100"/>
      <c r="BN169" s="257"/>
      <c r="BO169" s="100"/>
      <c r="BP169" s="100">
        <v>11522544</v>
      </c>
      <c r="BQ169" s="100">
        <v>4098255</v>
      </c>
      <c r="BR169" s="100">
        <v>9979124.8611381873</v>
      </c>
      <c r="BS169" s="100">
        <v>334871.9485142128</v>
      </c>
      <c r="BT169" s="100">
        <v>2477521.5332884975</v>
      </c>
      <c r="BU169" s="100">
        <v>4353592.1019415529</v>
      </c>
      <c r="BV169" s="100">
        <v>9470918.065931553</v>
      </c>
      <c r="BW169" s="100">
        <v>12734337.278607612</v>
      </c>
      <c r="BX169" s="100">
        <v>4651088.9883780247</v>
      </c>
      <c r="BY169" s="100">
        <v>8066328.4418830965</v>
      </c>
      <c r="BZ169" s="257"/>
      <c r="CA169" s="100"/>
      <c r="CB169" s="257"/>
      <c r="CC169" s="257"/>
      <c r="CD169" s="257"/>
      <c r="CE169" s="100">
        <v>10319905.827703983</v>
      </c>
      <c r="CF169" s="100">
        <v>6604692.2784952903</v>
      </c>
      <c r="CG169" s="100">
        <v>6559793.4717848804</v>
      </c>
      <c r="CH169" s="100">
        <v>29399289.202421021</v>
      </c>
      <c r="CI169" s="257"/>
      <c r="CJ169" s="437">
        <v>35268957.532213382</v>
      </c>
      <c r="CK169" s="404">
        <v>-280488</v>
      </c>
      <c r="CL169" s="404"/>
      <c r="CM169" s="437">
        <v>-12981641.587950006</v>
      </c>
      <c r="CO169" s="434">
        <v>-15371324.843891574</v>
      </c>
      <c r="CP169" s="437">
        <v>-5515089.056940225</v>
      </c>
      <c r="CQ169" s="437">
        <v>-19165879.077780683</v>
      </c>
      <c r="CR169" s="437">
        <v>7350501.5079664979</v>
      </c>
      <c r="CS169" s="257"/>
    </row>
    <row r="170" spans="1:97" x14ac:dyDescent="0.2">
      <c r="A170" s="100">
        <v>309</v>
      </c>
      <c r="B170" s="100" t="s">
        <v>421</v>
      </c>
      <c r="C170" s="100">
        <v>6457</v>
      </c>
      <c r="D170" s="257"/>
      <c r="E170" s="257"/>
      <c r="F170" s="257"/>
      <c r="G170" s="257"/>
      <c r="H170" s="325"/>
      <c r="I170" s="257"/>
      <c r="J170" s="257"/>
      <c r="K170" s="257"/>
      <c r="L170" s="257"/>
      <c r="M170" s="257"/>
      <c r="N170" s="257"/>
      <c r="O170" s="257"/>
      <c r="P170" s="257"/>
      <c r="Q170" s="100">
        <v>227</v>
      </c>
      <c r="R170" s="100">
        <v>63</v>
      </c>
      <c r="S170" s="100">
        <v>386</v>
      </c>
      <c r="T170" s="100">
        <v>221</v>
      </c>
      <c r="U170" s="100">
        <v>5560</v>
      </c>
      <c r="V170" s="100"/>
      <c r="W170" s="100"/>
      <c r="X170" s="100"/>
      <c r="Y170" s="100"/>
      <c r="Z170" s="257"/>
      <c r="AA170" s="257"/>
      <c r="AB170" s="257"/>
      <c r="AC170" s="257"/>
      <c r="AD170" s="257"/>
      <c r="AE170" s="258">
        <v>1.0711757800715209</v>
      </c>
      <c r="AG170" s="441">
        <v>393.75</v>
      </c>
      <c r="AH170" s="443">
        <v>2498</v>
      </c>
      <c r="AJ170" s="88">
        <v>302</v>
      </c>
      <c r="AM170" s="88">
        <v>0</v>
      </c>
      <c r="AN170" s="88">
        <v>9</v>
      </c>
      <c r="AP170" s="88">
        <v>0</v>
      </c>
      <c r="AQ170" s="399">
        <v>0</v>
      </c>
      <c r="AR170" s="88">
        <v>445.87</v>
      </c>
      <c r="AU170" s="399">
        <v>265</v>
      </c>
      <c r="AV170" s="399">
        <v>1631</v>
      </c>
      <c r="AY170" s="88">
        <v>0.377</v>
      </c>
      <c r="AZ170" s="432">
        <v>2384</v>
      </c>
      <c r="BA170" s="440">
        <v>2098</v>
      </c>
      <c r="BC170" s="439">
        <v>0</v>
      </c>
      <c r="BD170" s="88">
        <v>0</v>
      </c>
      <c r="BE170" s="88">
        <v>0</v>
      </c>
      <c r="BF170" s="434">
        <v>-501924.01240000001</v>
      </c>
      <c r="BG170" s="100">
        <v>-125863.92000000001</v>
      </c>
      <c r="BH170" s="257"/>
      <c r="BI170" s="100"/>
      <c r="BJ170" s="257"/>
      <c r="BK170" s="100"/>
      <c r="BL170" s="100"/>
      <c r="BM170" s="100"/>
      <c r="BN170" s="257"/>
      <c r="BO170" s="100"/>
      <c r="BP170" s="100">
        <v>623638</v>
      </c>
      <c r="BQ170" s="100">
        <v>194928</v>
      </c>
      <c r="BR170" s="100">
        <v>495129.10660122888</v>
      </c>
      <c r="BS170" s="100">
        <v>27465.201518653055</v>
      </c>
      <c r="BT170" s="100">
        <v>76620.883990547198</v>
      </c>
      <c r="BU170" s="100">
        <v>277622.93648706295</v>
      </c>
      <c r="BV170" s="100">
        <v>355298.14676291012</v>
      </c>
      <c r="BW170" s="100">
        <v>580213.74052740051</v>
      </c>
      <c r="BX170" s="100">
        <v>153037.84529078787</v>
      </c>
      <c r="BY170" s="100">
        <v>309166.59218559414</v>
      </c>
      <c r="BZ170" s="257"/>
      <c r="CA170" s="100"/>
      <c r="CB170" s="257"/>
      <c r="CC170" s="257"/>
      <c r="CD170" s="257"/>
      <c r="CE170" s="100">
        <v>401612.80523659417</v>
      </c>
      <c r="CF170" s="100">
        <v>224444.27740723413</v>
      </c>
      <c r="CG170" s="100">
        <v>211987.06117621373</v>
      </c>
      <c r="CH170" s="100">
        <v>1249922.0350348856</v>
      </c>
      <c r="CI170" s="257"/>
      <c r="CJ170" s="437">
        <v>3865013.1419070028</v>
      </c>
      <c r="CK170" s="404">
        <v>-492976</v>
      </c>
      <c r="CL170" s="404"/>
      <c r="CM170" s="437">
        <v>-35491.111499999985</v>
      </c>
      <c r="CO170" s="434">
        <v>-1326691.3805399276</v>
      </c>
      <c r="CP170" s="437">
        <v>-980363.09950571635</v>
      </c>
      <c r="CQ170" s="437">
        <v>-584164.50098764151</v>
      </c>
      <c r="CR170" s="437">
        <v>224038.87804907138</v>
      </c>
      <c r="CS170" s="257"/>
    </row>
    <row r="171" spans="1:97" x14ac:dyDescent="0.2">
      <c r="A171" s="100">
        <v>576</v>
      </c>
      <c r="B171" s="100" t="s">
        <v>483</v>
      </c>
      <c r="C171" s="100">
        <v>2750</v>
      </c>
      <c r="D171" s="257"/>
      <c r="E171" s="257"/>
      <c r="F171" s="257"/>
      <c r="G171" s="257"/>
      <c r="H171" s="325"/>
      <c r="I171" s="257"/>
      <c r="J171" s="257"/>
      <c r="K171" s="257"/>
      <c r="L171" s="257"/>
      <c r="M171" s="257"/>
      <c r="N171" s="257"/>
      <c r="O171" s="257"/>
      <c r="P171" s="257"/>
      <c r="Q171" s="100">
        <v>83</v>
      </c>
      <c r="R171" s="100">
        <v>13</v>
      </c>
      <c r="S171" s="100">
        <v>109</v>
      </c>
      <c r="T171" s="100">
        <v>74</v>
      </c>
      <c r="U171" s="100">
        <v>2471</v>
      </c>
      <c r="V171" s="100"/>
      <c r="W171" s="100"/>
      <c r="X171" s="100"/>
      <c r="Y171" s="100"/>
      <c r="Z171" s="257"/>
      <c r="AA171" s="257"/>
      <c r="AB171" s="257"/>
      <c r="AC171" s="257"/>
      <c r="AD171" s="257"/>
      <c r="AE171" s="258">
        <v>0.91422217216031554</v>
      </c>
      <c r="AG171" s="441">
        <v>119.75</v>
      </c>
      <c r="AH171" s="443">
        <v>1073</v>
      </c>
      <c r="AJ171" s="88">
        <v>56</v>
      </c>
      <c r="AM171" s="88">
        <v>0</v>
      </c>
      <c r="AN171" s="88">
        <v>8</v>
      </c>
      <c r="AP171" s="88">
        <v>0</v>
      </c>
      <c r="AQ171" s="399">
        <v>0</v>
      </c>
      <c r="AR171" s="88">
        <v>523.09</v>
      </c>
      <c r="AU171" s="399">
        <v>99</v>
      </c>
      <c r="AV171" s="399">
        <v>586</v>
      </c>
      <c r="AY171" s="88">
        <v>1.1095333333333333</v>
      </c>
      <c r="AZ171" s="432">
        <v>726</v>
      </c>
      <c r="BA171" s="440">
        <v>937</v>
      </c>
      <c r="BC171" s="439">
        <v>0</v>
      </c>
      <c r="BD171" s="88">
        <v>0</v>
      </c>
      <c r="BE171" s="88">
        <v>0</v>
      </c>
      <c r="BF171" s="434">
        <v>-79106.404999999999</v>
      </c>
      <c r="BG171" s="100">
        <v>-54959.810000000005</v>
      </c>
      <c r="BH171" s="257"/>
      <c r="BI171" s="100"/>
      <c r="BJ171" s="257"/>
      <c r="BK171" s="100"/>
      <c r="BL171" s="100"/>
      <c r="BM171" s="100"/>
      <c r="BN171" s="257"/>
      <c r="BO171" s="100"/>
      <c r="BP171" s="100">
        <v>333500</v>
      </c>
      <c r="BQ171" s="100">
        <v>98579</v>
      </c>
      <c r="BR171" s="100">
        <v>244053.00071714519</v>
      </c>
      <c r="BS171" s="100">
        <v>13893.435066114844</v>
      </c>
      <c r="BT171" s="100">
        <v>51242.601931801124</v>
      </c>
      <c r="BU171" s="100">
        <v>118125.36311008477</v>
      </c>
      <c r="BV171" s="100">
        <v>174574.08487837674</v>
      </c>
      <c r="BW171" s="100">
        <v>280874.32813366747</v>
      </c>
      <c r="BX171" s="100">
        <v>88419.750612366755</v>
      </c>
      <c r="BY171" s="100">
        <v>148608.44923375346</v>
      </c>
      <c r="BZ171" s="257"/>
      <c r="CA171" s="100"/>
      <c r="CB171" s="257"/>
      <c r="CC171" s="257"/>
      <c r="CD171" s="257"/>
      <c r="CE171" s="100">
        <v>203233.21949617603</v>
      </c>
      <c r="CF171" s="100">
        <v>108181.11167061342</v>
      </c>
      <c r="CG171" s="100">
        <v>105800.56459714248</v>
      </c>
      <c r="CH171" s="100">
        <v>615792.64660424495</v>
      </c>
      <c r="CI171" s="257"/>
      <c r="CJ171" s="437">
        <v>786039.56098853913</v>
      </c>
      <c r="CK171" s="404">
        <v>-242950</v>
      </c>
      <c r="CL171" s="404"/>
      <c r="CM171" s="437">
        <v>-41697.207500000004</v>
      </c>
      <c r="CO171" s="434">
        <v>360555.22111073241</v>
      </c>
      <c r="CP171" s="437">
        <v>365893.67107542342</v>
      </c>
      <c r="CQ171" s="437">
        <v>-248792.37691126126</v>
      </c>
      <c r="CR171" s="437">
        <v>95416.898658037215</v>
      </c>
      <c r="CS171" s="257"/>
    </row>
    <row r="172" spans="1:97" x14ac:dyDescent="0.2">
      <c r="A172" s="100">
        <v>577</v>
      </c>
      <c r="B172" s="100" t="s">
        <v>484</v>
      </c>
      <c r="C172" s="100">
        <v>11138</v>
      </c>
      <c r="D172" s="257"/>
      <c r="E172" s="257"/>
      <c r="F172" s="257"/>
      <c r="G172" s="257"/>
      <c r="H172" s="325"/>
      <c r="I172" s="257"/>
      <c r="J172" s="257"/>
      <c r="K172" s="257"/>
      <c r="L172" s="257"/>
      <c r="M172" s="257"/>
      <c r="N172" s="257"/>
      <c r="O172" s="257"/>
      <c r="P172" s="257"/>
      <c r="Q172" s="100">
        <v>717</v>
      </c>
      <c r="R172" s="100">
        <v>161</v>
      </c>
      <c r="S172" s="100">
        <v>931</v>
      </c>
      <c r="T172" s="100">
        <v>433</v>
      </c>
      <c r="U172" s="100">
        <v>8896</v>
      </c>
      <c r="V172" s="100"/>
      <c r="W172" s="100"/>
      <c r="X172" s="100"/>
      <c r="Y172" s="100"/>
      <c r="Z172" s="257"/>
      <c r="AA172" s="257"/>
      <c r="AB172" s="257"/>
      <c r="AC172" s="257"/>
      <c r="AD172" s="257"/>
      <c r="AE172" s="258">
        <v>0.99891406670386029</v>
      </c>
      <c r="AG172" s="441">
        <v>226.5</v>
      </c>
      <c r="AH172" s="443">
        <v>5115</v>
      </c>
      <c r="AJ172" s="88">
        <v>393</v>
      </c>
      <c r="AM172" s="88">
        <v>0</v>
      </c>
      <c r="AN172" s="88">
        <v>105</v>
      </c>
      <c r="AP172" s="88">
        <v>0</v>
      </c>
      <c r="AQ172" s="399">
        <v>0</v>
      </c>
      <c r="AR172" s="88">
        <v>238.52</v>
      </c>
      <c r="AU172" s="399">
        <v>365</v>
      </c>
      <c r="AV172" s="399">
        <v>3727</v>
      </c>
      <c r="AY172" s="88">
        <v>0</v>
      </c>
      <c r="AZ172" s="432">
        <v>3180</v>
      </c>
      <c r="BA172" s="440">
        <v>4889</v>
      </c>
      <c r="BC172" s="439">
        <v>0.88</v>
      </c>
      <c r="BD172" s="88">
        <v>0</v>
      </c>
      <c r="BE172" s="88">
        <v>1</v>
      </c>
      <c r="BF172" s="434">
        <v>-375507.49</v>
      </c>
      <c r="BG172" s="100">
        <v>-209811.62</v>
      </c>
      <c r="BH172" s="257"/>
      <c r="BI172" s="100"/>
      <c r="BJ172" s="257"/>
      <c r="BK172" s="100"/>
      <c r="BL172" s="100"/>
      <c r="BM172" s="100"/>
      <c r="BN172" s="257"/>
      <c r="BO172" s="100"/>
      <c r="BP172" s="100">
        <v>715882</v>
      </c>
      <c r="BQ172" s="100">
        <v>239696</v>
      </c>
      <c r="BR172" s="100">
        <v>484639.53185361932</v>
      </c>
      <c r="BS172" s="100">
        <v>8500.4062881349746</v>
      </c>
      <c r="BT172" s="100">
        <v>9666.3122351172387</v>
      </c>
      <c r="BU172" s="100">
        <v>210520.21530560398</v>
      </c>
      <c r="BV172" s="100">
        <v>502854.84421210585</v>
      </c>
      <c r="BW172" s="100">
        <v>843472.53884409333</v>
      </c>
      <c r="BX172" s="100">
        <v>240276.30637840199</v>
      </c>
      <c r="BY172" s="100">
        <v>418130.20248973597</v>
      </c>
      <c r="BZ172" s="257"/>
      <c r="CA172" s="100"/>
      <c r="CB172" s="257"/>
      <c r="CC172" s="257"/>
      <c r="CD172" s="257"/>
      <c r="CE172" s="100">
        <v>512171.82169536507</v>
      </c>
      <c r="CF172" s="100">
        <v>342921.19753346138</v>
      </c>
      <c r="CG172" s="100">
        <v>350246.78012467833</v>
      </c>
      <c r="CH172" s="100">
        <v>1573741.4322604346</v>
      </c>
      <c r="CI172" s="257"/>
      <c r="CJ172" s="437">
        <v>2375117.9126870902</v>
      </c>
      <c r="CK172" s="404">
        <v>446028</v>
      </c>
      <c r="CL172" s="404"/>
      <c r="CM172" s="437">
        <v>-23049.082500000019</v>
      </c>
      <c r="CO172" s="434">
        <v>318668.26495614124</v>
      </c>
      <c r="CP172" s="437">
        <v>-74359.986335513808</v>
      </c>
      <c r="CQ172" s="437">
        <v>-1007654.3614682284</v>
      </c>
      <c r="CR172" s="437">
        <v>386455.78809207946</v>
      </c>
      <c r="CS172" s="257"/>
    </row>
    <row r="173" spans="1:97" x14ac:dyDescent="0.2">
      <c r="A173" s="100">
        <v>578</v>
      </c>
      <c r="B173" s="100" t="s">
        <v>485</v>
      </c>
      <c r="C173" s="100">
        <v>3100</v>
      </c>
      <c r="D173" s="257"/>
      <c r="E173" s="257"/>
      <c r="F173" s="257"/>
      <c r="G173" s="257"/>
      <c r="H173" s="325"/>
      <c r="I173" s="257"/>
      <c r="J173" s="257"/>
      <c r="K173" s="257"/>
      <c r="L173" s="257"/>
      <c r="M173" s="257"/>
      <c r="N173" s="257"/>
      <c r="O173" s="257"/>
      <c r="P173" s="257"/>
      <c r="Q173" s="100">
        <v>103</v>
      </c>
      <c r="R173" s="100">
        <v>22</v>
      </c>
      <c r="S173" s="100">
        <v>178</v>
      </c>
      <c r="T173" s="100">
        <v>91</v>
      </c>
      <c r="U173" s="100">
        <v>2706</v>
      </c>
      <c r="V173" s="100"/>
      <c r="W173" s="100"/>
      <c r="X173" s="100"/>
      <c r="Y173" s="100"/>
      <c r="Z173" s="257"/>
      <c r="AA173" s="257"/>
      <c r="AB173" s="257"/>
      <c r="AC173" s="257"/>
      <c r="AD173" s="257"/>
      <c r="AE173" s="258">
        <v>1.0506786688231102</v>
      </c>
      <c r="AG173" s="441">
        <v>134</v>
      </c>
      <c r="AH173" s="443">
        <v>1286</v>
      </c>
      <c r="AJ173" s="88">
        <v>30</v>
      </c>
      <c r="AM173" s="88">
        <v>0</v>
      </c>
      <c r="AN173" s="88">
        <v>2</v>
      </c>
      <c r="AP173" s="88">
        <v>0</v>
      </c>
      <c r="AQ173" s="399">
        <v>0</v>
      </c>
      <c r="AR173" s="88">
        <v>918.79</v>
      </c>
      <c r="AU173" s="399">
        <v>71</v>
      </c>
      <c r="AV173" s="399">
        <v>743</v>
      </c>
      <c r="AY173" s="88">
        <v>0.96758333333333335</v>
      </c>
      <c r="AZ173" s="432">
        <v>929</v>
      </c>
      <c r="BA173" s="440">
        <v>1100</v>
      </c>
      <c r="BC173" s="439">
        <v>0</v>
      </c>
      <c r="BD173" s="88">
        <v>0</v>
      </c>
      <c r="BE173" s="88">
        <v>0</v>
      </c>
      <c r="BF173" s="434">
        <v>-119593.35</v>
      </c>
      <c r="BG173" s="100">
        <v>-62144.350000000006</v>
      </c>
      <c r="BH173" s="257"/>
      <c r="BI173" s="100"/>
      <c r="BJ173" s="257"/>
      <c r="BK173" s="100"/>
      <c r="BL173" s="100"/>
      <c r="BM173" s="100"/>
      <c r="BN173" s="257"/>
      <c r="BO173" s="100"/>
      <c r="BP173" s="100">
        <v>359413</v>
      </c>
      <c r="BQ173" s="100">
        <v>117091</v>
      </c>
      <c r="BR173" s="100">
        <v>292961.80918731331</v>
      </c>
      <c r="BS173" s="100">
        <v>17070.764551890865</v>
      </c>
      <c r="BT173" s="100">
        <v>64056.449333093362</v>
      </c>
      <c r="BU173" s="100">
        <v>149275.46134262069</v>
      </c>
      <c r="BV173" s="100">
        <v>171825.56490100868</v>
      </c>
      <c r="BW173" s="100">
        <v>290627.2859584415</v>
      </c>
      <c r="BX173" s="100">
        <v>81329.214023202541</v>
      </c>
      <c r="BY173" s="100">
        <v>160375.5194643866</v>
      </c>
      <c r="BZ173" s="257"/>
      <c r="CA173" s="100"/>
      <c r="CB173" s="257"/>
      <c r="CC173" s="257"/>
      <c r="CD173" s="257"/>
      <c r="CE173" s="100">
        <v>208278.56732756144</v>
      </c>
      <c r="CF173" s="100">
        <v>111361.38857019745</v>
      </c>
      <c r="CG173" s="100">
        <v>106358.94949444446</v>
      </c>
      <c r="CH173" s="100">
        <v>664195.90807623544</v>
      </c>
      <c r="CI173" s="257"/>
      <c r="CJ173" s="437">
        <v>1681732.3514559427</v>
      </c>
      <c r="CK173" s="404">
        <v>-22236</v>
      </c>
      <c r="CL173" s="404"/>
      <c r="CM173" s="437">
        <v>357074.29749999999</v>
      </c>
      <c r="CO173" s="434">
        <v>-339947.6782272585</v>
      </c>
      <c r="CP173" s="437">
        <v>-253096.79800633944</v>
      </c>
      <c r="CQ173" s="437">
        <v>-280456.86124542181</v>
      </c>
      <c r="CR173" s="437">
        <v>107560.86757815105</v>
      </c>
      <c r="CS173" s="257"/>
    </row>
    <row r="174" spans="1:97" x14ac:dyDescent="0.2">
      <c r="A174" s="100">
        <v>445</v>
      </c>
      <c r="B174" s="100" t="s">
        <v>452</v>
      </c>
      <c r="C174" s="100">
        <v>14991</v>
      </c>
      <c r="D174" s="257"/>
      <c r="E174" s="257"/>
      <c r="F174" s="257"/>
      <c r="G174" s="257"/>
      <c r="H174" s="325"/>
      <c r="I174" s="257"/>
      <c r="J174" s="257"/>
      <c r="K174" s="257"/>
      <c r="L174" s="257"/>
      <c r="M174" s="257"/>
      <c r="N174" s="257"/>
      <c r="O174" s="257"/>
      <c r="P174" s="257"/>
      <c r="Q174" s="100">
        <v>660</v>
      </c>
      <c r="R174" s="100">
        <v>139</v>
      </c>
      <c r="S174" s="100">
        <v>1021</v>
      </c>
      <c r="T174" s="100">
        <v>543</v>
      </c>
      <c r="U174" s="100">
        <v>12628</v>
      </c>
      <c r="V174" s="100"/>
      <c r="W174" s="100"/>
      <c r="X174" s="100"/>
      <c r="Y174" s="100"/>
      <c r="Z174" s="257"/>
      <c r="AA174" s="257"/>
      <c r="AB174" s="257"/>
      <c r="AC174" s="257"/>
      <c r="AD174" s="257"/>
      <c r="AE174" s="258">
        <v>0.92857018686791104</v>
      </c>
      <c r="AG174" s="441">
        <v>376.66666666666669</v>
      </c>
      <c r="AH174" s="443">
        <v>6791</v>
      </c>
      <c r="AJ174" s="88">
        <v>587</v>
      </c>
      <c r="AM174" s="88">
        <v>3</v>
      </c>
      <c r="AN174" s="88">
        <v>8181</v>
      </c>
      <c r="AP174" s="88">
        <v>1</v>
      </c>
      <c r="AQ174" s="399">
        <v>0</v>
      </c>
      <c r="AR174" s="88">
        <v>883.98</v>
      </c>
      <c r="AU174" s="399">
        <v>536</v>
      </c>
      <c r="AV174" s="399">
        <v>4372</v>
      </c>
      <c r="AY174" s="88">
        <v>0</v>
      </c>
      <c r="AZ174" s="432">
        <v>5080</v>
      </c>
      <c r="BA174" s="440">
        <v>6351</v>
      </c>
      <c r="BC174" s="439">
        <v>0</v>
      </c>
      <c r="BD174" s="88">
        <v>0</v>
      </c>
      <c r="BE174" s="88">
        <v>0</v>
      </c>
      <c r="BF174" s="434">
        <v>-331528.68</v>
      </c>
      <c r="BG174" s="100">
        <v>-290167.05</v>
      </c>
      <c r="BH174" s="257"/>
      <c r="BI174" s="100"/>
      <c r="BJ174" s="257"/>
      <c r="BK174" s="100"/>
      <c r="BL174" s="100"/>
      <c r="BM174" s="100"/>
      <c r="BN174" s="257"/>
      <c r="BO174" s="100"/>
      <c r="BP174" s="100">
        <v>1173170</v>
      </c>
      <c r="BQ174" s="100">
        <v>399015</v>
      </c>
      <c r="BR174" s="100">
        <v>745570.36458707356</v>
      </c>
      <c r="BS174" s="100">
        <v>19521.031900683436</v>
      </c>
      <c r="BT174" s="100">
        <v>49051.652122313404</v>
      </c>
      <c r="BU174" s="100">
        <v>382602.86645309394</v>
      </c>
      <c r="BV174" s="100">
        <v>457327.30225466698</v>
      </c>
      <c r="BW174" s="100">
        <v>1129748.553591236</v>
      </c>
      <c r="BX174" s="100">
        <v>338308.89429371129</v>
      </c>
      <c r="BY174" s="100">
        <v>565510.62622823555</v>
      </c>
      <c r="BZ174" s="257"/>
      <c r="CA174" s="100"/>
      <c r="CB174" s="257"/>
      <c r="CC174" s="257"/>
      <c r="CD174" s="257"/>
      <c r="CE174" s="100">
        <v>676284.29779388662</v>
      </c>
      <c r="CF174" s="100">
        <v>448520.36345674534</v>
      </c>
      <c r="CG174" s="100">
        <v>470653.26287065848</v>
      </c>
      <c r="CH174" s="100">
        <v>2358629.6294035884</v>
      </c>
      <c r="CI174" s="257"/>
      <c r="CJ174" s="437">
        <v>295021.01184143737</v>
      </c>
      <c r="CK174" s="404">
        <v>-50610</v>
      </c>
      <c r="CL174" s="404"/>
      <c r="CM174" s="437">
        <v>126255.26549999995</v>
      </c>
      <c r="CO174" s="434">
        <v>-4501784.1890666038</v>
      </c>
      <c r="CP174" s="437">
        <v>-794556.59658177535</v>
      </c>
      <c r="CQ174" s="437">
        <v>-1356235.0990097155</v>
      </c>
      <c r="CR174" s="437">
        <v>520143.53737550398</v>
      </c>
      <c r="CS174" s="257"/>
    </row>
    <row r="175" spans="1:97" x14ac:dyDescent="0.2">
      <c r="A175" s="100">
        <v>580</v>
      </c>
      <c r="B175" s="100" t="s">
        <v>486</v>
      </c>
      <c r="C175" s="100">
        <v>4438</v>
      </c>
      <c r="D175" s="257"/>
      <c r="E175" s="257"/>
      <c r="F175" s="257"/>
      <c r="G175" s="257"/>
      <c r="H175" s="325"/>
      <c r="I175" s="257"/>
      <c r="J175" s="257"/>
      <c r="K175" s="257"/>
      <c r="L175" s="257"/>
      <c r="M175" s="257"/>
      <c r="N175" s="257"/>
      <c r="O175" s="257"/>
      <c r="P175" s="257"/>
      <c r="Q175" s="100">
        <v>135</v>
      </c>
      <c r="R175" s="100">
        <v>32</v>
      </c>
      <c r="S175" s="100">
        <v>203</v>
      </c>
      <c r="T175" s="100">
        <v>91</v>
      </c>
      <c r="U175" s="100">
        <v>3977</v>
      </c>
      <c r="V175" s="100"/>
      <c r="W175" s="100"/>
      <c r="X175" s="100"/>
      <c r="Y175" s="100"/>
      <c r="Z175" s="257"/>
      <c r="AA175" s="257"/>
      <c r="AB175" s="257"/>
      <c r="AC175" s="257"/>
      <c r="AD175" s="257"/>
      <c r="AE175" s="258">
        <v>0.85456584439082428</v>
      </c>
      <c r="AG175" s="441">
        <v>163.91666666666666</v>
      </c>
      <c r="AH175" s="443">
        <v>1801</v>
      </c>
      <c r="AJ175" s="88">
        <v>117</v>
      </c>
      <c r="AM175" s="88">
        <v>0</v>
      </c>
      <c r="AN175" s="88">
        <v>8</v>
      </c>
      <c r="AP175" s="88">
        <v>3</v>
      </c>
      <c r="AQ175" s="399">
        <v>184</v>
      </c>
      <c r="AR175" s="88">
        <v>591.91</v>
      </c>
      <c r="AU175" s="399">
        <v>142</v>
      </c>
      <c r="AV175" s="399">
        <v>980</v>
      </c>
      <c r="AY175" s="88">
        <v>1.3523166666666668</v>
      </c>
      <c r="AZ175" s="432">
        <v>1222</v>
      </c>
      <c r="BA175" s="440">
        <v>1517</v>
      </c>
      <c r="BC175" s="439">
        <v>0</v>
      </c>
      <c r="BD175" s="88">
        <v>0</v>
      </c>
      <c r="BE175" s="88">
        <v>0</v>
      </c>
      <c r="BF175" s="434">
        <v>-127250.505</v>
      </c>
      <c r="BG175" s="100">
        <v>-89422.55</v>
      </c>
      <c r="BH175" s="257"/>
      <c r="BI175" s="100"/>
      <c r="BJ175" s="257"/>
      <c r="BK175" s="100"/>
      <c r="BL175" s="100"/>
      <c r="BM175" s="100"/>
      <c r="BN175" s="257"/>
      <c r="BO175" s="100"/>
      <c r="BP175" s="100">
        <v>548728</v>
      </c>
      <c r="BQ175" s="100">
        <v>164426</v>
      </c>
      <c r="BR175" s="100">
        <v>449529.53167335782</v>
      </c>
      <c r="BS175" s="100">
        <v>24829.508858097441</v>
      </c>
      <c r="BT175" s="100">
        <v>64431.620005739838</v>
      </c>
      <c r="BU175" s="100">
        <v>213722.76312997163</v>
      </c>
      <c r="BV175" s="100">
        <v>280306.99889802601</v>
      </c>
      <c r="BW175" s="100">
        <v>469469.18040496006</v>
      </c>
      <c r="BX175" s="100">
        <v>137511.71819732754</v>
      </c>
      <c r="BY175" s="100">
        <v>231938.45242337234</v>
      </c>
      <c r="BZ175" s="257"/>
      <c r="CA175" s="100"/>
      <c r="CB175" s="257"/>
      <c r="CC175" s="257"/>
      <c r="CD175" s="257"/>
      <c r="CE175" s="100">
        <v>298735.66245908255</v>
      </c>
      <c r="CF175" s="100">
        <v>167913.09082135741</v>
      </c>
      <c r="CG175" s="100">
        <v>163163.69644234466</v>
      </c>
      <c r="CH175" s="100">
        <v>1025465.9249549286</v>
      </c>
      <c r="CI175" s="257"/>
      <c r="CJ175" s="437">
        <v>2018922.5981847316</v>
      </c>
      <c r="CK175" s="404">
        <v>-361639</v>
      </c>
      <c r="CL175" s="404"/>
      <c r="CM175" s="437">
        <v>65715.992500000008</v>
      </c>
      <c r="CO175" s="434">
        <v>-343148.19433847629</v>
      </c>
      <c r="CP175" s="437">
        <v>2182.1043533451016</v>
      </c>
      <c r="CQ175" s="437">
        <v>-401505.66135715548</v>
      </c>
      <c r="CR175" s="437">
        <v>153985.52590704334</v>
      </c>
      <c r="CS175" s="257"/>
    </row>
    <row r="176" spans="1:97" x14ac:dyDescent="0.2">
      <c r="A176" s="100">
        <v>581</v>
      </c>
      <c r="B176" s="100" t="s">
        <v>487</v>
      </c>
      <c r="C176" s="100">
        <v>6240</v>
      </c>
      <c r="D176" s="257"/>
      <c r="E176" s="257"/>
      <c r="F176" s="257"/>
      <c r="G176" s="257"/>
      <c r="H176" s="325"/>
      <c r="I176" s="257"/>
      <c r="J176" s="257"/>
      <c r="K176" s="257"/>
      <c r="L176" s="257"/>
      <c r="M176" s="257"/>
      <c r="N176" s="257"/>
      <c r="O176" s="257"/>
      <c r="P176" s="257"/>
      <c r="Q176" s="100">
        <v>269</v>
      </c>
      <c r="R176" s="100">
        <v>58</v>
      </c>
      <c r="S176" s="100">
        <v>354</v>
      </c>
      <c r="T176" s="100">
        <v>216</v>
      </c>
      <c r="U176" s="100">
        <v>5343</v>
      </c>
      <c r="V176" s="100"/>
      <c r="W176" s="100"/>
      <c r="X176" s="100"/>
      <c r="Y176" s="100"/>
      <c r="Z176" s="257"/>
      <c r="AA176" s="257"/>
      <c r="AB176" s="257"/>
      <c r="AC176" s="257"/>
      <c r="AD176" s="257"/>
      <c r="AE176" s="258">
        <v>0.82783310027187673</v>
      </c>
      <c r="AG176" s="441">
        <v>210.25</v>
      </c>
      <c r="AH176" s="443">
        <v>2543</v>
      </c>
      <c r="AJ176" s="88">
        <v>150</v>
      </c>
      <c r="AM176" s="88">
        <v>0</v>
      </c>
      <c r="AN176" s="88">
        <v>8</v>
      </c>
      <c r="AP176" s="88">
        <v>0</v>
      </c>
      <c r="AQ176" s="399">
        <v>0</v>
      </c>
      <c r="AR176" s="88">
        <v>853.19</v>
      </c>
      <c r="AU176" s="399">
        <v>262</v>
      </c>
      <c r="AV176" s="399">
        <v>1534</v>
      </c>
      <c r="AY176" s="88">
        <v>0.81511666666666671</v>
      </c>
      <c r="AZ176" s="432">
        <v>2417</v>
      </c>
      <c r="BA176" s="440">
        <v>2241</v>
      </c>
      <c r="BC176" s="439">
        <v>0</v>
      </c>
      <c r="BD176" s="88">
        <v>0</v>
      </c>
      <c r="BE176" s="88">
        <v>0</v>
      </c>
      <c r="BF176" s="434">
        <v>-208326.95499999999</v>
      </c>
      <c r="BG176" s="100">
        <v>-122021.92</v>
      </c>
      <c r="BH176" s="257"/>
      <c r="BI176" s="100"/>
      <c r="BJ176" s="257"/>
      <c r="BK176" s="100"/>
      <c r="BL176" s="100"/>
      <c r="BM176" s="100"/>
      <c r="BN176" s="257"/>
      <c r="BO176" s="100"/>
      <c r="BP176" s="100">
        <v>631294</v>
      </c>
      <c r="BQ176" s="100">
        <v>193783</v>
      </c>
      <c r="BR176" s="100">
        <v>483072.91428183857</v>
      </c>
      <c r="BS176" s="100">
        <v>24805.220835978082</v>
      </c>
      <c r="BT176" s="100">
        <v>35617.507817142541</v>
      </c>
      <c r="BU176" s="100">
        <v>244726.99378497124</v>
      </c>
      <c r="BV176" s="100">
        <v>364807.035582009</v>
      </c>
      <c r="BW176" s="100">
        <v>582032.86169761384</v>
      </c>
      <c r="BX176" s="100">
        <v>169726.33743962029</v>
      </c>
      <c r="BY176" s="100">
        <v>309542.48135553871</v>
      </c>
      <c r="BZ176" s="257"/>
      <c r="CA176" s="100"/>
      <c r="CB176" s="257"/>
      <c r="CC176" s="257"/>
      <c r="CD176" s="257"/>
      <c r="CE176" s="100">
        <v>414669.19576379406</v>
      </c>
      <c r="CF176" s="100">
        <v>229030.69473690001</v>
      </c>
      <c r="CG176" s="100">
        <v>223915.52702991635</v>
      </c>
      <c r="CH176" s="100">
        <v>1224477.4940081832</v>
      </c>
      <c r="CI176" s="257"/>
      <c r="CJ176" s="437">
        <v>2191744.4437877815</v>
      </c>
      <c r="CK176" s="404">
        <v>-472671</v>
      </c>
      <c r="CL176" s="404"/>
      <c r="CM176" s="437">
        <v>101893.35499999997</v>
      </c>
      <c r="CO176" s="434">
        <v>-642821.91530364996</v>
      </c>
      <c r="CP176" s="437">
        <v>-441934.71870183945</v>
      </c>
      <c r="CQ176" s="437">
        <v>-564532.52070046193</v>
      </c>
      <c r="CR176" s="437">
        <v>216509.61731860082</v>
      </c>
      <c r="CS176" s="257"/>
    </row>
    <row r="177" spans="1:97" x14ac:dyDescent="0.2">
      <c r="A177" s="100">
        <v>599</v>
      </c>
      <c r="B177" s="100" t="s">
        <v>495</v>
      </c>
      <c r="C177" s="100">
        <v>11206</v>
      </c>
      <c r="D177" s="257"/>
      <c r="E177" s="257"/>
      <c r="F177" s="257"/>
      <c r="G177" s="257"/>
      <c r="H177" s="325"/>
      <c r="I177" s="257"/>
      <c r="J177" s="257"/>
      <c r="K177" s="257"/>
      <c r="L177" s="257"/>
      <c r="M177" s="257"/>
      <c r="N177" s="257"/>
      <c r="O177" s="257"/>
      <c r="P177" s="257"/>
      <c r="Q177" s="100">
        <v>991</v>
      </c>
      <c r="R177" s="100">
        <v>162</v>
      </c>
      <c r="S177" s="100">
        <v>1050</v>
      </c>
      <c r="T177" s="100">
        <v>583</v>
      </c>
      <c r="U177" s="100">
        <v>8420</v>
      </c>
      <c r="V177" s="100"/>
      <c r="W177" s="100"/>
      <c r="X177" s="100"/>
      <c r="Y177" s="100"/>
      <c r="Z177" s="257"/>
      <c r="AA177" s="257"/>
      <c r="AB177" s="257"/>
      <c r="AC177" s="257"/>
      <c r="AD177" s="257"/>
      <c r="AE177" s="258">
        <v>0.97933177978048358</v>
      </c>
      <c r="AG177" s="441">
        <v>115.58333333333333</v>
      </c>
      <c r="AH177" s="443">
        <v>5270</v>
      </c>
      <c r="AJ177" s="88">
        <v>355</v>
      </c>
      <c r="AM177" s="88">
        <v>3</v>
      </c>
      <c r="AN177" s="88">
        <v>9926</v>
      </c>
      <c r="AP177" s="88">
        <v>0</v>
      </c>
      <c r="AQ177" s="399">
        <v>0</v>
      </c>
      <c r="AR177" s="88">
        <v>794.26</v>
      </c>
      <c r="AU177" s="399">
        <v>309</v>
      </c>
      <c r="AV177" s="399">
        <v>3224</v>
      </c>
      <c r="AY177" s="88">
        <v>0</v>
      </c>
      <c r="AZ177" s="432">
        <v>4526</v>
      </c>
      <c r="BA177" s="440">
        <v>5142</v>
      </c>
      <c r="BC177" s="439">
        <v>0.38</v>
      </c>
      <c r="BD177" s="88">
        <v>0</v>
      </c>
      <c r="BE177" s="88">
        <v>0</v>
      </c>
      <c r="BF177" s="434">
        <v>-93152.381450000001</v>
      </c>
      <c r="BG177" s="100">
        <v>-214652.54</v>
      </c>
      <c r="BH177" s="257"/>
      <c r="BI177" s="100"/>
      <c r="BJ177" s="257"/>
      <c r="BK177" s="100"/>
      <c r="BL177" s="100"/>
      <c r="BM177" s="100"/>
      <c r="BN177" s="257"/>
      <c r="BO177" s="100"/>
      <c r="BP177" s="100">
        <v>874829</v>
      </c>
      <c r="BQ177" s="100">
        <v>310573</v>
      </c>
      <c r="BR177" s="100">
        <v>740032.47733454069</v>
      </c>
      <c r="BS177" s="100">
        <v>30702.727293643246</v>
      </c>
      <c r="BT177" s="100">
        <v>54599.828242475458</v>
      </c>
      <c r="BU177" s="100">
        <v>334874.17945873406</v>
      </c>
      <c r="BV177" s="100">
        <v>661355.44909963722</v>
      </c>
      <c r="BW177" s="100">
        <v>938522.80495108687</v>
      </c>
      <c r="BX177" s="100">
        <v>296535.45275230636</v>
      </c>
      <c r="BY177" s="100">
        <v>510150.01185758994</v>
      </c>
      <c r="BZ177" s="257"/>
      <c r="CA177" s="100"/>
      <c r="CB177" s="257"/>
      <c r="CC177" s="257"/>
      <c r="CD177" s="257"/>
      <c r="CE177" s="100">
        <v>657734.67531028343</v>
      </c>
      <c r="CF177" s="100">
        <v>418682.17056770338</v>
      </c>
      <c r="CG177" s="100">
        <v>444179.16252069018</v>
      </c>
      <c r="CH177" s="100">
        <v>2040595.8378582234</v>
      </c>
      <c r="CI177" s="257"/>
      <c r="CJ177" s="437">
        <v>4793569.6578630488</v>
      </c>
      <c r="CK177" s="404">
        <v>-1088900</v>
      </c>
      <c r="CL177" s="404"/>
      <c r="CM177" s="437">
        <v>-468515.49250000005</v>
      </c>
      <c r="CO177" s="434">
        <v>-1978766.8261578125</v>
      </c>
      <c r="CP177" s="437">
        <v>-1773551.2402943368</v>
      </c>
      <c r="CQ177" s="437">
        <v>-1013806.3184245796</v>
      </c>
      <c r="CR177" s="437">
        <v>388815.18776798731</v>
      </c>
      <c r="CS177" s="257"/>
    </row>
    <row r="178" spans="1:97" x14ac:dyDescent="0.2">
      <c r="A178" s="100">
        <v>583</v>
      </c>
      <c r="B178" s="100" t="s">
        <v>488</v>
      </c>
      <c r="C178" s="100">
        <v>947</v>
      </c>
      <c r="D178" s="257"/>
      <c r="E178" s="257"/>
      <c r="F178" s="257"/>
      <c r="G178" s="257"/>
      <c r="H178" s="325"/>
      <c r="I178" s="257"/>
      <c r="J178" s="257"/>
      <c r="K178" s="257"/>
      <c r="L178" s="257"/>
      <c r="M178" s="257"/>
      <c r="N178" s="257"/>
      <c r="O178" s="257"/>
      <c r="P178" s="257"/>
      <c r="Q178" s="100">
        <v>35</v>
      </c>
      <c r="R178" s="100">
        <v>12</v>
      </c>
      <c r="S178" s="100">
        <v>35</v>
      </c>
      <c r="T178" s="100">
        <v>19</v>
      </c>
      <c r="U178" s="100">
        <v>846</v>
      </c>
      <c r="V178" s="100"/>
      <c r="W178" s="100"/>
      <c r="X178" s="100"/>
      <c r="Y178" s="100"/>
      <c r="Z178" s="257"/>
      <c r="AA178" s="257"/>
      <c r="AB178" s="257"/>
      <c r="AC178" s="257"/>
      <c r="AD178" s="257"/>
      <c r="AE178" s="258">
        <v>0.8995649142107861</v>
      </c>
      <c r="AG178" s="441">
        <v>44.666666666666664</v>
      </c>
      <c r="AH178" s="443">
        <v>396</v>
      </c>
      <c r="AJ178" s="88">
        <v>13</v>
      </c>
      <c r="AM178" s="88">
        <v>0</v>
      </c>
      <c r="AN178" s="88">
        <v>3</v>
      </c>
      <c r="AP178" s="88">
        <v>0</v>
      </c>
      <c r="AQ178" s="399">
        <v>0</v>
      </c>
      <c r="AR178" s="88">
        <v>1836.38</v>
      </c>
      <c r="AU178" s="399">
        <v>31</v>
      </c>
      <c r="AV178" s="399">
        <v>260</v>
      </c>
      <c r="AY178" s="88">
        <v>1.8659666666666666</v>
      </c>
      <c r="AZ178" s="432">
        <v>392</v>
      </c>
      <c r="BA178" s="440">
        <v>332</v>
      </c>
      <c r="BC178" s="439">
        <v>0.3</v>
      </c>
      <c r="BD178" s="88">
        <v>0</v>
      </c>
      <c r="BE178" s="88">
        <v>0</v>
      </c>
      <c r="BF178" s="434">
        <v>-11595.81</v>
      </c>
      <c r="BG178" s="100">
        <v>-17884.510000000002</v>
      </c>
      <c r="BH178" s="257"/>
      <c r="BI178" s="100"/>
      <c r="BJ178" s="257"/>
      <c r="BK178" s="100"/>
      <c r="BL178" s="100"/>
      <c r="BM178" s="100"/>
      <c r="BN178" s="257"/>
      <c r="BO178" s="100"/>
      <c r="BP178" s="100">
        <v>98737</v>
      </c>
      <c r="BQ178" s="100">
        <v>30421</v>
      </c>
      <c r="BR178" s="100">
        <v>86707.593906110051</v>
      </c>
      <c r="BS178" s="100">
        <v>4883.3227807354506</v>
      </c>
      <c r="BT178" s="100">
        <v>12434.331455737256</v>
      </c>
      <c r="BU178" s="100">
        <v>32710.823561396781</v>
      </c>
      <c r="BV178" s="100">
        <v>49945.523806111269</v>
      </c>
      <c r="BW178" s="100">
        <v>84755.746992006912</v>
      </c>
      <c r="BX178" s="100">
        <v>26259.991914495644</v>
      </c>
      <c r="BY178" s="100">
        <v>48698.913694581999</v>
      </c>
      <c r="BZ178" s="257"/>
      <c r="CA178" s="100"/>
      <c r="CB178" s="257"/>
      <c r="CC178" s="257"/>
      <c r="CD178" s="257"/>
      <c r="CE178" s="100">
        <v>63368.438666917144</v>
      </c>
      <c r="CF178" s="100">
        <v>36270.27248856298</v>
      </c>
      <c r="CG178" s="100">
        <v>32538.849783475729</v>
      </c>
      <c r="CH178" s="100">
        <v>191518.08710063214</v>
      </c>
      <c r="CI178" s="257"/>
      <c r="CJ178" s="437">
        <v>37541.577134502841</v>
      </c>
      <c r="CK178" s="404">
        <v>-235257</v>
      </c>
      <c r="CL178" s="404"/>
      <c r="CM178" s="437">
        <v>141651.1575</v>
      </c>
      <c r="CO178" s="434">
        <v>-506479.02569192811</v>
      </c>
      <c r="CP178" s="437">
        <v>331319.00541115989</v>
      </c>
      <c r="CQ178" s="437">
        <v>-85675.047612714334</v>
      </c>
      <c r="CR178" s="437">
        <v>32858.110192422275</v>
      </c>
      <c r="CS178" s="257"/>
    </row>
    <row r="179" spans="1:97" x14ac:dyDescent="0.2">
      <c r="A179" s="100">
        <v>854</v>
      </c>
      <c r="B179" s="100" t="s">
        <v>574</v>
      </c>
      <c r="C179" s="100">
        <v>3262</v>
      </c>
      <c r="D179" s="257"/>
      <c r="E179" s="257"/>
      <c r="F179" s="257"/>
      <c r="G179" s="257"/>
      <c r="H179" s="325"/>
      <c r="I179" s="257"/>
      <c r="J179" s="257"/>
      <c r="K179" s="257"/>
      <c r="L179" s="257"/>
      <c r="M179" s="257"/>
      <c r="N179" s="257"/>
      <c r="O179" s="257"/>
      <c r="P179" s="257"/>
      <c r="Q179" s="100">
        <v>102</v>
      </c>
      <c r="R179" s="100">
        <v>24</v>
      </c>
      <c r="S179" s="100">
        <v>148</v>
      </c>
      <c r="T179" s="100">
        <v>60</v>
      </c>
      <c r="U179" s="100">
        <v>2928</v>
      </c>
      <c r="V179" s="100"/>
      <c r="W179" s="100"/>
      <c r="X179" s="100"/>
      <c r="Y179" s="100"/>
      <c r="Z179" s="257"/>
      <c r="AA179" s="257"/>
      <c r="AB179" s="257"/>
      <c r="AC179" s="257"/>
      <c r="AD179" s="257"/>
      <c r="AE179" s="258">
        <v>0.69744688305777813</v>
      </c>
      <c r="AG179" s="441">
        <v>136.58333333333334</v>
      </c>
      <c r="AH179" s="443">
        <v>1241</v>
      </c>
      <c r="AJ179" s="88">
        <v>41</v>
      </c>
      <c r="AM179" s="88">
        <v>0</v>
      </c>
      <c r="AN179" s="88">
        <v>19</v>
      </c>
      <c r="AP179" s="88">
        <v>0</v>
      </c>
      <c r="AQ179" s="399">
        <v>0</v>
      </c>
      <c r="AR179" s="88">
        <v>1738.15</v>
      </c>
      <c r="AU179" s="399">
        <v>110</v>
      </c>
      <c r="AV179" s="399">
        <v>663</v>
      </c>
      <c r="AY179" s="88">
        <v>1.7608999999999999</v>
      </c>
      <c r="AZ179" s="432">
        <v>1082</v>
      </c>
      <c r="BA179" s="440">
        <v>1084</v>
      </c>
      <c r="BC179" s="439">
        <v>0</v>
      </c>
      <c r="BD179" s="88">
        <v>0</v>
      </c>
      <c r="BE179" s="88">
        <v>3</v>
      </c>
      <c r="BF179" s="434">
        <v>-65569.539999999994</v>
      </c>
      <c r="BG179" s="100">
        <v>-63469.840000000004</v>
      </c>
      <c r="BH179" s="257"/>
      <c r="BI179" s="100"/>
      <c r="BJ179" s="257"/>
      <c r="BK179" s="100"/>
      <c r="BL179" s="100"/>
      <c r="BM179" s="100"/>
      <c r="BN179" s="257"/>
      <c r="BO179" s="100"/>
      <c r="BP179" s="100">
        <v>360045</v>
      </c>
      <c r="BQ179" s="100">
        <v>112878</v>
      </c>
      <c r="BR179" s="100">
        <v>279775.47058177443</v>
      </c>
      <c r="BS179" s="100">
        <v>17209.577726508884</v>
      </c>
      <c r="BT179" s="100">
        <v>62791.632195470098</v>
      </c>
      <c r="BU179" s="100">
        <v>135895.88612350414</v>
      </c>
      <c r="BV179" s="100">
        <v>186088.03826940406</v>
      </c>
      <c r="BW179" s="100">
        <v>316311.98605556018</v>
      </c>
      <c r="BX179" s="100">
        <v>91667.297339574565</v>
      </c>
      <c r="BY179" s="100">
        <v>167685.64765483327</v>
      </c>
      <c r="BZ179" s="257"/>
      <c r="CA179" s="100"/>
      <c r="CB179" s="257"/>
      <c r="CC179" s="257"/>
      <c r="CD179" s="257"/>
      <c r="CE179" s="100">
        <v>201193.82557863445</v>
      </c>
      <c r="CF179" s="100">
        <v>112477.46299856293</v>
      </c>
      <c r="CG179" s="100">
        <v>109966.30461475439</v>
      </c>
      <c r="CH179" s="100">
        <v>671044.0619350333</v>
      </c>
      <c r="CI179" s="257"/>
      <c r="CJ179" s="437">
        <v>1316113.7099010227</v>
      </c>
      <c r="CK179" s="404">
        <v>-437963</v>
      </c>
      <c r="CL179" s="404"/>
      <c r="CM179" s="437">
        <v>-36848.695</v>
      </c>
      <c r="CO179" s="434">
        <v>-258941.82132744562</v>
      </c>
      <c r="CP179" s="437">
        <v>-286696.08641553944</v>
      </c>
      <c r="CQ179" s="437">
        <v>-295112.9939943761</v>
      </c>
      <c r="CR179" s="437">
        <v>113181.79033546087</v>
      </c>
      <c r="CS179" s="257"/>
    </row>
    <row r="180" spans="1:97" x14ac:dyDescent="0.2">
      <c r="A180" s="100">
        <v>584</v>
      </c>
      <c r="B180" s="100" t="s">
        <v>489</v>
      </c>
      <c r="C180" s="100">
        <v>2653</v>
      </c>
      <c r="D180" s="257"/>
      <c r="E180" s="257"/>
      <c r="F180" s="257"/>
      <c r="G180" s="257"/>
      <c r="H180" s="325"/>
      <c r="I180" s="257"/>
      <c r="J180" s="257"/>
      <c r="K180" s="257"/>
      <c r="L180" s="257"/>
      <c r="M180" s="257"/>
      <c r="N180" s="257"/>
      <c r="O180" s="257"/>
      <c r="P180" s="257"/>
      <c r="Q180" s="100">
        <v>208</v>
      </c>
      <c r="R180" s="100">
        <v>47</v>
      </c>
      <c r="S180" s="100">
        <v>291</v>
      </c>
      <c r="T180" s="100">
        <v>159</v>
      </c>
      <c r="U180" s="100">
        <v>1948</v>
      </c>
      <c r="V180" s="100"/>
      <c r="W180" s="100"/>
      <c r="X180" s="100"/>
      <c r="Y180" s="100"/>
      <c r="Z180" s="257"/>
      <c r="AA180" s="257"/>
      <c r="AB180" s="257"/>
      <c r="AC180" s="257"/>
      <c r="AD180" s="257"/>
      <c r="AE180" s="258">
        <v>0.71147397872810725</v>
      </c>
      <c r="AG180" s="441">
        <v>76.833333333333329</v>
      </c>
      <c r="AH180" s="443">
        <v>995</v>
      </c>
      <c r="AJ180" s="88">
        <v>23</v>
      </c>
      <c r="AM180" s="88">
        <v>0</v>
      </c>
      <c r="AN180" s="88">
        <v>12</v>
      </c>
      <c r="AP180" s="88">
        <v>0</v>
      </c>
      <c r="AQ180" s="399">
        <v>0</v>
      </c>
      <c r="AR180" s="88">
        <v>747.87</v>
      </c>
      <c r="AU180" s="399">
        <v>105</v>
      </c>
      <c r="AV180" s="399">
        <v>609</v>
      </c>
      <c r="AY180" s="88">
        <v>1.371</v>
      </c>
      <c r="AZ180" s="432">
        <v>867</v>
      </c>
      <c r="BA180" s="440">
        <v>902</v>
      </c>
      <c r="BC180" s="439">
        <v>0</v>
      </c>
      <c r="BD180" s="88">
        <v>0</v>
      </c>
      <c r="BE180" s="88">
        <v>0</v>
      </c>
      <c r="BF180" s="434">
        <v>-39412.205000000002</v>
      </c>
      <c r="BG180" s="100">
        <v>-51982.26</v>
      </c>
      <c r="BH180" s="257"/>
      <c r="BI180" s="100"/>
      <c r="BJ180" s="257"/>
      <c r="BK180" s="100"/>
      <c r="BL180" s="100"/>
      <c r="BM180" s="100"/>
      <c r="BN180" s="257"/>
      <c r="BO180" s="100"/>
      <c r="BP180" s="100">
        <v>248802</v>
      </c>
      <c r="BQ180" s="100">
        <v>81810</v>
      </c>
      <c r="BR180" s="100">
        <v>237809.04534196263</v>
      </c>
      <c r="BS180" s="100">
        <v>12373.570511656304</v>
      </c>
      <c r="BT180" s="100">
        <v>37925.092907609796</v>
      </c>
      <c r="BU180" s="100">
        <v>123013.57808496512</v>
      </c>
      <c r="BV180" s="100">
        <v>153607.53770423934</v>
      </c>
      <c r="BW180" s="100">
        <v>243407.94374177346</v>
      </c>
      <c r="BX180" s="100">
        <v>65115.4129479533</v>
      </c>
      <c r="BY180" s="100">
        <v>128168.12865824169</v>
      </c>
      <c r="BZ180" s="257"/>
      <c r="CA180" s="100"/>
      <c r="CB180" s="257"/>
      <c r="CC180" s="257"/>
      <c r="CD180" s="257"/>
      <c r="CE180" s="100">
        <v>178388.33705722212</v>
      </c>
      <c r="CF180" s="100">
        <v>95273.130648468912</v>
      </c>
      <c r="CG180" s="100">
        <v>99689.156927750984</v>
      </c>
      <c r="CH180" s="100">
        <v>547646.60296014382</v>
      </c>
      <c r="CI180" s="257"/>
      <c r="CJ180" s="437">
        <v>1820969.3542463663</v>
      </c>
      <c r="CK180" s="404">
        <v>203598</v>
      </c>
      <c r="CL180" s="404"/>
      <c r="CM180" s="437">
        <v>11934.800000000001</v>
      </c>
      <c r="CO180" s="434">
        <v>-416568.57535736274</v>
      </c>
      <c r="CP180" s="437">
        <v>-411119.26931228035</v>
      </c>
      <c r="CQ180" s="437">
        <v>-240016.79125293679</v>
      </c>
      <c r="CR180" s="437">
        <v>92051.284414462818</v>
      </c>
      <c r="CS180" s="257"/>
    </row>
    <row r="181" spans="1:97" x14ac:dyDescent="0.2">
      <c r="A181" s="100">
        <v>588</v>
      </c>
      <c r="B181" s="100" t="s">
        <v>490</v>
      </c>
      <c r="C181" s="100">
        <v>1600</v>
      </c>
      <c r="D181" s="257"/>
      <c r="E181" s="257"/>
      <c r="F181" s="257"/>
      <c r="G181" s="257"/>
      <c r="H181" s="325"/>
      <c r="I181" s="257"/>
      <c r="J181" s="257"/>
      <c r="K181" s="257"/>
      <c r="L181" s="257"/>
      <c r="M181" s="257"/>
      <c r="N181" s="257"/>
      <c r="O181" s="257"/>
      <c r="P181" s="257"/>
      <c r="Q181" s="100">
        <v>50</v>
      </c>
      <c r="R181" s="100">
        <v>11</v>
      </c>
      <c r="S181" s="100">
        <v>63</v>
      </c>
      <c r="T181" s="100">
        <v>47</v>
      </c>
      <c r="U181" s="100">
        <v>1429</v>
      </c>
      <c r="V181" s="100"/>
      <c r="W181" s="100"/>
      <c r="X181" s="100"/>
      <c r="Y181" s="100"/>
      <c r="Z181" s="257"/>
      <c r="AA181" s="257"/>
      <c r="AB181" s="257"/>
      <c r="AC181" s="257"/>
      <c r="AD181" s="257"/>
      <c r="AE181" s="258">
        <v>0.71772682425547185</v>
      </c>
      <c r="AG181" s="441">
        <v>61.083333333333336</v>
      </c>
      <c r="AH181" s="443">
        <v>633</v>
      </c>
      <c r="AJ181" s="88">
        <v>43</v>
      </c>
      <c r="AM181" s="88">
        <v>0</v>
      </c>
      <c r="AN181" s="88">
        <v>5</v>
      </c>
      <c r="AP181" s="88">
        <v>0</v>
      </c>
      <c r="AQ181" s="399">
        <v>0</v>
      </c>
      <c r="AR181" s="88">
        <v>374.45</v>
      </c>
      <c r="AU181" s="399">
        <v>66</v>
      </c>
      <c r="AV181" s="399">
        <v>358</v>
      </c>
      <c r="AY181" s="88">
        <v>1.2120333333333333</v>
      </c>
      <c r="AZ181" s="432">
        <v>519</v>
      </c>
      <c r="BA181" s="440">
        <v>567</v>
      </c>
      <c r="BC181" s="439">
        <v>0</v>
      </c>
      <c r="BD181" s="88">
        <v>0</v>
      </c>
      <c r="BE181" s="88">
        <v>0</v>
      </c>
      <c r="BF181" s="434">
        <v>-45103.695</v>
      </c>
      <c r="BG181" s="100">
        <v>-31773.34</v>
      </c>
      <c r="BH181" s="257"/>
      <c r="BI181" s="100"/>
      <c r="BJ181" s="257"/>
      <c r="BK181" s="100"/>
      <c r="BL181" s="100"/>
      <c r="BM181" s="100"/>
      <c r="BN181" s="257"/>
      <c r="BO181" s="100"/>
      <c r="BP181" s="100">
        <v>234115</v>
      </c>
      <c r="BQ181" s="100">
        <v>67290</v>
      </c>
      <c r="BR181" s="100">
        <v>168977.94436263852</v>
      </c>
      <c r="BS181" s="100">
        <v>9010.2925111819332</v>
      </c>
      <c r="BT181" s="100">
        <v>8334.4010435732107</v>
      </c>
      <c r="BU181" s="100">
        <v>76406.005858727396</v>
      </c>
      <c r="BV181" s="100">
        <v>102718.41957583952</v>
      </c>
      <c r="BW181" s="100">
        <v>162135.96327907612</v>
      </c>
      <c r="BX181" s="100">
        <v>50497.781897483066</v>
      </c>
      <c r="BY181" s="100">
        <v>91577.209057348591</v>
      </c>
      <c r="BZ181" s="257"/>
      <c r="CA181" s="100"/>
      <c r="CB181" s="257"/>
      <c r="CC181" s="257"/>
      <c r="CD181" s="257"/>
      <c r="CE181" s="100">
        <v>130688.93375588853</v>
      </c>
      <c r="CF181" s="100">
        <v>64143.875127204032</v>
      </c>
      <c r="CG181" s="100">
        <v>62081.394153737579</v>
      </c>
      <c r="CH181" s="100">
        <v>380138.47448730201</v>
      </c>
      <c r="CI181" s="257"/>
      <c r="CJ181" s="437">
        <v>441902.08535899949</v>
      </c>
      <c r="CK181" s="404">
        <v>-388948</v>
      </c>
      <c r="CL181" s="404"/>
      <c r="CM181" s="437">
        <v>-10055.069000000003</v>
      </c>
      <c r="CO181" s="434">
        <v>-632824.65545089217</v>
      </c>
      <c r="CP181" s="437">
        <v>-349464.43342796603</v>
      </c>
      <c r="CQ181" s="437">
        <v>-144751.92838473382</v>
      </c>
      <c r="CR181" s="437">
        <v>55515.286491948929</v>
      </c>
      <c r="CS181" s="257"/>
    </row>
    <row r="182" spans="1:97" x14ac:dyDescent="0.2">
      <c r="A182" s="100">
        <v>592</v>
      </c>
      <c r="B182" s="100" t="s">
        <v>491</v>
      </c>
      <c r="C182" s="100">
        <v>3651</v>
      </c>
      <c r="D182" s="257"/>
      <c r="E182" s="257"/>
      <c r="F182" s="257"/>
      <c r="G182" s="257"/>
      <c r="H182" s="325"/>
      <c r="I182" s="257"/>
      <c r="J182" s="257"/>
      <c r="K182" s="257"/>
      <c r="L182" s="257"/>
      <c r="M182" s="257"/>
      <c r="N182" s="257"/>
      <c r="O182" s="257"/>
      <c r="P182" s="257"/>
      <c r="Q182" s="100">
        <v>188</v>
      </c>
      <c r="R182" s="100">
        <v>38</v>
      </c>
      <c r="S182" s="100">
        <v>290</v>
      </c>
      <c r="T182" s="100">
        <v>180</v>
      </c>
      <c r="U182" s="100">
        <v>2955</v>
      </c>
      <c r="V182" s="100"/>
      <c r="W182" s="100"/>
      <c r="X182" s="100"/>
      <c r="Y182" s="100"/>
      <c r="Z182" s="257"/>
      <c r="AA182" s="257"/>
      <c r="AB182" s="257"/>
      <c r="AC182" s="257"/>
      <c r="AD182" s="257"/>
      <c r="AE182" s="258">
        <v>0.74847020501787331</v>
      </c>
      <c r="AG182" s="441">
        <v>161.41666666666666</v>
      </c>
      <c r="AH182" s="443">
        <v>1680</v>
      </c>
      <c r="AJ182" s="88">
        <v>53</v>
      </c>
      <c r="AM182" s="88">
        <v>0</v>
      </c>
      <c r="AN182" s="88">
        <v>5</v>
      </c>
      <c r="AP182" s="88">
        <v>0</v>
      </c>
      <c r="AQ182" s="399">
        <v>0</v>
      </c>
      <c r="AR182" s="88">
        <v>456.42</v>
      </c>
      <c r="AU182" s="399">
        <v>97</v>
      </c>
      <c r="AV182" s="399">
        <v>1104</v>
      </c>
      <c r="AY182" s="88">
        <v>0.49086666666666667</v>
      </c>
      <c r="AZ182" s="432">
        <v>803</v>
      </c>
      <c r="BA182" s="440">
        <v>1446</v>
      </c>
      <c r="BC182" s="439">
        <v>0</v>
      </c>
      <c r="BD182" s="88">
        <v>0</v>
      </c>
      <c r="BE182" s="88">
        <v>1</v>
      </c>
      <c r="BF182" s="434">
        <v>-114209.13250000001</v>
      </c>
      <c r="BG182" s="100">
        <v>-72460.12000000001</v>
      </c>
      <c r="BH182" s="257"/>
      <c r="BI182" s="100"/>
      <c r="BJ182" s="257"/>
      <c r="BK182" s="100"/>
      <c r="BL182" s="100"/>
      <c r="BM182" s="100"/>
      <c r="BN182" s="257"/>
      <c r="BO182" s="100"/>
      <c r="BP182" s="100">
        <v>354457</v>
      </c>
      <c r="BQ182" s="100">
        <v>106582</v>
      </c>
      <c r="BR182" s="100">
        <v>254905.20955377643</v>
      </c>
      <c r="BS182" s="100">
        <v>8332.6534902851799</v>
      </c>
      <c r="BT182" s="100">
        <v>26530.701781500757</v>
      </c>
      <c r="BU182" s="100">
        <v>123476.20413054695</v>
      </c>
      <c r="BV182" s="100">
        <v>207997.30219506685</v>
      </c>
      <c r="BW182" s="100">
        <v>310773.86573296739</v>
      </c>
      <c r="BX182" s="100">
        <v>88610.83356448845</v>
      </c>
      <c r="BY182" s="100">
        <v>171137.42344327332</v>
      </c>
      <c r="BZ182" s="257"/>
      <c r="CA182" s="100"/>
      <c r="CB182" s="257"/>
      <c r="CC182" s="257"/>
      <c r="CD182" s="257"/>
      <c r="CE182" s="100">
        <v>227720.80511451929</v>
      </c>
      <c r="CF182" s="100">
        <v>136697.07753943527</v>
      </c>
      <c r="CG182" s="100">
        <v>127311.48812594403</v>
      </c>
      <c r="CH182" s="100">
        <v>673755.39020160388</v>
      </c>
      <c r="CI182" s="257"/>
      <c r="CJ182" s="437">
        <v>1425204.221694584</v>
      </c>
      <c r="CK182" s="404">
        <v>-66934</v>
      </c>
      <c r="CL182" s="404"/>
      <c r="CM182" s="437">
        <v>127329.39750000001</v>
      </c>
      <c r="CO182" s="434">
        <v>-424131.91293202521</v>
      </c>
      <c r="CP182" s="437">
        <v>-305666.61641452974</v>
      </c>
      <c r="CQ182" s="437">
        <v>-330305.80658291449</v>
      </c>
      <c r="CR182" s="437">
        <v>126678.94436381596</v>
      </c>
      <c r="CS182" s="257"/>
    </row>
    <row r="183" spans="1:97" x14ac:dyDescent="0.2">
      <c r="A183" s="100">
        <v>593</v>
      </c>
      <c r="B183" s="100" t="s">
        <v>492</v>
      </c>
      <c r="C183" s="100">
        <v>17077</v>
      </c>
      <c r="D183" s="257"/>
      <c r="E183" s="257"/>
      <c r="F183" s="257"/>
      <c r="G183" s="257"/>
      <c r="H183" s="325"/>
      <c r="I183" s="257"/>
      <c r="J183" s="257"/>
      <c r="K183" s="257"/>
      <c r="L183" s="257"/>
      <c r="M183" s="257"/>
      <c r="N183" s="257"/>
      <c r="O183" s="257"/>
      <c r="P183" s="257"/>
      <c r="Q183" s="100">
        <v>619</v>
      </c>
      <c r="R183" s="100">
        <v>122</v>
      </c>
      <c r="S183" s="100">
        <v>887</v>
      </c>
      <c r="T183" s="100">
        <v>467</v>
      </c>
      <c r="U183" s="100">
        <v>14982</v>
      </c>
      <c r="V183" s="100"/>
      <c r="W183" s="100"/>
      <c r="X183" s="100"/>
      <c r="Y183" s="100"/>
      <c r="Z183" s="257"/>
      <c r="AA183" s="257"/>
      <c r="AB183" s="257"/>
      <c r="AC183" s="257"/>
      <c r="AD183" s="257"/>
      <c r="AE183" s="258">
        <v>1.0184043064219528</v>
      </c>
      <c r="AG183" s="441">
        <v>587.58333333333337</v>
      </c>
      <c r="AH183" s="443">
        <v>7112</v>
      </c>
      <c r="AJ183" s="88">
        <v>548</v>
      </c>
      <c r="AM183" s="88">
        <v>0</v>
      </c>
      <c r="AN183" s="88">
        <v>20</v>
      </c>
      <c r="AP183" s="88">
        <v>0</v>
      </c>
      <c r="AQ183" s="399">
        <v>0</v>
      </c>
      <c r="AR183" s="88">
        <v>1569.03</v>
      </c>
      <c r="AU183" s="399">
        <v>607</v>
      </c>
      <c r="AV183" s="399">
        <v>4302</v>
      </c>
      <c r="AY183" s="88">
        <v>0</v>
      </c>
      <c r="AZ183" s="432">
        <v>6483</v>
      </c>
      <c r="BA183" s="440">
        <v>6289</v>
      </c>
      <c r="BC183" s="439">
        <v>0</v>
      </c>
      <c r="BD183" s="88">
        <v>0</v>
      </c>
      <c r="BE183" s="88">
        <v>0</v>
      </c>
      <c r="BF183" s="434">
        <v>-836614.88425</v>
      </c>
      <c r="BG183" s="100">
        <v>-333773.75</v>
      </c>
      <c r="BH183" s="257"/>
      <c r="BI183" s="100"/>
      <c r="BJ183" s="257"/>
      <c r="BK183" s="100"/>
      <c r="BL183" s="100"/>
      <c r="BM183" s="100"/>
      <c r="BN183" s="257"/>
      <c r="BO183" s="100"/>
      <c r="BP183" s="100">
        <v>1560090</v>
      </c>
      <c r="BQ183" s="100">
        <v>513971</v>
      </c>
      <c r="BR183" s="100">
        <v>1260126.6268012959</v>
      </c>
      <c r="BS183" s="100">
        <v>63467.032631407666</v>
      </c>
      <c r="BT183" s="100">
        <v>157346.3627602417</v>
      </c>
      <c r="BU183" s="100">
        <v>647965.8766096516</v>
      </c>
      <c r="BV183" s="100">
        <v>974534.74017759331</v>
      </c>
      <c r="BW183" s="100">
        <v>1699306.929225473</v>
      </c>
      <c r="BX183" s="100">
        <v>475978.11119225342</v>
      </c>
      <c r="BY183" s="100">
        <v>854011.98964441475</v>
      </c>
      <c r="BZ183" s="257"/>
      <c r="CA183" s="100"/>
      <c r="CB183" s="257"/>
      <c r="CC183" s="257"/>
      <c r="CD183" s="257"/>
      <c r="CE183" s="100">
        <v>1100093.2699461284</v>
      </c>
      <c r="CF183" s="100">
        <v>630805.11225964944</v>
      </c>
      <c r="CG183" s="100">
        <v>617439.41324120015</v>
      </c>
      <c r="CH183" s="100">
        <v>3322183.4441921045</v>
      </c>
      <c r="CI183" s="257"/>
      <c r="CJ183" s="437">
        <v>6268444.1043851022</v>
      </c>
      <c r="CK183" s="404">
        <v>-1857975</v>
      </c>
      <c r="CL183" s="404"/>
      <c r="CM183" s="437">
        <v>-246811.66399999987</v>
      </c>
      <c r="CO183" s="434">
        <v>-1530435.8362037388</v>
      </c>
      <c r="CP183" s="437">
        <v>-1444954.01317142</v>
      </c>
      <c r="CQ183" s="437">
        <v>-1544955.4256413123</v>
      </c>
      <c r="CR183" s="437">
        <v>592521.59213938238</v>
      </c>
      <c r="CS183" s="257"/>
    </row>
    <row r="184" spans="1:97" x14ac:dyDescent="0.2">
      <c r="A184" s="100">
        <v>595</v>
      </c>
      <c r="B184" s="100" t="s">
        <v>493</v>
      </c>
      <c r="C184" s="100">
        <v>4140</v>
      </c>
      <c r="D184" s="257"/>
      <c r="E184" s="257"/>
      <c r="F184" s="257"/>
      <c r="G184" s="257"/>
      <c r="H184" s="325"/>
      <c r="I184" s="257"/>
      <c r="J184" s="257"/>
      <c r="K184" s="257"/>
      <c r="L184" s="257"/>
      <c r="M184" s="257"/>
      <c r="N184" s="257"/>
      <c r="O184" s="257"/>
      <c r="P184" s="257"/>
      <c r="Q184" s="100">
        <v>165</v>
      </c>
      <c r="R184" s="100">
        <v>25</v>
      </c>
      <c r="S184" s="100">
        <v>220</v>
      </c>
      <c r="T184" s="100">
        <v>152</v>
      </c>
      <c r="U184" s="100">
        <v>3578</v>
      </c>
      <c r="V184" s="100"/>
      <c r="W184" s="100"/>
      <c r="X184" s="100"/>
      <c r="Y184" s="100"/>
      <c r="Z184" s="257"/>
      <c r="AA184" s="257"/>
      <c r="AB184" s="257"/>
      <c r="AC184" s="257"/>
      <c r="AD184" s="257"/>
      <c r="AE184" s="258">
        <v>0.96509014299382445</v>
      </c>
      <c r="AG184" s="441">
        <v>132.66666666666666</v>
      </c>
      <c r="AH184" s="443">
        <v>1576</v>
      </c>
      <c r="AJ184" s="88">
        <v>78</v>
      </c>
      <c r="AM184" s="88">
        <v>0</v>
      </c>
      <c r="AN184" s="88">
        <v>9</v>
      </c>
      <c r="AP184" s="88">
        <v>0</v>
      </c>
      <c r="AQ184" s="399">
        <v>0</v>
      </c>
      <c r="AR184" s="88">
        <v>1153.23</v>
      </c>
      <c r="AU184" s="399">
        <v>127</v>
      </c>
      <c r="AV184" s="399">
        <v>863</v>
      </c>
      <c r="AY184" s="88">
        <v>1.3087</v>
      </c>
      <c r="AZ184" s="432">
        <v>1172</v>
      </c>
      <c r="BA184" s="440">
        <v>1402</v>
      </c>
      <c r="BC184" s="439">
        <v>0</v>
      </c>
      <c r="BD184" s="88">
        <v>0</v>
      </c>
      <c r="BE184" s="88">
        <v>0</v>
      </c>
      <c r="BF184" s="434">
        <v>-141915.08499999999</v>
      </c>
      <c r="BG184" s="100">
        <v>-83006.41</v>
      </c>
      <c r="BH184" s="257"/>
      <c r="BI184" s="100"/>
      <c r="BJ184" s="257"/>
      <c r="BK184" s="100"/>
      <c r="BL184" s="100"/>
      <c r="BM184" s="100"/>
      <c r="BN184" s="257"/>
      <c r="BO184" s="100"/>
      <c r="BP184" s="100">
        <v>533260</v>
      </c>
      <c r="BQ184" s="100">
        <v>148458</v>
      </c>
      <c r="BR184" s="100">
        <v>383608.90878330654</v>
      </c>
      <c r="BS184" s="100">
        <v>21691.080452871629</v>
      </c>
      <c r="BT184" s="100">
        <v>60410.255073567154</v>
      </c>
      <c r="BU184" s="100">
        <v>212891.88876775064</v>
      </c>
      <c r="BV184" s="100">
        <v>253801.99598146603</v>
      </c>
      <c r="BW184" s="100">
        <v>410291.23888696532</v>
      </c>
      <c r="BX184" s="100">
        <v>117412.21913634996</v>
      </c>
      <c r="BY184" s="100">
        <v>229967.58134982461</v>
      </c>
      <c r="BZ184" s="257"/>
      <c r="CA184" s="100"/>
      <c r="CB184" s="257"/>
      <c r="CC184" s="257"/>
      <c r="CD184" s="257"/>
      <c r="CE184" s="100">
        <v>322245.50002202089</v>
      </c>
      <c r="CF184" s="100">
        <v>160579.02552630514</v>
      </c>
      <c r="CG184" s="100">
        <v>149162.63705328177</v>
      </c>
      <c r="CH184" s="100">
        <v>965502.29387445038</v>
      </c>
      <c r="CI184" s="257"/>
      <c r="CJ184" s="437">
        <v>2280686.9865767313</v>
      </c>
      <c r="CK184" s="404">
        <v>7192</v>
      </c>
      <c r="CL184" s="404"/>
      <c r="CM184" s="437">
        <v>130089.31999999999</v>
      </c>
      <c r="CO184" s="434">
        <v>974846.0326094483</v>
      </c>
      <c r="CP184" s="437">
        <v>290413.5964835753</v>
      </c>
      <c r="CQ184" s="437">
        <v>-374545.61469549878</v>
      </c>
      <c r="CR184" s="437">
        <v>143645.80379791785</v>
      </c>
      <c r="CS184" s="257"/>
    </row>
    <row r="185" spans="1:97" x14ac:dyDescent="0.2">
      <c r="A185" s="100">
        <v>598</v>
      </c>
      <c r="B185" s="100" t="s">
        <v>494</v>
      </c>
      <c r="C185" s="100">
        <v>19207</v>
      </c>
      <c r="D185" s="257"/>
      <c r="E185" s="257"/>
      <c r="F185" s="257"/>
      <c r="G185" s="257"/>
      <c r="H185" s="325"/>
      <c r="I185" s="257"/>
      <c r="J185" s="257"/>
      <c r="K185" s="257"/>
      <c r="L185" s="257"/>
      <c r="M185" s="257"/>
      <c r="N185" s="257"/>
      <c r="O185" s="257"/>
      <c r="P185" s="257"/>
      <c r="Q185" s="100">
        <v>1028</v>
      </c>
      <c r="R185" s="100">
        <v>188</v>
      </c>
      <c r="S185" s="100">
        <v>1201</v>
      </c>
      <c r="T185" s="100">
        <v>667</v>
      </c>
      <c r="U185" s="100">
        <v>16123</v>
      </c>
      <c r="V185" s="100"/>
      <c r="W185" s="100"/>
      <c r="X185" s="100"/>
      <c r="Y185" s="100"/>
      <c r="Z185" s="257"/>
      <c r="AA185" s="257"/>
      <c r="AB185" s="257"/>
      <c r="AC185" s="257"/>
      <c r="AD185" s="257"/>
      <c r="AE185" s="258">
        <v>0.73919299871536981</v>
      </c>
      <c r="AG185" s="441">
        <v>591.33333333333337</v>
      </c>
      <c r="AH185" s="443">
        <v>8597</v>
      </c>
      <c r="AJ185" s="88">
        <v>2357</v>
      </c>
      <c r="AM185" s="88">
        <v>3</v>
      </c>
      <c r="AN185" s="88">
        <v>10626</v>
      </c>
      <c r="AP185" s="88">
        <v>0</v>
      </c>
      <c r="AQ185" s="399">
        <v>0</v>
      </c>
      <c r="AR185" s="88">
        <v>88.52</v>
      </c>
      <c r="AU185" s="399">
        <v>1046</v>
      </c>
      <c r="AV185" s="399">
        <v>5739</v>
      </c>
      <c r="AY185" s="88">
        <v>0</v>
      </c>
      <c r="AZ185" s="432">
        <v>10935</v>
      </c>
      <c r="BA185" s="440">
        <v>8045</v>
      </c>
      <c r="BC185" s="439">
        <v>0</v>
      </c>
      <c r="BD185" s="88">
        <v>0</v>
      </c>
      <c r="BE185" s="88">
        <v>2</v>
      </c>
      <c r="BF185" s="434">
        <v>-952106.79700000002</v>
      </c>
      <c r="BG185" s="100">
        <v>-366257.86000000004</v>
      </c>
      <c r="BH185" s="257"/>
      <c r="BI185" s="100"/>
      <c r="BJ185" s="257"/>
      <c r="BK185" s="100"/>
      <c r="BL185" s="100"/>
      <c r="BM185" s="100"/>
      <c r="BN185" s="257"/>
      <c r="BO185" s="100"/>
      <c r="BP185" s="100">
        <v>1399413</v>
      </c>
      <c r="BQ185" s="100">
        <v>472806</v>
      </c>
      <c r="BR185" s="100">
        <v>1012050.8967615775</v>
      </c>
      <c r="BS185" s="100">
        <v>35295.871407672465</v>
      </c>
      <c r="BT185" s="100">
        <v>186705.40611594936</v>
      </c>
      <c r="BU185" s="100">
        <v>590374.86108309263</v>
      </c>
      <c r="BV185" s="100">
        <v>933102.32378293364</v>
      </c>
      <c r="BW185" s="100">
        <v>1480886.5428554113</v>
      </c>
      <c r="BX185" s="100">
        <v>440089.8823201661</v>
      </c>
      <c r="BY185" s="100">
        <v>804269.13466749317</v>
      </c>
      <c r="BZ185" s="257"/>
      <c r="CA185" s="100"/>
      <c r="CB185" s="257"/>
      <c r="CC185" s="257"/>
      <c r="CD185" s="257"/>
      <c r="CE185" s="100">
        <v>1004830.116367092</v>
      </c>
      <c r="CF185" s="100">
        <v>628956.7832199384</v>
      </c>
      <c r="CG185" s="100">
        <v>610048.67960989871</v>
      </c>
      <c r="CH185" s="100">
        <v>3076435.0527252527</v>
      </c>
      <c r="CI185" s="257"/>
      <c r="CJ185" s="437">
        <v>1509816.7851735575</v>
      </c>
      <c r="CK185" s="404">
        <v>2888279</v>
      </c>
      <c r="CL185" s="404"/>
      <c r="CM185" s="437">
        <v>775836.59250000003</v>
      </c>
      <c r="CO185" s="434">
        <v>-7093329.5605405187</v>
      </c>
      <c r="CP185" s="437">
        <v>-3652338.5770628252</v>
      </c>
      <c r="CQ185" s="437">
        <v>-1737656.4303034891</v>
      </c>
      <c r="CR185" s="437">
        <v>666426.31728178938</v>
      </c>
      <c r="CS185" s="257"/>
    </row>
    <row r="186" spans="1:97" x14ac:dyDescent="0.2">
      <c r="A186" s="100">
        <v>601</v>
      </c>
      <c r="B186" s="100" t="s">
        <v>496</v>
      </c>
      <c r="C186" s="100">
        <v>3786</v>
      </c>
      <c r="D186" s="257"/>
      <c r="E186" s="257"/>
      <c r="F186" s="257"/>
      <c r="G186" s="257"/>
      <c r="H186" s="325"/>
      <c r="I186" s="257"/>
      <c r="J186" s="257"/>
      <c r="K186" s="257"/>
      <c r="L186" s="257"/>
      <c r="M186" s="257"/>
      <c r="N186" s="257"/>
      <c r="O186" s="257"/>
      <c r="P186" s="257"/>
      <c r="Q186" s="100">
        <v>144</v>
      </c>
      <c r="R186" s="100">
        <v>28</v>
      </c>
      <c r="S186" s="100">
        <v>235</v>
      </c>
      <c r="T186" s="100">
        <v>151</v>
      </c>
      <c r="U186" s="100">
        <v>3228</v>
      </c>
      <c r="V186" s="100"/>
      <c r="W186" s="100"/>
      <c r="X186" s="100"/>
      <c r="Y186" s="100"/>
      <c r="Z186" s="257"/>
      <c r="AA186" s="257"/>
      <c r="AB186" s="257"/>
      <c r="AC186" s="257"/>
      <c r="AD186" s="257"/>
      <c r="AE186" s="258">
        <v>0.75009029912012581</v>
      </c>
      <c r="AG186" s="441">
        <v>155.75</v>
      </c>
      <c r="AH186" s="443">
        <v>1616</v>
      </c>
      <c r="AJ186" s="88">
        <v>35</v>
      </c>
      <c r="AM186" s="88">
        <v>0</v>
      </c>
      <c r="AN186" s="88">
        <v>0</v>
      </c>
      <c r="AP186" s="88">
        <v>0</v>
      </c>
      <c r="AQ186" s="399">
        <v>0</v>
      </c>
      <c r="AR186" s="88">
        <v>1074.93</v>
      </c>
      <c r="AU186" s="399">
        <v>128</v>
      </c>
      <c r="AV186" s="399">
        <v>942</v>
      </c>
      <c r="AY186" s="88">
        <v>1.4822833333333334</v>
      </c>
      <c r="AZ186" s="432">
        <v>1304</v>
      </c>
      <c r="BA186" s="440">
        <v>1402</v>
      </c>
      <c r="BC186" s="439">
        <v>0</v>
      </c>
      <c r="BD186" s="88">
        <v>0</v>
      </c>
      <c r="BE186" s="88">
        <v>0</v>
      </c>
      <c r="BF186" s="434">
        <v>-102081.715</v>
      </c>
      <c r="BG186" s="100">
        <v>-75514.510000000009</v>
      </c>
      <c r="BH186" s="257"/>
      <c r="BI186" s="100"/>
      <c r="BJ186" s="257"/>
      <c r="BK186" s="100"/>
      <c r="BL186" s="100"/>
      <c r="BM186" s="100"/>
      <c r="BN186" s="257"/>
      <c r="BO186" s="100"/>
      <c r="BP186" s="100">
        <v>435454</v>
      </c>
      <c r="BQ186" s="100">
        <v>135058</v>
      </c>
      <c r="BR186" s="100">
        <v>346967.20324628853</v>
      </c>
      <c r="BS186" s="100">
        <v>19218.919902524325</v>
      </c>
      <c r="BT186" s="100">
        <v>38454.638652061432</v>
      </c>
      <c r="BU186" s="100">
        <v>181707.73576224397</v>
      </c>
      <c r="BV186" s="100">
        <v>245469.43428886941</v>
      </c>
      <c r="BW186" s="100">
        <v>397891.33511148952</v>
      </c>
      <c r="BX186" s="100">
        <v>111904.98708906565</v>
      </c>
      <c r="BY186" s="100">
        <v>209324.67411016495</v>
      </c>
      <c r="BZ186" s="257"/>
      <c r="CA186" s="100"/>
      <c r="CB186" s="257"/>
      <c r="CC186" s="257"/>
      <c r="CD186" s="257"/>
      <c r="CE186" s="100">
        <v>289345.97868636297</v>
      </c>
      <c r="CF186" s="100">
        <v>156993.39808922878</v>
      </c>
      <c r="CG186" s="100">
        <v>147376.88093575384</v>
      </c>
      <c r="CH186" s="100">
        <v>857854.44757574226</v>
      </c>
      <c r="CI186" s="257"/>
      <c r="CJ186" s="437">
        <v>1539874.3496339608</v>
      </c>
      <c r="CK186" s="404">
        <v>254950</v>
      </c>
      <c r="CL186" s="404"/>
      <c r="CM186" s="437">
        <v>-51573.25450000001</v>
      </c>
      <c r="CO186" s="434">
        <v>774899.24333972821</v>
      </c>
      <c r="CP186" s="437">
        <v>385626.97846902756</v>
      </c>
      <c r="CQ186" s="437">
        <v>-342519.25054037641</v>
      </c>
      <c r="CR186" s="437">
        <v>131363.04666157416</v>
      </c>
      <c r="CS186" s="257"/>
    </row>
    <row r="187" spans="1:97" x14ac:dyDescent="0.2">
      <c r="A187" s="100">
        <v>604</v>
      </c>
      <c r="B187" s="100" t="s">
        <v>497</v>
      </c>
      <c r="C187" s="100">
        <v>20405</v>
      </c>
      <c r="D187" s="257"/>
      <c r="E187" s="257"/>
      <c r="F187" s="257"/>
      <c r="G187" s="257"/>
      <c r="H187" s="325"/>
      <c r="I187" s="257"/>
      <c r="J187" s="257"/>
      <c r="K187" s="257"/>
      <c r="L187" s="257"/>
      <c r="M187" s="257"/>
      <c r="N187" s="257"/>
      <c r="O187" s="257"/>
      <c r="P187" s="257"/>
      <c r="Q187" s="100">
        <v>1285</v>
      </c>
      <c r="R187" s="100">
        <v>272</v>
      </c>
      <c r="S187" s="100">
        <v>1774</v>
      </c>
      <c r="T187" s="100">
        <v>874</v>
      </c>
      <c r="U187" s="100">
        <v>16200</v>
      </c>
      <c r="V187" s="100"/>
      <c r="W187" s="100"/>
      <c r="X187" s="100"/>
      <c r="Y187" s="100"/>
      <c r="Z187" s="257"/>
      <c r="AA187" s="257"/>
      <c r="AB187" s="257"/>
      <c r="AC187" s="257"/>
      <c r="AD187" s="257"/>
      <c r="AE187" s="258">
        <v>1.1505673137718491</v>
      </c>
      <c r="AG187" s="441">
        <v>583.33333333333337</v>
      </c>
      <c r="AH187" s="443">
        <v>9891</v>
      </c>
      <c r="AJ187" s="88">
        <v>856</v>
      </c>
      <c r="AM187" s="88">
        <v>0</v>
      </c>
      <c r="AN187" s="88">
        <v>77</v>
      </c>
      <c r="AP187" s="88">
        <v>0</v>
      </c>
      <c r="AQ187" s="399">
        <v>0</v>
      </c>
      <c r="AR187" s="88">
        <v>81.42</v>
      </c>
      <c r="AU187" s="399">
        <v>482</v>
      </c>
      <c r="AV187" s="399">
        <v>7214</v>
      </c>
      <c r="AY187" s="88">
        <v>0</v>
      </c>
      <c r="AZ187" s="432">
        <v>9597</v>
      </c>
      <c r="BA187" s="440">
        <v>9581</v>
      </c>
      <c r="BC187" s="439">
        <v>1.31</v>
      </c>
      <c r="BD187" s="88">
        <v>0</v>
      </c>
      <c r="BE187" s="88">
        <v>1</v>
      </c>
      <c r="BF187" s="434">
        <v>-654006.495</v>
      </c>
      <c r="BG187" s="100">
        <v>-380415.63</v>
      </c>
      <c r="BH187" s="257"/>
      <c r="BI187" s="100"/>
      <c r="BJ187" s="257"/>
      <c r="BK187" s="100"/>
      <c r="BL187" s="100"/>
      <c r="BM187" s="100"/>
      <c r="BN187" s="257"/>
      <c r="BO187" s="100"/>
      <c r="BP187" s="100">
        <v>962488</v>
      </c>
      <c r="BQ187" s="100">
        <v>315242</v>
      </c>
      <c r="BR187" s="100">
        <v>572600.76511103765</v>
      </c>
      <c r="BS187" s="100">
        <v>-261.91042154564855</v>
      </c>
      <c r="BT187" s="100">
        <v>-137431.19608466787</v>
      </c>
      <c r="BU187" s="100">
        <v>318185.54417433374</v>
      </c>
      <c r="BV187" s="100">
        <v>684278.32505374833</v>
      </c>
      <c r="BW187" s="100">
        <v>1214601.6352733036</v>
      </c>
      <c r="BX187" s="100">
        <v>334343.71146815491</v>
      </c>
      <c r="BY187" s="100">
        <v>593427.09501551755</v>
      </c>
      <c r="BZ187" s="257"/>
      <c r="CA187" s="100"/>
      <c r="CB187" s="257"/>
      <c r="CC187" s="257"/>
      <c r="CD187" s="257"/>
      <c r="CE187" s="100">
        <v>705974.50165903871</v>
      </c>
      <c r="CF187" s="100">
        <v>505123.56517847604</v>
      </c>
      <c r="CG187" s="100">
        <v>515339.32683568925</v>
      </c>
      <c r="CH187" s="100">
        <v>2119660.5445921016</v>
      </c>
      <c r="CI187" s="257"/>
      <c r="CJ187" s="437">
        <v>-403690.54200171522</v>
      </c>
      <c r="CK187" s="404">
        <v>-2713755</v>
      </c>
      <c r="CL187" s="404"/>
      <c r="CM187" s="437">
        <v>-696729.75439999998</v>
      </c>
      <c r="CO187" s="434">
        <v>3957315.9614879279</v>
      </c>
      <c r="CP187" s="437">
        <v>1826221.6649488076</v>
      </c>
      <c r="CQ187" s="437">
        <v>-1846039.4366815586</v>
      </c>
      <c r="CR187" s="437">
        <v>707993.38804263622</v>
      </c>
      <c r="CS187" s="257"/>
    </row>
    <row r="188" spans="1:97" x14ac:dyDescent="0.2">
      <c r="A188" s="100">
        <v>607</v>
      </c>
      <c r="B188" s="100" t="s">
        <v>498</v>
      </c>
      <c r="C188" s="100">
        <v>4084</v>
      </c>
      <c r="D188" s="257"/>
      <c r="E188" s="257"/>
      <c r="F188" s="257"/>
      <c r="G188" s="257"/>
      <c r="H188" s="325"/>
      <c r="I188" s="257"/>
      <c r="J188" s="257"/>
      <c r="K188" s="257"/>
      <c r="L188" s="257"/>
      <c r="M188" s="257"/>
      <c r="N188" s="257"/>
      <c r="O188" s="257"/>
      <c r="P188" s="257"/>
      <c r="Q188" s="100">
        <v>183</v>
      </c>
      <c r="R188" s="100">
        <v>50</v>
      </c>
      <c r="S188" s="100">
        <v>230</v>
      </c>
      <c r="T188" s="100">
        <v>115</v>
      </c>
      <c r="U188" s="100">
        <v>3506</v>
      </c>
      <c r="V188" s="100"/>
      <c r="W188" s="100"/>
      <c r="X188" s="100"/>
      <c r="Y188" s="100"/>
      <c r="Z188" s="257"/>
      <c r="AA188" s="257"/>
      <c r="AB188" s="257"/>
      <c r="AC188" s="257"/>
      <c r="AD188" s="257"/>
      <c r="AE188" s="258">
        <v>0.98765413384326051</v>
      </c>
      <c r="AG188" s="441">
        <v>203.25</v>
      </c>
      <c r="AH188" s="443">
        <v>1697</v>
      </c>
      <c r="AJ188" s="88">
        <v>57</v>
      </c>
      <c r="AM188" s="88">
        <v>0</v>
      </c>
      <c r="AN188" s="88">
        <v>5</v>
      </c>
      <c r="AP188" s="88">
        <v>0</v>
      </c>
      <c r="AQ188" s="399">
        <v>0</v>
      </c>
      <c r="AR188" s="88">
        <v>804.63</v>
      </c>
      <c r="AU188" s="399">
        <v>121</v>
      </c>
      <c r="AV188" s="399">
        <v>1045</v>
      </c>
      <c r="AY188" s="88">
        <v>0.61786666666666668</v>
      </c>
      <c r="AZ188" s="432">
        <v>1087</v>
      </c>
      <c r="BA188" s="440">
        <v>1443</v>
      </c>
      <c r="BC188" s="439">
        <v>0</v>
      </c>
      <c r="BD188" s="88">
        <v>0</v>
      </c>
      <c r="BE188" s="88">
        <v>0</v>
      </c>
      <c r="BF188" s="434">
        <v>-153895.74</v>
      </c>
      <c r="BG188" s="100">
        <v>-80701.210000000006</v>
      </c>
      <c r="BH188" s="257"/>
      <c r="BI188" s="100"/>
      <c r="BJ188" s="257"/>
      <c r="BK188" s="100"/>
      <c r="BL188" s="100"/>
      <c r="BM188" s="100"/>
      <c r="BN188" s="257"/>
      <c r="BO188" s="100"/>
      <c r="BP188" s="100">
        <v>474631</v>
      </c>
      <c r="BQ188" s="100">
        <v>148166</v>
      </c>
      <c r="BR188" s="100">
        <v>409995.16215722071</v>
      </c>
      <c r="BS188" s="100">
        <v>23164.831209844506</v>
      </c>
      <c r="BT188" s="100">
        <v>70872.720204695695</v>
      </c>
      <c r="BU188" s="100">
        <v>175906.08465712712</v>
      </c>
      <c r="BV188" s="100">
        <v>265433.29563446343</v>
      </c>
      <c r="BW188" s="100">
        <v>408578.5953259517</v>
      </c>
      <c r="BX188" s="100">
        <v>117579.48942582084</v>
      </c>
      <c r="BY188" s="100">
        <v>217648.29052226059</v>
      </c>
      <c r="BZ188" s="257"/>
      <c r="CA188" s="100"/>
      <c r="CB188" s="257"/>
      <c r="CC188" s="257"/>
      <c r="CD188" s="257"/>
      <c r="CE188" s="100">
        <v>306857.30921319872</v>
      </c>
      <c r="CF188" s="100">
        <v>160815.64675469534</v>
      </c>
      <c r="CG188" s="100">
        <v>153764.36379155159</v>
      </c>
      <c r="CH188" s="100">
        <v>932883.37604997109</v>
      </c>
      <c r="CI188" s="257"/>
      <c r="CJ188" s="437">
        <v>2534276.3673792565</v>
      </c>
      <c r="CK188" s="404">
        <v>-657651</v>
      </c>
      <c r="CL188" s="404"/>
      <c r="CM188" s="437">
        <v>-46247.350000000006</v>
      </c>
      <c r="CO188" s="434">
        <v>-553947.34675723885</v>
      </c>
      <c r="CP188" s="437">
        <v>-128692.53619673556</v>
      </c>
      <c r="CQ188" s="437">
        <v>-369479.29720203311</v>
      </c>
      <c r="CR188" s="437">
        <v>141702.76877069965</v>
      </c>
      <c r="CS188" s="257"/>
    </row>
    <row r="189" spans="1:97" x14ac:dyDescent="0.2">
      <c r="A189" s="100">
        <v>608</v>
      </c>
      <c r="B189" s="100" t="s">
        <v>499</v>
      </c>
      <c r="C189" s="100">
        <v>1980</v>
      </c>
      <c r="D189" s="257"/>
      <c r="E189" s="257"/>
      <c r="F189" s="257"/>
      <c r="G189" s="257"/>
      <c r="H189" s="325"/>
      <c r="I189" s="257"/>
      <c r="J189" s="257"/>
      <c r="K189" s="257"/>
      <c r="L189" s="257"/>
      <c r="M189" s="257"/>
      <c r="N189" s="257"/>
      <c r="O189" s="257"/>
      <c r="P189" s="257"/>
      <c r="Q189" s="100">
        <v>74</v>
      </c>
      <c r="R189" s="100">
        <v>18</v>
      </c>
      <c r="S189" s="100">
        <v>124</v>
      </c>
      <c r="T189" s="100">
        <v>74</v>
      </c>
      <c r="U189" s="100">
        <v>1690</v>
      </c>
      <c r="V189" s="100"/>
      <c r="W189" s="100"/>
      <c r="X189" s="100"/>
      <c r="Y189" s="100"/>
      <c r="Z189" s="257"/>
      <c r="AA189" s="257"/>
      <c r="AB189" s="257"/>
      <c r="AC189" s="257"/>
      <c r="AD189" s="257"/>
      <c r="AE189" s="258">
        <v>0.79307302236436228</v>
      </c>
      <c r="AG189" s="441">
        <v>61</v>
      </c>
      <c r="AH189" s="443">
        <v>818</v>
      </c>
      <c r="AJ189" s="88">
        <v>27</v>
      </c>
      <c r="AM189" s="88">
        <v>0</v>
      </c>
      <c r="AN189" s="88">
        <v>1</v>
      </c>
      <c r="AP189" s="88">
        <v>0</v>
      </c>
      <c r="AQ189" s="399">
        <v>0</v>
      </c>
      <c r="AR189" s="88">
        <v>301.2</v>
      </c>
      <c r="AU189" s="399">
        <v>82</v>
      </c>
      <c r="AV189" s="399">
        <v>503</v>
      </c>
      <c r="AY189" s="88">
        <v>0.1082</v>
      </c>
      <c r="AZ189" s="432">
        <v>547</v>
      </c>
      <c r="BA189" s="440">
        <v>734</v>
      </c>
      <c r="BC189" s="439">
        <v>0</v>
      </c>
      <c r="BD189" s="88">
        <v>0</v>
      </c>
      <c r="BE189" s="88">
        <v>0</v>
      </c>
      <c r="BF189" s="434">
        <v>-38206.934999999998</v>
      </c>
      <c r="BG189" s="100">
        <v>-39630.230000000003</v>
      </c>
      <c r="BH189" s="257"/>
      <c r="BI189" s="100"/>
      <c r="BJ189" s="257"/>
      <c r="BK189" s="100"/>
      <c r="BL189" s="100"/>
      <c r="BM189" s="100"/>
      <c r="BN189" s="257"/>
      <c r="BO189" s="100"/>
      <c r="BP189" s="100">
        <v>227685</v>
      </c>
      <c r="BQ189" s="100">
        <v>68669</v>
      </c>
      <c r="BR189" s="100">
        <v>174137.51447144392</v>
      </c>
      <c r="BS189" s="100">
        <v>9685.8543086534082</v>
      </c>
      <c r="BT189" s="100">
        <v>19472.155895094435</v>
      </c>
      <c r="BU189" s="100">
        <v>85293.422748963334</v>
      </c>
      <c r="BV189" s="100">
        <v>118840.12738225592</v>
      </c>
      <c r="BW189" s="100">
        <v>187810.57467574356</v>
      </c>
      <c r="BX189" s="100">
        <v>47927.062904270097</v>
      </c>
      <c r="BY189" s="100">
        <v>97253.69510786733</v>
      </c>
      <c r="BZ189" s="257"/>
      <c r="CA189" s="100"/>
      <c r="CB189" s="257"/>
      <c r="CC189" s="257"/>
      <c r="CD189" s="257"/>
      <c r="CE189" s="100">
        <v>136571.18834184707</v>
      </c>
      <c r="CF189" s="100">
        <v>75138.550309601444</v>
      </c>
      <c r="CG189" s="100">
        <v>66994.745459013429</v>
      </c>
      <c r="CH189" s="100">
        <v>413284.45775106637</v>
      </c>
      <c r="CI189" s="257"/>
      <c r="CJ189" s="437">
        <v>903365.75059115712</v>
      </c>
      <c r="CK189" s="404">
        <v>437948</v>
      </c>
      <c r="CL189" s="404"/>
      <c r="CM189" s="437">
        <v>-2983.6999999999971</v>
      </c>
      <c r="CO189" s="434">
        <v>-196405.88805883913</v>
      </c>
      <c r="CP189" s="437">
        <v>-137939.70556105376</v>
      </c>
      <c r="CQ189" s="437">
        <v>-179130.51137610813</v>
      </c>
      <c r="CR189" s="437">
        <v>68700.167033786798</v>
      </c>
      <c r="CS189" s="257"/>
    </row>
    <row r="190" spans="1:97" x14ac:dyDescent="0.2">
      <c r="A190" s="100">
        <v>609</v>
      </c>
      <c r="B190" s="100" t="s">
        <v>500</v>
      </c>
      <c r="C190" s="100">
        <v>83205</v>
      </c>
      <c r="D190" s="257"/>
      <c r="E190" s="257"/>
      <c r="F190" s="257"/>
      <c r="G190" s="257"/>
      <c r="H190" s="325"/>
      <c r="I190" s="257"/>
      <c r="J190" s="257"/>
      <c r="K190" s="257"/>
      <c r="L190" s="257"/>
      <c r="M190" s="257"/>
      <c r="N190" s="257"/>
      <c r="O190" s="257"/>
      <c r="P190" s="257"/>
      <c r="Q190" s="100">
        <v>3837</v>
      </c>
      <c r="R190" s="100">
        <v>722</v>
      </c>
      <c r="S190" s="100">
        <v>5008</v>
      </c>
      <c r="T190" s="100">
        <v>2573</v>
      </c>
      <c r="U190" s="100">
        <v>71065</v>
      </c>
      <c r="V190" s="100"/>
      <c r="W190" s="100"/>
      <c r="X190" s="100"/>
      <c r="Y190" s="100"/>
      <c r="Z190" s="257"/>
      <c r="AA190" s="257"/>
      <c r="AB190" s="257"/>
      <c r="AC190" s="257"/>
      <c r="AD190" s="257"/>
      <c r="AE190" s="258">
        <v>1.027121446920547</v>
      </c>
      <c r="AG190" s="441">
        <v>4203</v>
      </c>
      <c r="AH190" s="443">
        <v>38080</v>
      </c>
      <c r="AJ190" s="88">
        <v>3661</v>
      </c>
      <c r="AM190" s="88">
        <v>0</v>
      </c>
      <c r="AN190" s="88">
        <v>477</v>
      </c>
      <c r="AP190" s="88">
        <v>3</v>
      </c>
      <c r="AQ190" s="399">
        <v>893</v>
      </c>
      <c r="AR190" s="88">
        <v>1156.1600000000001</v>
      </c>
      <c r="AU190" s="399">
        <v>3063</v>
      </c>
      <c r="AV190" s="399">
        <v>24373</v>
      </c>
      <c r="AY190" s="88">
        <v>0</v>
      </c>
      <c r="AZ190" s="432">
        <v>34382</v>
      </c>
      <c r="BA190" s="440">
        <v>33504</v>
      </c>
      <c r="BC190" s="439">
        <v>0</v>
      </c>
      <c r="BD190" s="88">
        <v>0</v>
      </c>
      <c r="BE190" s="88">
        <v>1</v>
      </c>
      <c r="BF190" s="434">
        <v>-4534034.6824500002</v>
      </c>
      <c r="BG190" s="100">
        <v>-1607569.6400000001</v>
      </c>
      <c r="BH190" s="257"/>
      <c r="BI190" s="100"/>
      <c r="BJ190" s="257"/>
      <c r="BK190" s="100"/>
      <c r="BL190" s="100"/>
      <c r="BM190" s="100"/>
      <c r="BN190" s="257"/>
      <c r="BO190" s="100"/>
      <c r="BP190" s="100">
        <v>5977751</v>
      </c>
      <c r="BQ190" s="100">
        <v>2064395</v>
      </c>
      <c r="BR190" s="100">
        <v>4911326.5708868736</v>
      </c>
      <c r="BS190" s="100">
        <v>211502.83104590638</v>
      </c>
      <c r="BT190" s="100">
        <v>284484.42643885675</v>
      </c>
      <c r="BU190" s="100">
        <v>2351587.2856159857</v>
      </c>
      <c r="BV190" s="100">
        <v>4132607.3086933289</v>
      </c>
      <c r="BW190" s="100">
        <v>6287328.9725718396</v>
      </c>
      <c r="BX190" s="100">
        <v>2094464.6514643608</v>
      </c>
      <c r="BY190" s="100">
        <v>3575023.8903953033</v>
      </c>
      <c r="BZ190" s="257"/>
      <c r="CA190" s="100"/>
      <c r="CB190" s="257"/>
      <c r="CC190" s="257"/>
      <c r="CD190" s="257"/>
      <c r="CE190" s="100">
        <v>4862199.8474014718</v>
      </c>
      <c r="CF190" s="100">
        <v>2815404.6290616356</v>
      </c>
      <c r="CG190" s="100">
        <v>2807579.8272083229</v>
      </c>
      <c r="CH190" s="100">
        <v>13542361.845734052</v>
      </c>
      <c r="CI190" s="257"/>
      <c r="CJ190" s="437">
        <v>22686581.203463353</v>
      </c>
      <c r="CK190" s="404">
        <v>-5148538</v>
      </c>
      <c r="CL190" s="404"/>
      <c r="CM190" s="437">
        <v>-2762170.7179499986</v>
      </c>
      <c r="CO190" s="434">
        <v>-15803381.020001132</v>
      </c>
      <c r="CP190" s="437">
        <v>-4228464.7265034141</v>
      </c>
      <c r="CQ190" s="437">
        <v>-7527552.6257823613</v>
      </c>
      <c r="CR190" s="437">
        <v>2886968.3828516314</v>
      </c>
      <c r="CS190" s="257"/>
    </row>
    <row r="191" spans="1:97" x14ac:dyDescent="0.2">
      <c r="A191" s="100">
        <v>611</v>
      </c>
      <c r="B191" s="100" t="s">
        <v>501</v>
      </c>
      <c r="C191" s="100">
        <v>5011</v>
      </c>
      <c r="D191" s="257"/>
      <c r="E191" s="257"/>
      <c r="F191" s="257"/>
      <c r="G191" s="257"/>
      <c r="H191" s="325"/>
      <c r="I191" s="257"/>
      <c r="J191" s="257"/>
      <c r="K191" s="257"/>
      <c r="L191" s="257"/>
      <c r="M191" s="257"/>
      <c r="N191" s="257"/>
      <c r="O191" s="257"/>
      <c r="P191" s="257"/>
      <c r="Q191" s="100">
        <v>298</v>
      </c>
      <c r="R191" s="100">
        <v>53</v>
      </c>
      <c r="S191" s="100">
        <v>406</v>
      </c>
      <c r="T191" s="100">
        <v>241</v>
      </c>
      <c r="U191" s="100">
        <v>4013</v>
      </c>
      <c r="V191" s="100"/>
      <c r="W191" s="100"/>
      <c r="X191" s="100"/>
      <c r="Y191" s="100"/>
      <c r="Z191" s="257"/>
      <c r="AA191" s="257"/>
      <c r="AB191" s="257"/>
      <c r="AC191" s="257"/>
      <c r="AD191" s="257"/>
      <c r="AE191" s="258">
        <v>0.90441224319046887</v>
      </c>
      <c r="AG191" s="441">
        <v>147.5</v>
      </c>
      <c r="AH191" s="443">
        <v>2620</v>
      </c>
      <c r="AJ191" s="88">
        <v>193</v>
      </c>
      <c r="AM191" s="88">
        <v>0</v>
      </c>
      <c r="AN191" s="88">
        <v>110</v>
      </c>
      <c r="AP191" s="88">
        <v>0</v>
      </c>
      <c r="AQ191" s="399">
        <v>0</v>
      </c>
      <c r="AR191" s="88">
        <v>146.53</v>
      </c>
      <c r="AU191" s="399">
        <v>213</v>
      </c>
      <c r="AV191" s="399">
        <v>1691</v>
      </c>
      <c r="AY191" s="88">
        <v>0</v>
      </c>
      <c r="AZ191" s="432">
        <v>1051</v>
      </c>
      <c r="BA191" s="440">
        <v>2467</v>
      </c>
      <c r="BC191" s="439">
        <v>0</v>
      </c>
      <c r="BD191" s="88">
        <v>0</v>
      </c>
      <c r="BE191" s="88">
        <v>0</v>
      </c>
      <c r="BF191" s="434">
        <v>-106489.645</v>
      </c>
      <c r="BG191" s="100">
        <v>-97394.7</v>
      </c>
      <c r="BH191" s="257"/>
      <c r="BI191" s="100"/>
      <c r="BJ191" s="257"/>
      <c r="BK191" s="100"/>
      <c r="BL191" s="100"/>
      <c r="BM191" s="100"/>
      <c r="BN191" s="257"/>
      <c r="BO191" s="100"/>
      <c r="BP191" s="100">
        <v>383656</v>
      </c>
      <c r="BQ191" s="100">
        <v>117909</v>
      </c>
      <c r="BR191" s="100">
        <v>224768.97935533107</v>
      </c>
      <c r="BS191" s="100">
        <v>-45.47227589964298</v>
      </c>
      <c r="BT191" s="100">
        <v>9676.0617804857593</v>
      </c>
      <c r="BU191" s="100">
        <v>53223.876379360496</v>
      </c>
      <c r="BV191" s="100">
        <v>245023.06201938295</v>
      </c>
      <c r="BW191" s="100">
        <v>374090.33204037865</v>
      </c>
      <c r="BX191" s="100">
        <v>101058.82328673525</v>
      </c>
      <c r="BY191" s="100">
        <v>182531.78083425001</v>
      </c>
      <c r="BZ191" s="257"/>
      <c r="CA191" s="100"/>
      <c r="CB191" s="257"/>
      <c r="CC191" s="257"/>
      <c r="CD191" s="257"/>
      <c r="CE191" s="100">
        <v>234653.47370810778</v>
      </c>
      <c r="CF191" s="100">
        <v>155606.96812922566</v>
      </c>
      <c r="CG191" s="100">
        <v>160971.30774963091</v>
      </c>
      <c r="CH191" s="100">
        <v>719641.43990759377</v>
      </c>
      <c r="CI191" s="257"/>
      <c r="CJ191" s="437">
        <v>1127579.3538515638</v>
      </c>
      <c r="CK191" s="404">
        <v>-1350250</v>
      </c>
      <c r="CL191" s="404"/>
      <c r="CM191" s="437">
        <v>113649.13299999997</v>
      </c>
      <c r="CO191" s="434">
        <v>515497.77452653029</v>
      </c>
      <c r="CP191" s="434">
        <v>150474.38077836184</v>
      </c>
      <c r="CQ191" s="434">
        <v>-453344.9457099383</v>
      </c>
      <c r="CR191" s="434">
        <v>173866.93788197255</v>
      </c>
      <c r="CS191" s="257"/>
    </row>
    <row r="192" spans="1:97" x14ac:dyDescent="0.2">
      <c r="A192" s="100">
        <v>638</v>
      </c>
      <c r="B192" s="100" t="s">
        <v>515</v>
      </c>
      <c r="C192" s="100">
        <v>51232</v>
      </c>
      <c r="D192" s="257"/>
      <c r="E192" s="257"/>
      <c r="F192" s="257"/>
      <c r="G192" s="257"/>
      <c r="H192" s="325"/>
      <c r="I192" s="257"/>
      <c r="J192" s="257"/>
      <c r="K192" s="257"/>
      <c r="L192" s="257"/>
      <c r="M192" s="257"/>
      <c r="N192" s="257"/>
      <c r="O192" s="257"/>
      <c r="P192" s="257"/>
      <c r="Q192" s="100">
        <v>2797</v>
      </c>
      <c r="R192" s="100">
        <v>541</v>
      </c>
      <c r="S192" s="100">
        <v>3772</v>
      </c>
      <c r="T192" s="100">
        <v>1952</v>
      </c>
      <c r="U192" s="100">
        <v>42170</v>
      </c>
      <c r="V192" s="100"/>
      <c r="W192" s="100"/>
      <c r="X192" s="100"/>
      <c r="Y192" s="100"/>
      <c r="Z192" s="257"/>
      <c r="AA192" s="257"/>
      <c r="AB192" s="257"/>
      <c r="AC192" s="257"/>
      <c r="AD192" s="257"/>
      <c r="AE192" s="258">
        <v>1.0649818676587159</v>
      </c>
      <c r="AG192" s="441">
        <v>2342</v>
      </c>
      <c r="AH192" s="443">
        <v>24746</v>
      </c>
      <c r="AJ192" s="88">
        <v>4054</v>
      </c>
      <c r="AM192" s="88">
        <v>1</v>
      </c>
      <c r="AN192" s="88">
        <v>14445</v>
      </c>
      <c r="AP192" s="88">
        <v>3</v>
      </c>
      <c r="AQ192" s="399">
        <v>1735</v>
      </c>
      <c r="AR192" s="88">
        <v>654.55999999999995</v>
      </c>
      <c r="AU192" s="399">
        <v>2231</v>
      </c>
      <c r="AV192" s="399">
        <v>16560</v>
      </c>
      <c r="AY192" s="88">
        <v>0</v>
      </c>
      <c r="AZ192" s="432">
        <v>20904</v>
      </c>
      <c r="BA192" s="440">
        <v>22682</v>
      </c>
      <c r="BC192" s="439">
        <v>0.56000000000000005</v>
      </c>
      <c r="BD192" s="88">
        <v>0</v>
      </c>
      <c r="BE192" s="88">
        <v>1</v>
      </c>
      <c r="BF192" s="434">
        <v>-2424821.0253499998</v>
      </c>
      <c r="BG192" s="100">
        <v>-972390.99</v>
      </c>
      <c r="BH192" s="257"/>
      <c r="BI192" s="100"/>
      <c r="BJ192" s="257"/>
      <c r="BK192" s="100"/>
      <c r="BL192" s="100"/>
      <c r="BM192" s="100"/>
      <c r="BN192" s="257"/>
      <c r="BO192" s="100"/>
      <c r="BP192" s="100">
        <v>3312713</v>
      </c>
      <c r="BQ192" s="100">
        <v>1135672</v>
      </c>
      <c r="BR192" s="100">
        <v>2360718.5689561497</v>
      </c>
      <c r="BS192" s="100">
        <v>50410.920736742679</v>
      </c>
      <c r="BT192" s="100">
        <v>227364.6802771861</v>
      </c>
      <c r="BU192" s="100">
        <v>805241.288831554</v>
      </c>
      <c r="BV192" s="100">
        <v>2210620.0389931998</v>
      </c>
      <c r="BW192" s="100">
        <v>3474053.0905961739</v>
      </c>
      <c r="BX192" s="100">
        <v>1103991.4519041427</v>
      </c>
      <c r="BY192" s="100">
        <v>1855402.0311445042</v>
      </c>
      <c r="BZ192" s="257"/>
      <c r="CA192" s="100"/>
      <c r="CB192" s="257"/>
      <c r="CC192" s="257"/>
      <c r="CD192" s="257"/>
      <c r="CE192" s="100">
        <v>2362034.7201200691</v>
      </c>
      <c r="CF192" s="100">
        <v>1514885.2425711711</v>
      </c>
      <c r="CG192" s="100">
        <v>1542702.0744774095</v>
      </c>
      <c r="CH192" s="100">
        <v>7324920.5436812136</v>
      </c>
      <c r="CI192" s="257"/>
      <c r="CJ192" s="437">
        <v>-3446951.8996120552</v>
      </c>
      <c r="CK192" s="404">
        <v>-1517292</v>
      </c>
      <c r="CL192" s="404"/>
      <c r="CM192" s="437">
        <v>-637045.31145000039</v>
      </c>
      <c r="CO192" s="434">
        <v>14516310.715395993</v>
      </c>
      <c r="CP192" s="437">
        <v>5399820.9806399001</v>
      </c>
      <c r="CQ192" s="437">
        <v>-4634956.7468791772</v>
      </c>
      <c r="CR192" s="437">
        <v>1777599.4734722048</v>
      </c>
      <c r="CS192" s="257"/>
    </row>
    <row r="193" spans="1:97" x14ac:dyDescent="0.2">
      <c r="A193" s="100">
        <v>614</v>
      </c>
      <c r="B193" s="100" t="s">
        <v>502</v>
      </c>
      <c r="C193" s="100">
        <v>2999</v>
      </c>
      <c r="D193" s="257"/>
      <c r="E193" s="257"/>
      <c r="F193" s="257"/>
      <c r="G193" s="257"/>
      <c r="H193" s="325"/>
      <c r="I193" s="257"/>
      <c r="J193" s="257"/>
      <c r="K193" s="257"/>
      <c r="L193" s="257"/>
      <c r="M193" s="257"/>
      <c r="N193" s="257"/>
      <c r="O193" s="257"/>
      <c r="P193" s="257"/>
      <c r="Q193" s="100">
        <v>73</v>
      </c>
      <c r="R193" s="100">
        <v>14</v>
      </c>
      <c r="S193" s="100">
        <v>111</v>
      </c>
      <c r="T193" s="100">
        <v>62</v>
      </c>
      <c r="U193" s="100">
        <v>2739</v>
      </c>
      <c r="V193" s="100"/>
      <c r="W193" s="100"/>
      <c r="X193" s="100"/>
      <c r="Y193" s="100"/>
      <c r="Z193" s="257"/>
      <c r="AA193" s="257"/>
      <c r="AB193" s="257"/>
      <c r="AC193" s="257"/>
      <c r="AD193" s="257"/>
      <c r="AE193" s="258">
        <v>1.0182747329668853</v>
      </c>
      <c r="AG193" s="441">
        <v>177.25</v>
      </c>
      <c r="AH193" s="443">
        <v>1178</v>
      </c>
      <c r="AJ193" s="88">
        <v>56</v>
      </c>
      <c r="AM193" s="88">
        <v>0</v>
      </c>
      <c r="AN193" s="88">
        <v>3</v>
      </c>
      <c r="AP193" s="88">
        <v>0</v>
      </c>
      <c r="AQ193" s="399">
        <v>0</v>
      </c>
      <c r="AR193" s="88">
        <v>3039.68</v>
      </c>
      <c r="AU193" s="399">
        <v>87</v>
      </c>
      <c r="AV193" s="399">
        <v>636</v>
      </c>
      <c r="AY193" s="88">
        <v>1.8032166666666667</v>
      </c>
      <c r="AZ193" s="432">
        <v>890</v>
      </c>
      <c r="BA193" s="440">
        <v>1001</v>
      </c>
      <c r="BC193" s="439">
        <v>0</v>
      </c>
      <c r="BD193" s="88">
        <v>0</v>
      </c>
      <c r="BE193" s="88">
        <v>1</v>
      </c>
      <c r="BF193" s="434">
        <v>-40823.815000000002</v>
      </c>
      <c r="BG193" s="100">
        <v>-59877.57</v>
      </c>
      <c r="BH193" s="257"/>
      <c r="BI193" s="100"/>
      <c r="BJ193" s="257"/>
      <c r="BK193" s="100"/>
      <c r="BL193" s="100"/>
      <c r="BM193" s="100"/>
      <c r="BN193" s="257"/>
      <c r="BO193" s="100"/>
      <c r="BP193" s="100">
        <v>388225</v>
      </c>
      <c r="BQ193" s="100">
        <v>132356</v>
      </c>
      <c r="BR193" s="100">
        <v>346191.88857336773</v>
      </c>
      <c r="BS193" s="100">
        <v>20772.919122280637</v>
      </c>
      <c r="BT193" s="100">
        <v>57066.918804224668</v>
      </c>
      <c r="BU193" s="100">
        <v>160530.74774145751</v>
      </c>
      <c r="BV193" s="100">
        <v>211708.16998792533</v>
      </c>
      <c r="BW193" s="100">
        <v>327515.57281035808</v>
      </c>
      <c r="BX193" s="100">
        <v>96131.702109409453</v>
      </c>
      <c r="BY193" s="100">
        <v>174842.47341730597</v>
      </c>
      <c r="BZ193" s="257"/>
      <c r="CA193" s="100"/>
      <c r="CB193" s="257"/>
      <c r="CC193" s="257"/>
      <c r="CD193" s="257"/>
      <c r="CE193" s="100">
        <v>246134.04062313441</v>
      </c>
      <c r="CF193" s="100">
        <v>119479.12906191329</v>
      </c>
      <c r="CG193" s="100">
        <v>111221.10715250093</v>
      </c>
      <c r="CH193" s="100">
        <v>769000.93389053084</v>
      </c>
      <c r="CI193" s="257"/>
      <c r="CJ193" s="437">
        <v>1516639.8992714647</v>
      </c>
      <c r="CK193" s="404">
        <v>78917</v>
      </c>
      <c r="CL193" s="404"/>
      <c r="CM193" s="437">
        <v>-11934.800000000001</v>
      </c>
      <c r="CO193" s="434">
        <v>-682854.07260318694</v>
      </c>
      <c r="CP193" s="437">
        <v>-411228.793474084</v>
      </c>
      <c r="CQ193" s="437">
        <v>-271319.39576613548</v>
      </c>
      <c r="CR193" s="437">
        <v>104056.46511834676</v>
      </c>
      <c r="CS193" s="257"/>
    </row>
    <row r="194" spans="1:97" x14ac:dyDescent="0.2">
      <c r="A194" s="100">
        <v>615</v>
      </c>
      <c r="B194" s="100" t="s">
        <v>503</v>
      </c>
      <c r="C194" s="100">
        <v>7603</v>
      </c>
      <c r="D194" s="257"/>
      <c r="E194" s="257"/>
      <c r="F194" s="257"/>
      <c r="G194" s="257"/>
      <c r="H194" s="325"/>
      <c r="I194" s="257"/>
      <c r="J194" s="257"/>
      <c r="K194" s="257"/>
      <c r="L194" s="257"/>
      <c r="M194" s="257"/>
      <c r="N194" s="257"/>
      <c r="O194" s="257"/>
      <c r="P194" s="257"/>
      <c r="Q194" s="100">
        <v>340</v>
      </c>
      <c r="R194" s="100">
        <v>67</v>
      </c>
      <c r="S194" s="100">
        <v>549</v>
      </c>
      <c r="T194" s="100">
        <v>273</v>
      </c>
      <c r="U194" s="100">
        <v>6374</v>
      </c>
      <c r="V194" s="100"/>
      <c r="W194" s="100"/>
      <c r="X194" s="100"/>
      <c r="Y194" s="100"/>
      <c r="Z194" s="257"/>
      <c r="AA194" s="257"/>
      <c r="AB194" s="257"/>
      <c r="AC194" s="257"/>
      <c r="AD194" s="257"/>
      <c r="AE194" s="258">
        <v>0.74750319489420158</v>
      </c>
      <c r="AG194" s="441">
        <v>368</v>
      </c>
      <c r="AH194" s="443">
        <v>2936</v>
      </c>
      <c r="AJ194" s="88">
        <v>190</v>
      </c>
      <c r="AM194" s="88">
        <v>0</v>
      </c>
      <c r="AN194" s="88">
        <v>9</v>
      </c>
      <c r="AP194" s="88">
        <v>0</v>
      </c>
      <c r="AQ194" s="399">
        <v>0</v>
      </c>
      <c r="AR194" s="88">
        <v>5638.67</v>
      </c>
      <c r="AU194" s="399">
        <v>259</v>
      </c>
      <c r="AV194" s="399">
        <v>1755</v>
      </c>
      <c r="AY194" s="88">
        <v>1.5287166666666667</v>
      </c>
      <c r="AZ194" s="432">
        <v>2494</v>
      </c>
      <c r="BA194" s="440">
        <v>2499</v>
      </c>
      <c r="BC194" s="439">
        <v>0</v>
      </c>
      <c r="BD194" s="88">
        <v>0</v>
      </c>
      <c r="BE194" s="88">
        <v>1</v>
      </c>
      <c r="BF194" s="434">
        <v>-260506.4215</v>
      </c>
      <c r="BG194" s="100">
        <v>-149434.59</v>
      </c>
      <c r="BH194" s="257"/>
      <c r="BI194" s="100"/>
      <c r="BJ194" s="257"/>
      <c r="BK194" s="100"/>
      <c r="BL194" s="100"/>
      <c r="BM194" s="100"/>
      <c r="BN194" s="257"/>
      <c r="BO194" s="100"/>
      <c r="BP194" s="100">
        <v>805732</v>
      </c>
      <c r="BQ194" s="100">
        <v>241095</v>
      </c>
      <c r="BR194" s="100">
        <v>688020.98312893382</v>
      </c>
      <c r="BS194" s="100">
        <v>36509.242249512936</v>
      </c>
      <c r="BT194" s="100">
        <v>95626.548892238308</v>
      </c>
      <c r="BU194" s="100">
        <v>348466.62608508661</v>
      </c>
      <c r="BV194" s="100">
        <v>455622.06844321423</v>
      </c>
      <c r="BW194" s="100">
        <v>656757.20291132282</v>
      </c>
      <c r="BX194" s="100">
        <v>192948.82523202122</v>
      </c>
      <c r="BY194" s="100">
        <v>373608.37530788733</v>
      </c>
      <c r="BZ194" s="257"/>
      <c r="CA194" s="100"/>
      <c r="CB194" s="257"/>
      <c r="CC194" s="257"/>
      <c r="CD194" s="257"/>
      <c r="CE194" s="100">
        <v>508458.22630120337</v>
      </c>
      <c r="CF194" s="100">
        <v>277970.89200871246</v>
      </c>
      <c r="CG194" s="100">
        <v>273558.71522533783</v>
      </c>
      <c r="CH194" s="100">
        <v>1557067.0265398102</v>
      </c>
      <c r="CI194" s="257"/>
      <c r="CJ194" s="437">
        <v>3665159.1393682896</v>
      </c>
      <c r="CK194" s="404">
        <v>122744</v>
      </c>
      <c r="CL194" s="404"/>
      <c r="CM194" s="437">
        <v>9711.9435000000231</v>
      </c>
      <c r="CO194" s="434">
        <v>2045003.2647729912</v>
      </c>
      <c r="CP194" s="437">
        <v>348662.56352347316</v>
      </c>
      <c r="CQ194" s="437">
        <v>-687843.06969320704</v>
      </c>
      <c r="CR194" s="437">
        <v>263801.70199892978</v>
      </c>
      <c r="CS194" s="257"/>
    </row>
    <row r="195" spans="1:97" x14ac:dyDescent="0.2">
      <c r="A195" s="100">
        <v>616</v>
      </c>
      <c r="B195" s="100" t="s">
        <v>504</v>
      </c>
      <c r="C195" s="100">
        <v>1807</v>
      </c>
      <c r="D195" s="257"/>
      <c r="E195" s="257"/>
      <c r="F195" s="257"/>
      <c r="G195" s="257"/>
      <c r="H195" s="325"/>
      <c r="I195" s="257"/>
      <c r="J195" s="257"/>
      <c r="K195" s="257"/>
      <c r="L195" s="257"/>
      <c r="M195" s="257"/>
      <c r="N195" s="257"/>
      <c r="O195" s="257"/>
      <c r="P195" s="257"/>
      <c r="Q195" s="100">
        <v>77</v>
      </c>
      <c r="R195" s="100">
        <v>20</v>
      </c>
      <c r="S195" s="100">
        <v>128</v>
      </c>
      <c r="T195" s="100">
        <v>59</v>
      </c>
      <c r="U195" s="100">
        <v>1523</v>
      </c>
      <c r="V195" s="100"/>
      <c r="W195" s="100"/>
      <c r="X195" s="100"/>
      <c r="Y195" s="100"/>
      <c r="Z195" s="257"/>
      <c r="AA195" s="257"/>
      <c r="AB195" s="257"/>
      <c r="AC195" s="257"/>
      <c r="AD195" s="257"/>
      <c r="AE195" s="258">
        <v>0.88904486660003479</v>
      </c>
      <c r="AG195" s="441">
        <v>79.5</v>
      </c>
      <c r="AH195" s="443">
        <v>897</v>
      </c>
      <c r="AJ195" s="88">
        <v>54</v>
      </c>
      <c r="AM195" s="88">
        <v>0</v>
      </c>
      <c r="AN195" s="88">
        <v>15</v>
      </c>
      <c r="AP195" s="88">
        <v>0</v>
      </c>
      <c r="AQ195" s="399">
        <v>0</v>
      </c>
      <c r="AR195" s="88">
        <v>145.09</v>
      </c>
      <c r="AU195" s="399">
        <v>68</v>
      </c>
      <c r="AV195" s="399">
        <v>537</v>
      </c>
      <c r="AY195" s="88">
        <v>0</v>
      </c>
      <c r="AZ195" s="432">
        <v>495</v>
      </c>
      <c r="BA195" s="440">
        <v>807</v>
      </c>
      <c r="BC195" s="439">
        <v>0</v>
      </c>
      <c r="BD195" s="88">
        <v>0</v>
      </c>
      <c r="BE195" s="88">
        <v>0</v>
      </c>
      <c r="BF195" s="434">
        <v>-46000.584999999999</v>
      </c>
      <c r="BG195" s="100">
        <v>-35211.93</v>
      </c>
      <c r="BH195" s="257"/>
      <c r="BI195" s="100"/>
      <c r="BJ195" s="257"/>
      <c r="BK195" s="100"/>
      <c r="BL195" s="100"/>
      <c r="BM195" s="100"/>
      <c r="BN195" s="257"/>
      <c r="BO195" s="100"/>
      <c r="BP195" s="100">
        <v>169950</v>
      </c>
      <c r="BQ195" s="100">
        <v>60269</v>
      </c>
      <c r="BR195" s="100">
        <v>134916.29841328936</v>
      </c>
      <c r="BS195" s="100">
        <v>5613.3109009170948</v>
      </c>
      <c r="BT195" s="100">
        <v>26742.799375526462</v>
      </c>
      <c r="BU195" s="100">
        <v>40079.038482578464</v>
      </c>
      <c r="BV195" s="100">
        <v>126662.72441790301</v>
      </c>
      <c r="BW195" s="100">
        <v>192233.72481729407</v>
      </c>
      <c r="BX195" s="100">
        <v>54526.841074924756</v>
      </c>
      <c r="BY195" s="100">
        <v>91988.066537506427</v>
      </c>
      <c r="BZ195" s="257"/>
      <c r="CA195" s="100"/>
      <c r="CB195" s="257"/>
      <c r="CC195" s="257"/>
      <c r="CD195" s="257"/>
      <c r="CE195" s="100">
        <v>123308.51827207985</v>
      </c>
      <c r="CF195" s="100">
        <v>73576.473385919075</v>
      </c>
      <c r="CG195" s="100">
        <v>73236.006387891539</v>
      </c>
      <c r="CH195" s="100">
        <v>380148.71369228436</v>
      </c>
      <c r="CI195" s="257"/>
      <c r="CJ195" s="437">
        <v>779712.87489525776</v>
      </c>
      <c r="CK195" s="404">
        <v>-497012</v>
      </c>
      <c r="CL195" s="404"/>
      <c r="CM195" s="437">
        <v>-657756.66500000004</v>
      </c>
      <c r="CO195" s="434">
        <v>-211965.65066090974</v>
      </c>
      <c r="CP195" s="437">
        <v>-150098.51403204093</v>
      </c>
      <c r="CQ195" s="437">
        <v>-163479.20911950877</v>
      </c>
      <c r="CR195" s="437">
        <v>62697.576681844817</v>
      </c>
      <c r="CS195" s="257"/>
    </row>
    <row r="196" spans="1:97" x14ac:dyDescent="0.2">
      <c r="A196" s="100">
        <v>619</v>
      </c>
      <c r="B196" s="100" t="s">
        <v>505</v>
      </c>
      <c r="C196" s="100">
        <v>2675</v>
      </c>
      <c r="D196" s="257"/>
      <c r="E196" s="257"/>
      <c r="F196" s="257"/>
      <c r="G196" s="257"/>
      <c r="H196" s="325"/>
      <c r="I196" s="257"/>
      <c r="J196" s="257"/>
      <c r="K196" s="257"/>
      <c r="L196" s="257"/>
      <c r="M196" s="257"/>
      <c r="N196" s="257"/>
      <c r="O196" s="257"/>
      <c r="P196" s="257"/>
      <c r="Q196" s="100">
        <v>95</v>
      </c>
      <c r="R196" s="100">
        <v>28</v>
      </c>
      <c r="S196" s="100">
        <v>136</v>
      </c>
      <c r="T196" s="100">
        <v>84</v>
      </c>
      <c r="U196" s="100">
        <v>2332</v>
      </c>
      <c r="V196" s="100"/>
      <c r="W196" s="100"/>
      <c r="X196" s="100"/>
      <c r="Y196" s="100"/>
      <c r="Z196" s="257"/>
      <c r="AA196" s="257"/>
      <c r="AB196" s="257"/>
      <c r="AC196" s="257"/>
      <c r="AD196" s="257"/>
      <c r="AE196" s="258">
        <v>0.91208391627697649</v>
      </c>
      <c r="AG196" s="441">
        <v>61.083333333333336</v>
      </c>
      <c r="AH196" s="443">
        <v>1093</v>
      </c>
      <c r="AJ196" s="88">
        <v>81</v>
      </c>
      <c r="AM196" s="88">
        <v>0</v>
      </c>
      <c r="AN196" s="88">
        <v>2</v>
      </c>
      <c r="AP196" s="88">
        <v>0</v>
      </c>
      <c r="AQ196" s="399">
        <v>0</v>
      </c>
      <c r="AR196" s="88">
        <v>361.1</v>
      </c>
      <c r="AU196" s="399">
        <v>114</v>
      </c>
      <c r="AV196" s="399">
        <v>662</v>
      </c>
      <c r="AY196" s="88">
        <v>0.47946666666666665</v>
      </c>
      <c r="AZ196" s="432">
        <v>769</v>
      </c>
      <c r="BA196" s="440">
        <v>955</v>
      </c>
      <c r="BC196" s="439">
        <v>0</v>
      </c>
      <c r="BD196" s="88">
        <v>0</v>
      </c>
      <c r="BE196" s="88">
        <v>0</v>
      </c>
      <c r="BF196" s="434">
        <v>-103190.68</v>
      </c>
      <c r="BG196" s="100">
        <v>-53499.850000000006</v>
      </c>
      <c r="BH196" s="257"/>
      <c r="BI196" s="100"/>
      <c r="BJ196" s="257"/>
      <c r="BK196" s="100"/>
      <c r="BL196" s="100"/>
      <c r="BM196" s="100"/>
      <c r="BN196" s="257"/>
      <c r="BO196" s="100"/>
      <c r="BP196" s="100">
        <v>336617</v>
      </c>
      <c r="BQ196" s="100">
        <v>105974</v>
      </c>
      <c r="BR196" s="100">
        <v>275176.42614633241</v>
      </c>
      <c r="BS196" s="100">
        <v>17270.633688822705</v>
      </c>
      <c r="BT196" s="100">
        <v>36750.650098258549</v>
      </c>
      <c r="BU196" s="100">
        <v>126163.3288833969</v>
      </c>
      <c r="BV196" s="100">
        <v>187520.19939022846</v>
      </c>
      <c r="BW196" s="100">
        <v>296557.11276921572</v>
      </c>
      <c r="BX196" s="100">
        <v>89942.95135549175</v>
      </c>
      <c r="BY196" s="100">
        <v>155477.05861407673</v>
      </c>
      <c r="BZ196" s="257"/>
      <c r="CA196" s="100"/>
      <c r="CB196" s="257"/>
      <c r="CC196" s="257"/>
      <c r="CD196" s="257"/>
      <c r="CE196" s="100">
        <v>222713.93433008689</v>
      </c>
      <c r="CF196" s="100">
        <v>118045.23278182595</v>
      </c>
      <c r="CG196" s="100">
        <v>111342.96420507933</v>
      </c>
      <c r="CH196" s="100">
        <v>688811.51824984758</v>
      </c>
      <c r="CI196" s="257"/>
      <c r="CJ196" s="437">
        <v>1560511.2675316883</v>
      </c>
      <c r="CK196" s="404">
        <v>64913</v>
      </c>
      <c r="CL196" s="404"/>
      <c r="CM196" s="437">
        <v>207516.33500000002</v>
      </c>
      <c r="CO196" s="434">
        <v>773432.83632583905</v>
      </c>
      <c r="CP196" s="437">
        <v>385588.69198247936</v>
      </c>
      <c r="CQ196" s="437">
        <v>-242007.13026822687</v>
      </c>
      <c r="CR196" s="437">
        <v>92814.619603727115</v>
      </c>
      <c r="CS196" s="257"/>
    </row>
    <row r="197" spans="1:97" x14ac:dyDescent="0.2">
      <c r="A197" s="100">
        <v>620</v>
      </c>
      <c r="B197" s="100" t="s">
        <v>506</v>
      </c>
      <c r="C197" s="100">
        <v>2380</v>
      </c>
      <c r="D197" s="257"/>
      <c r="E197" s="257"/>
      <c r="F197" s="257"/>
      <c r="G197" s="257"/>
      <c r="H197" s="325"/>
      <c r="I197" s="257"/>
      <c r="J197" s="257"/>
      <c r="K197" s="257"/>
      <c r="L197" s="257"/>
      <c r="M197" s="257"/>
      <c r="N197" s="257"/>
      <c r="O197" s="257"/>
      <c r="P197" s="257"/>
      <c r="Q197" s="100">
        <v>57</v>
      </c>
      <c r="R197" s="100">
        <v>13</v>
      </c>
      <c r="S197" s="100">
        <v>94</v>
      </c>
      <c r="T197" s="100">
        <v>56</v>
      </c>
      <c r="U197" s="100">
        <v>2160</v>
      </c>
      <c r="V197" s="100"/>
      <c r="W197" s="100"/>
      <c r="X197" s="100"/>
      <c r="Y197" s="100"/>
      <c r="Z197" s="257"/>
      <c r="AA197" s="257"/>
      <c r="AB197" s="257"/>
      <c r="AC197" s="257"/>
      <c r="AD197" s="257"/>
      <c r="AE197" s="258">
        <v>0.69530848443333626</v>
      </c>
      <c r="AG197" s="441">
        <v>134.16666666666666</v>
      </c>
      <c r="AH197" s="443">
        <v>936</v>
      </c>
      <c r="AJ197" s="88">
        <v>42</v>
      </c>
      <c r="AM197" s="88">
        <v>0</v>
      </c>
      <c r="AN197" s="88">
        <v>5</v>
      </c>
      <c r="AP197" s="88">
        <v>0</v>
      </c>
      <c r="AQ197" s="399">
        <v>0</v>
      </c>
      <c r="AR197" s="88">
        <v>2461.17</v>
      </c>
      <c r="AU197" s="399">
        <v>72</v>
      </c>
      <c r="AV197" s="399">
        <v>471</v>
      </c>
      <c r="AY197" s="88">
        <v>1.79895</v>
      </c>
      <c r="AZ197" s="432">
        <v>629</v>
      </c>
      <c r="BA197" s="440">
        <v>714</v>
      </c>
      <c r="BC197" s="439">
        <v>0</v>
      </c>
      <c r="BD197" s="88">
        <v>0</v>
      </c>
      <c r="BE197" s="88">
        <v>1</v>
      </c>
      <c r="BF197" s="434">
        <v>-53154.83</v>
      </c>
      <c r="BG197" s="100">
        <v>-47852.11</v>
      </c>
      <c r="BH197" s="257"/>
      <c r="BI197" s="100"/>
      <c r="BJ197" s="257"/>
      <c r="BK197" s="100"/>
      <c r="BL197" s="100"/>
      <c r="BM197" s="100"/>
      <c r="BN197" s="257"/>
      <c r="BO197" s="100"/>
      <c r="BP197" s="100">
        <v>322815</v>
      </c>
      <c r="BQ197" s="100">
        <v>97700</v>
      </c>
      <c r="BR197" s="100">
        <v>244790.15556027857</v>
      </c>
      <c r="BS197" s="100">
        <v>14632.251434991533</v>
      </c>
      <c r="BT197" s="100">
        <v>24727.255836303801</v>
      </c>
      <c r="BU197" s="100">
        <v>130873.78517567727</v>
      </c>
      <c r="BV197" s="100">
        <v>148340.09179502461</v>
      </c>
      <c r="BW197" s="100">
        <v>236625.14772444111</v>
      </c>
      <c r="BX197" s="100">
        <v>72430.377757550363</v>
      </c>
      <c r="BY197" s="100">
        <v>137823.41903855279</v>
      </c>
      <c r="BZ197" s="257"/>
      <c r="CA197" s="100"/>
      <c r="CB197" s="257"/>
      <c r="CC197" s="257"/>
      <c r="CD197" s="257"/>
      <c r="CE197" s="100">
        <v>182730.18673995262</v>
      </c>
      <c r="CF197" s="100">
        <v>94781.972079031737</v>
      </c>
      <c r="CG197" s="100">
        <v>87076.799758604495</v>
      </c>
      <c r="CH197" s="100">
        <v>591004.61593204807</v>
      </c>
      <c r="CI197" s="257"/>
      <c r="CJ197" s="437">
        <v>795721.41825120139</v>
      </c>
      <c r="CK197" s="404">
        <v>77148</v>
      </c>
      <c r="CL197" s="404"/>
      <c r="CM197" s="437">
        <v>-34237.957500000011</v>
      </c>
      <c r="CO197" s="434">
        <v>279794.15762421762</v>
      </c>
      <c r="CP197" s="437">
        <v>334799.49566403922</v>
      </c>
      <c r="CQ197" s="437">
        <v>-215318.49347229156</v>
      </c>
      <c r="CR197" s="437">
        <v>82578.988656774032</v>
      </c>
      <c r="CS197" s="257"/>
    </row>
    <row r="198" spans="1:97" x14ac:dyDescent="0.2">
      <c r="A198" s="100">
        <v>623</v>
      </c>
      <c r="B198" s="100" t="s">
        <v>507</v>
      </c>
      <c r="C198" s="100">
        <v>2107</v>
      </c>
      <c r="D198" s="257"/>
      <c r="E198" s="257"/>
      <c r="F198" s="257"/>
      <c r="G198" s="257"/>
      <c r="H198" s="325"/>
      <c r="I198" s="257"/>
      <c r="J198" s="257"/>
      <c r="K198" s="257"/>
      <c r="L198" s="257"/>
      <c r="M198" s="257"/>
      <c r="N198" s="257"/>
      <c r="O198" s="257"/>
      <c r="P198" s="257"/>
      <c r="Q198" s="100">
        <v>50</v>
      </c>
      <c r="R198" s="100">
        <v>6</v>
      </c>
      <c r="S198" s="100">
        <v>54</v>
      </c>
      <c r="T198" s="100">
        <v>39</v>
      </c>
      <c r="U198" s="100">
        <v>1958</v>
      </c>
      <c r="V198" s="100"/>
      <c r="W198" s="100"/>
      <c r="X198" s="100"/>
      <c r="Y198" s="100"/>
      <c r="Z198" s="257"/>
      <c r="AA198" s="257"/>
      <c r="AB198" s="257"/>
      <c r="AC198" s="257"/>
      <c r="AD198" s="257"/>
      <c r="AE198" s="258">
        <v>0.79310008964017709</v>
      </c>
      <c r="AG198" s="441">
        <v>68.5</v>
      </c>
      <c r="AH198" s="443">
        <v>819</v>
      </c>
      <c r="AJ198" s="88">
        <v>52</v>
      </c>
      <c r="AM198" s="88">
        <v>0</v>
      </c>
      <c r="AN198" s="88">
        <v>5</v>
      </c>
      <c r="AP198" s="88">
        <v>1</v>
      </c>
      <c r="AQ198" s="399">
        <v>0</v>
      </c>
      <c r="AR198" s="88">
        <v>794.11</v>
      </c>
      <c r="AU198" s="399">
        <v>70</v>
      </c>
      <c r="AV198" s="399">
        <v>442</v>
      </c>
      <c r="AY198" s="88">
        <v>1.7429666666666668</v>
      </c>
      <c r="AZ198" s="432">
        <v>593</v>
      </c>
      <c r="BA198" s="440">
        <v>759</v>
      </c>
      <c r="BC198" s="439">
        <v>0</v>
      </c>
      <c r="BD198" s="88">
        <v>0</v>
      </c>
      <c r="BE198" s="88">
        <v>0</v>
      </c>
      <c r="BF198" s="434">
        <v>-44494.63</v>
      </c>
      <c r="BG198" s="100">
        <v>-41051.770000000004</v>
      </c>
      <c r="BH198" s="257"/>
      <c r="BI198" s="100"/>
      <c r="BJ198" s="257"/>
      <c r="BK198" s="100"/>
      <c r="BL198" s="100"/>
      <c r="BM198" s="100"/>
      <c r="BN198" s="257"/>
      <c r="BO198" s="100"/>
      <c r="BP198" s="100">
        <v>306712</v>
      </c>
      <c r="BQ198" s="100">
        <v>80932</v>
      </c>
      <c r="BR198" s="100">
        <v>212840.17227451561</v>
      </c>
      <c r="BS198" s="100">
        <v>11757.206041825455</v>
      </c>
      <c r="BT198" s="100">
        <v>28178.923088862364</v>
      </c>
      <c r="BU198" s="100">
        <v>96841.916664258693</v>
      </c>
      <c r="BV198" s="100">
        <v>115917.57965680344</v>
      </c>
      <c r="BW198" s="100">
        <v>195401.13376254923</v>
      </c>
      <c r="BX198" s="100">
        <v>64132.152054768645</v>
      </c>
      <c r="BY198" s="100">
        <v>103884.00046307367</v>
      </c>
      <c r="BZ198" s="257"/>
      <c r="CA198" s="100"/>
      <c r="CB198" s="257"/>
      <c r="CC198" s="257"/>
      <c r="CD198" s="257"/>
      <c r="CE198" s="100">
        <v>147871.35475768524</v>
      </c>
      <c r="CF198" s="100">
        <v>77000.090780405691</v>
      </c>
      <c r="CG198" s="100">
        <v>74300.180469895029</v>
      </c>
      <c r="CH198" s="100">
        <v>474537.06906927645</v>
      </c>
      <c r="CI198" s="257"/>
      <c r="CJ198" s="437">
        <v>-71486.339083328654</v>
      </c>
      <c r="CK198" s="404">
        <v>-516181</v>
      </c>
      <c r="CL198" s="404"/>
      <c r="CM198" s="437">
        <v>-65641.400000000009</v>
      </c>
      <c r="CO198" s="434">
        <v>507283.70732909255</v>
      </c>
      <c r="CP198" s="437">
        <v>102483.9124196209</v>
      </c>
      <c r="CQ198" s="437">
        <v>-190620.19569164637</v>
      </c>
      <c r="CR198" s="437">
        <v>73106.692899085247</v>
      </c>
      <c r="CS198" s="257"/>
    </row>
    <row r="199" spans="1:97" x14ac:dyDescent="0.2">
      <c r="A199" s="100">
        <v>624</v>
      </c>
      <c r="B199" s="100" t="s">
        <v>508</v>
      </c>
      <c r="C199" s="100">
        <v>5117</v>
      </c>
      <c r="D199" s="257"/>
      <c r="E199" s="257"/>
      <c r="F199" s="257"/>
      <c r="G199" s="257"/>
      <c r="H199" s="325"/>
      <c r="I199" s="257"/>
      <c r="J199" s="257"/>
      <c r="K199" s="257"/>
      <c r="L199" s="257"/>
      <c r="M199" s="257"/>
      <c r="N199" s="257"/>
      <c r="O199" s="257"/>
      <c r="P199" s="257"/>
      <c r="Q199" s="100">
        <v>234</v>
      </c>
      <c r="R199" s="100">
        <v>59</v>
      </c>
      <c r="S199" s="100">
        <v>386</v>
      </c>
      <c r="T199" s="100">
        <v>172</v>
      </c>
      <c r="U199" s="100">
        <v>4266</v>
      </c>
      <c r="V199" s="100"/>
      <c r="W199" s="100"/>
      <c r="X199" s="100"/>
      <c r="Y199" s="100"/>
      <c r="Z199" s="257"/>
      <c r="AA199" s="257"/>
      <c r="AB199" s="257"/>
      <c r="AC199" s="257"/>
      <c r="AD199" s="257"/>
      <c r="AE199" s="258">
        <v>0.99652163686385353</v>
      </c>
      <c r="AG199" s="441">
        <v>205.91666666666666</v>
      </c>
      <c r="AH199" s="443">
        <v>2327</v>
      </c>
      <c r="AJ199" s="88">
        <v>245</v>
      </c>
      <c r="AM199" s="88">
        <v>1</v>
      </c>
      <c r="AN199" s="88">
        <v>348</v>
      </c>
      <c r="AP199" s="88">
        <v>3</v>
      </c>
      <c r="AQ199" s="399">
        <v>187</v>
      </c>
      <c r="AR199" s="88">
        <v>324.63</v>
      </c>
      <c r="AU199" s="399">
        <v>212</v>
      </c>
      <c r="AV199" s="399">
        <v>1581</v>
      </c>
      <c r="AY199" s="88">
        <v>0</v>
      </c>
      <c r="AZ199" s="432">
        <v>1094</v>
      </c>
      <c r="BA199" s="440">
        <v>2093</v>
      </c>
      <c r="BC199" s="439">
        <v>0</v>
      </c>
      <c r="BD199" s="88">
        <v>0</v>
      </c>
      <c r="BE199" s="88">
        <v>0</v>
      </c>
      <c r="BF199" s="434">
        <v>-138170.23999999999</v>
      </c>
      <c r="BG199" s="100">
        <v>-98451.25</v>
      </c>
      <c r="BH199" s="257"/>
      <c r="BI199" s="100"/>
      <c r="BJ199" s="257"/>
      <c r="BK199" s="100"/>
      <c r="BL199" s="100"/>
      <c r="BM199" s="100"/>
      <c r="BN199" s="257"/>
      <c r="BO199" s="100"/>
      <c r="BP199" s="100">
        <v>373776</v>
      </c>
      <c r="BQ199" s="100">
        <v>115577</v>
      </c>
      <c r="BR199" s="100">
        <v>235069.57846489979</v>
      </c>
      <c r="BS199" s="100">
        <v>9112.4034369587462</v>
      </c>
      <c r="BT199" s="100">
        <v>-127110.83688082914</v>
      </c>
      <c r="BU199" s="100">
        <v>99430.336952960934</v>
      </c>
      <c r="BV199" s="100">
        <v>228962.00169117263</v>
      </c>
      <c r="BW199" s="100">
        <v>403407.92759863316</v>
      </c>
      <c r="BX199" s="100">
        <v>117512.97516334013</v>
      </c>
      <c r="BY199" s="100">
        <v>200386.0547264546</v>
      </c>
      <c r="BZ199" s="257"/>
      <c r="CA199" s="100"/>
      <c r="CB199" s="257"/>
      <c r="CC199" s="257"/>
      <c r="CD199" s="257"/>
      <c r="CE199" s="100">
        <v>250593.10278812898</v>
      </c>
      <c r="CF199" s="100">
        <v>148940.87429900857</v>
      </c>
      <c r="CG199" s="100">
        <v>160976.5801636691</v>
      </c>
      <c r="CH199" s="100">
        <v>714644.12615671521</v>
      </c>
      <c r="CI199" s="257"/>
      <c r="CJ199" s="437">
        <v>1080031.7538383401</v>
      </c>
      <c r="CK199" s="404">
        <v>-872907</v>
      </c>
      <c r="CL199" s="404"/>
      <c r="CM199" s="437">
        <v>-97492.39750000005</v>
      </c>
      <c r="CO199" s="434">
        <v>725224.5341950088</v>
      </c>
      <c r="CP199" s="437">
        <v>807320.4270418348</v>
      </c>
      <c r="CQ199" s="437">
        <v>-462934.76096542692</v>
      </c>
      <c r="CR199" s="437">
        <v>177544.82561206416</v>
      </c>
      <c r="CS199" s="257"/>
    </row>
    <row r="200" spans="1:97" x14ac:dyDescent="0.2">
      <c r="A200" s="100">
        <v>625</v>
      </c>
      <c r="B200" s="100" t="s">
        <v>509</v>
      </c>
      <c r="C200" s="100">
        <v>2991</v>
      </c>
      <c r="D200" s="257"/>
      <c r="E200" s="257"/>
      <c r="F200" s="257"/>
      <c r="G200" s="257"/>
      <c r="H200" s="325"/>
      <c r="I200" s="257"/>
      <c r="J200" s="257"/>
      <c r="K200" s="257"/>
      <c r="L200" s="257"/>
      <c r="M200" s="257"/>
      <c r="N200" s="257"/>
      <c r="O200" s="257"/>
      <c r="P200" s="257"/>
      <c r="Q200" s="100">
        <v>146</v>
      </c>
      <c r="R200" s="100">
        <v>31</v>
      </c>
      <c r="S200" s="100">
        <v>235</v>
      </c>
      <c r="T200" s="100">
        <v>125</v>
      </c>
      <c r="U200" s="100">
        <v>2454</v>
      </c>
      <c r="V200" s="100"/>
      <c r="W200" s="100"/>
      <c r="X200" s="100"/>
      <c r="Y200" s="100"/>
      <c r="Z200" s="257"/>
      <c r="AA200" s="257"/>
      <c r="AB200" s="257"/>
      <c r="AC200" s="257"/>
      <c r="AD200" s="257"/>
      <c r="AE200" s="258">
        <v>0.83200210991327728</v>
      </c>
      <c r="AG200" s="441">
        <v>107.5</v>
      </c>
      <c r="AH200" s="443">
        <v>1226</v>
      </c>
      <c r="AJ200" s="88">
        <v>125</v>
      </c>
      <c r="AM200" s="88">
        <v>0</v>
      </c>
      <c r="AN200" s="88">
        <v>7</v>
      </c>
      <c r="AP200" s="88">
        <v>0</v>
      </c>
      <c r="AQ200" s="399">
        <v>0</v>
      </c>
      <c r="AR200" s="88">
        <v>543.21</v>
      </c>
      <c r="AU200" s="399">
        <v>128</v>
      </c>
      <c r="AV200" s="399">
        <v>851</v>
      </c>
      <c r="AY200" s="88">
        <v>0.87180000000000002</v>
      </c>
      <c r="AZ200" s="432">
        <v>1036</v>
      </c>
      <c r="BA200" s="440">
        <v>1159</v>
      </c>
      <c r="BC200" s="439">
        <v>0</v>
      </c>
      <c r="BD200" s="88">
        <v>0</v>
      </c>
      <c r="BE200" s="88">
        <v>0</v>
      </c>
      <c r="BF200" s="434">
        <v>-42655.72</v>
      </c>
      <c r="BG200" s="100">
        <v>-58609.71</v>
      </c>
      <c r="BH200" s="257"/>
      <c r="BI200" s="100"/>
      <c r="BJ200" s="257"/>
      <c r="BK200" s="100"/>
      <c r="BL200" s="100"/>
      <c r="BM200" s="100"/>
      <c r="BN200" s="257"/>
      <c r="BO200" s="100"/>
      <c r="BP200" s="100">
        <v>278360</v>
      </c>
      <c r="BQ200" s="100">
        <v>90828</v>
      </c>
      <c r="BR200" s="100">
        <v>209003.70193620183</v>
      </c>
      <c r="BS200" s="100">
        <v>9695.6380265799944</v>
      </c>
      <c r="BT200" s="100">
        <v>35066.451506575082</v>
      </c>
      <c r="BU200" s="100">
        <v>103455.7139788927</v>
      </c>
      <c r="BV200" s="100">
        <v>169578.02322362876</v>
      </c>
      <c r="BW200" s="100">
        <v>253663.12014994805</v>
      </c>
      <c r="BX200" s="100">
        <v>67489.591737845505</v>
      </c>
      <c r="BY200" s="100">
        <v>122279.33884860553</v>
      </c>
      <c r="BZ200" s="257"/>
      <c r="CA200" s="100"/>
      <c r="CB200" s="257"/>
      <c r="CC200" s="257"/>
      <c r="CD200" s="257"/>
      <c r="CE200" s="100">
        <v>168297.57116804409</v>
      </c>
      <c r="CF200" s="100">
        <v>100966.63864636546</v>
      </c>
      <c r="CG200" s="100">
        <v>94686.115404240001</v>
      </c>
      <c r="CH200" s="100">
        <v>557257.40818761988</v>
      </c>
      <c r="CI200" s="257"/>
      <c r="CJ200" s="437">
        <v>581409.5257253584</v>
      </c>
      <c r="CK200" s="404">
        <v>288869</v>
      </c>
      <c r="CL200" s="404"/>
      <c r="CM200" s="437">
        <v>-4326.3650000000052</v>
      </c>
      <c r="CO200" s="434">
        <v>865861.16857590759</v>
      </c>
      <c r="CP200" s="437">
        <v>526626.33335370081</v>
      </c>
      <c r="CQ200" s="437">
        <v>-270595.63612421183</v>
      </c>
      <c r="CR200" s="437">
        <v>103778.88868588702</v>
      </c>
      <c r="CS200" s="257"/>
    </row>
    <row r="201" spans="1:97" x14ac:dyDescent="0.2">
      <c r="A201" s="100">
        <v>626</v>
      </c>
      <c r="B201" s="100" t="s">
        <v>510</v>
      </c>
      <c r="C201" s="100">
        <v>4835</v>
      </c>
      <c r="D201" s="257"/>
      <c r="E201" s="257"/>
      <c r="F201" s="257"/>
      <c r="G201" s="257"/>
      <c r="H201" s="325"/>
      <c r="I201" s="257"/>
      <c r="J201" s="257"/>
      <c r="K201" s="257"/>
      <c r="L201" s="257"/>
      <c r="M201" s="257"/>
      <c r="N201" s="257"/>
      <c r="O201" s="257"/>
      <c r="P201" s="257"/>
      <c r="Q201" s="100">
        <v>212</v>
      </c>
      <c r="R201" s="100">
        <v>49</v>
      </c>
      <c r="S201" s="100">
        <v>308</v>
      </c>
      <c r="T201" s="100">
        <v>154</v>
      </c>
      <c r="U201" s="100">
        <v>4112</v>
      </c>
      <c r="V201" s="100"/>
      <c r="W201" s="100"/>
      <c r="X201" s="100"/>
      <c r="Y201" s="100"/>
      <c r="Z201" s="257"/>
      <c r="AA201" s="257"/>
      <c r="AB201" s="257"/>
      <c r="AC201" s="257"/>
      <c r="AD201" s="257"/>
      <c r="AE201" s="258">
        <v>1.1002694853360848</v>
      </c>
      <c r="AG201" s="441">
        <v>211.33333333333334</v>
      </c>
      <c r="AH201" s="443">
        <v>1883</v>
      </c>
      <c r="AJ201" s="88">
        <v>68</v>
      </c>
      <c r="AM201" s="88">
        <v>0</v>
      </c>
      <c r="AN201" s="88">
        <v>8</v>
      </c>
      <c r="AP201" s="88">
        <v>0</v>
      </c>
      <c r="AQ201" s="399">
        <v>0</v>
      </c>
      <c r="AR201" s="88">
        <v>1310.25</v>
      </c>
      <c r="AU201" s="399">
        <v>153</v>
      </c>
      <c r="AV201" s="399">
        <v>1093</v>
      </c>
      <c r="AY201" s="88">
        <v>1.2624333333333335</v>
      </c>
      <c r="AZ201" s="432">
        <v>1505</v>
      </c>
      <c r="BA201" s="440">
        <v>1609</v>
      </c>
      <c r="BC201" s="439">
        <v>0</v>
      </c>
      <c r="BD201" s="88">
        <v>0</v>
      </c>
      <c r="BE201" s="88">
        <v>0</v>
      </c>
      <c r="BF201" s="434">
        <v>-169729.86499999999</v>
      </c>
      <c r="BG201" s="100">
        <v>-96683.930000000008</v>
      </c>
      <c r="BH201" s="257"/>
      <c r="BI201" s="100"/>
      <c r="BJ201" s="257"/>
      <c r="BK201" s="100"/>
      <c r="BL201" s="100"/>
      <c r="BM201" s="100"/>
      <c r="BN201" s="257"/>
      <c r="BO201" s="100"/>
      <c r="BP201" s="100">
        <v>568854</v>
      </c>
      <c r="BQ201" s="100">
        <v>160404</v>
      </c>
      <c r="BR201" s="100">
        <v>347711.14435782126</v>
      </c>
      <c r="BS201" s="100">
        <v>18609.896890713761</v>
      </c>
      <c r="BT201" s="100">
        <v>54407.338960087392</v>
      </c>
      <c r="BU201" s="100">
        <v>220486.06081992874</v>
      </c>
      <c r="BV201" s="100">
        <v>276663.93872109958</v>
      </c>
      <c r="BW201" s="100">
        <v>449731.40092725924</v>
      </c>
      <c r="BX201" s="100">
        <v>115058.54717717654</v>
      </c>
      <c r="BY201" s="100">
        <v>223906.49939928832</v>
      </c>
      <c r="BZ201" s="257"/>
      <c r="CA201" s="100"/>
      <c r="CB201" s="257"/>
      <c r="CC201" s="257"/>
      <c r="CD201" s="257"/>
      <c r="CE201" s="100">
        <v>306356.24364803953</v>
      </c>
      <c r="CF201" s="100">
        <v>164017.38871118447</v>
      </c>
      <c r="CG201" s="100">
        <v>161082.93069770833</v>
      </c>
      <c r="CH201" s="100">
        <v>957942.40238802379</v>
      </c>
      <c r="CI201" s="257"/>
      <c r="CJ201" s="437">
        <v>1603048.7071316787</v>
      </c>
      <c r="CK201" s="404">
        <v>-198441</v>
      </c>
      <c r="CL201" s="404"/>
      <c r="CM201" s="437">
        <v>-6041.9925000000003</v>
      </c>
      <c r="CO201" s="434">
        <v>-811116.38456218399</v>
      </c>
      <c r="CP201" s="437">
        <v>-634809.28631877387</v>
      </c>
      <c r="CQ201" s="437">
        <v>-437422.23358761758</v>
      </c>
      <c r="CR201" s="437">
        <v>167760.25636785818</v>
      </c>
      <c r="CS201" s="257"/>
    </row>
    <row r="202" spans="1:97" x14ac:dyDescent="0.2">
      <c r="A202" s="100">
        <v>630</v>
      </c>
      <c r="B202" s="100" t="s">
        <v>511</v>
      </c>
      <c r="C202" s="100">
        <v>1635</v>
      </c>
      <c r="D202" s="257"/>
      <c r="E202" s="257"/>
      <c r="F202" s="257"/>
      <c r="G202" s="257"/>
      <c r="H202" s="325"/>
      <c r="I202" s="257"/>
      <c r="J202" s="257"/>
      <c r="K202" s="257"/>
      <c r="L202" s="257"/>
      <c r="M202" s="257"/>
      <c r="N202" s="257"/>
      <c r="O202" s="257"/>
      <c r="P202" s="257"/>
      <c r="Q202" s="100">
        <v>139</v>
      </c>
      <c r="R202" s="100">
        <v>17</v>
      </c>
      <c r="S202" s="100">
        <v>147</v>
      </c>
      <c r="T202" s="100">
        <v>76</v>
      </c>
      <c r="U202" s="100">
        <v>1256</v>
      </c>
      <c r="V202" s="100"/>
      <c r="W202" s="100"/>
      <c r="X202" s="100"/>
      <c r="Y202" s="100"/>
      <c r="Z202" s="257"/>
      <c r="AA202" s="257"/>
      <c r="AB202" s="257"/>
      <c r="AC202" s="257"/>
      <c r="AD202" s="257"/>
      <c r="AE202" s="258">
        <v>0.89698566898977228</v>
      </c>
      <c r="AG202" s="441">
        <v>32.416666666666664</v>
      </c>
      <c r="AH202" s="443">
        <v>641</v>
      </c>
      <c r="AJ202" s="88">
        <v>102</v>
      </c>
      <c r="AM202" s="88">
        <v>0</v>
      </c>
      <c r="AN202" s="88">
        <v>0</v>
      </c>
      <c r="AP202" s="88">
        <v>0</v>
      </c>
      <c r="AQ202" s="399">
        <v>0</v>
      </c>
      <c r="AR202" s="88">
        <v>810.16</v>
      </c>
      <c r="AU202" s="399">
        <v>79</v>
      </c>
      <c r="AV202" s="399">
        <v>407</v>
      </c>
      <c r="AY202" s="88">
        <v>1.6342166666666667</v>
      </c>
      <c r="AZ202" s="432">
        <v>830</v>
      </c>
      <c r="BA202" s="440">
        <v>652</v>
      </c>
      <c r="BC202" s="439">
        <v>1.19</v>
      </c>
      <c r="BD202" s="88">
        <v>0</v>
      </c>
      <c r="BE202" s="88">
        <v>0</v>
      </c>
      <c r="BF202" s="434">
        <v>-19969.455000000002</v>
      </c>
      <c r="BG202" s="100">
        <v>-30601.530000000002</v>
      </c>
      <c r="BH202" s="257"/>
      <c r="BI202" s="100"/>
      <c r="BJ202" s="257"/>
      <c r="BK202" s="100"/>
      <c r="BL202" s="100"/>
      <c r="BM202" s="100"/>
      <c r="BN202" s="257"/>
      <c r="BO202" s="100"/>
      <c r="BP202" s="100">
        <v>142597</v>
      </c>
      <c r="BQ202" s="100">
        <v>43369</v>
      </c>
      <c r="BR202" s="100">
        <v>115066.93553217359</v>
      </c>
      <c r="BS202" s="100">
        <v>6926.7245693992936</v>
      </c>
      <c r="BT202" s="100">
        <v>14447.999352274763</v>
      </c>
      <c r="BU202" s="100">
        <v>58673.825378823858</v>
      </c>
      <c r="BV202" s="100">
        <v>84154.459678724073</v>
      </c>
      <c r="BW202" s="100">
        <v>133597.43870718923</v>
      </c>
      <c r="BX202" s="100">
        <v>38246.733577729887</v>
      </c>
      <c r="BY202" s="100">
        <v>71275.458681500822</v>
      </c>
      <c r="BZ202" s="257"/>
      <c r="CA202" s="100"/>
      <c r="CB202" s="257"/>
      <c r="CC202" s="257"/>
      <c r="CD202" s="257"/>
      <c r="CE202" s="100">
        <v>97779.000739567084</v>
      </c>
      <c r="CF202" s="100">
        <v>56073.092596502313</v>
      </c>
      <c r="CG202" s="100">
        <v>54659.551212099585</v>
      </c>
      <c r="CH202" s="100">
        <v>295039.95447022474</v>
      </c>
      <c r="CI202" s="257"/>
      <c r="CJ202" s="437">
        <v>558549.9367131202</v>
      </c>
      <c r="CK202" s="404">
        <v>-194161</v>
      </c>
      <c r="CL202" s="404"/>
      <c r="CM202" s="437">
        <v>180513.85000000003</v>
      </c>
      <c r="CO202" s="434">
        <v>-213102.76600538479</v>
      </c>
      <c r="CP202" s="437">
        <v>-356484.73215177376</v>
      </c>
      <c r="CQ202" s="437">
        <v>-147918.37681814987</v>
      </c>
      <c r="CR202" s="437">
        <v>56729.683383960313</v>
      </c>
      <c r="CS202" s="257"/>
    </row>
    <row r="203" spans="1:97" x14ac:dyDescent="0.2">
      <c r="A203" s="100">
        <v>631</v>
      </c>
      <c r="B203" s="100" t="s">
        <v>512</v>
      </c>
      <c r="C203" s="100">
        <v>1963</v>
      </c>
      <c r="D203" s="257"/>
      <c r="E203" s="257"/>
      <c r="F203" s="257"/>
      <c r="G203" s="257"/>
      <c r="H203" s="325"/>
      <c r="I203" s="257"/>
      <c r="J203" s="257"/>
      <c r="K203" s="257"/>
      <c r="L203" s="257"/>
      <c r="M203" s="257"/>
      <c r="N203" s="257"/>
      <c r="O203" s="257"/>
      <c r="P203" s="257"/>
      <c r="Q203" s="100">
        <v>96</v>
      </c>
      <c r="R203" s="100">
        <v>14</v>
      </c>
      <c r="S203" s="100">
        <v>135</v>
      </c>
      <c r="T203" s="100">
        <v>55</v>
      </c>
      <c r="U203" s="100">
        <v>1663</v>
      </c>
      <c r="V203" s="100"/>
      <c r="W203" s="100"/>
      <c r="X203" s="100"/>
      <c r="Y203" s="100"/>
      <c r="Z203" s="257"/>
      <c r="AA203" s="257"/>
      <c r="AB203" s="257"/>
      <c r="AC203" s="257"/>
      <c r="AD203" s="257"/>
      <c r="AE203" s="258">
        <v>0.67871762497611143</v>
      </c>
      <c r="AG203" s="441">
        <v>65.666666666666671</v>
      </c>
      <c r="AH203" s="443">
        <v>916</v>
      </c>
      <c r="AJ203" s="88">
        <v>57</v>
      </c>
      <c r="AM203" s="88">
        <v>0</v>
      </c>
      <c r="AN203" s="88">
        <v>10</v>
      </c>
      <c r="AP203" s="88">
        <v>0</v>
      </c>
      <c r="AQ203" s="399">
        <v>0</v>
      </c>
      <c r="AR203" s="88">
        <v>143.51</v>
      </c>
      <c r="AU203" s="399">
        <v>80</v>
      </c>
      <c r="AV203" s="399">
        <v>553</v>
      </c>
      <c r="AY203" s="88">
        <v>0</v>
      </c>
      <c r="AZ203" s="432">
        <v>376</v>
      </c>
      <c r="BA203" s="440">
        <v>813</v>
      </c>
      <c r="BC203" s="439">
        <v>0</v>
      </c>
      <c r="BD203" s="88">
        <v>0</v>
      </c>
      <c r="BE203" s="88">
        <v>0</v>
      </c>
      <c r="BF203" s="434">
        <v>-23593.154999999999</v>
      </c>
      <c r="BG203" s="100">
        <v>-38304.740000000005</v>
      </c>
      <c r="BH203" s="257"/>
      <c r="BI203" s="100"/>
      <c r="BJ203" s="257"/>
      <c r="BK203" s="100"/>
      <c r="BL203" s="100"/>
      <c r="BM203" s="100"/>
      <c r="BN203" s="257"/>
      <c r="BO203" s="100"/>
      <c r="BP203" s="100">
        <v>166578</v>
      </c>
      <c r="BQ203" s="100">
        <v>56438</v>
      </c>
      <c r="BR203" s="100">
        <v>129722.21444774065</v>
      </c>
      <c r="BS203" s="100">
        <v>5761.3464177759088</v>
      </c>
      <c r="BT203" s="100">
        <v>-32797.722960964798</v>
      </c>
      <c r="BU203" s="100">
        <v>53378.442383955633</v>
      </c>
      <c r="BV203" s="100">
        <v>104600.43267838539</v>
      </c>
      <c r="BW203" s="100">
        <v>186841.64452944396</v>
      </c>
      <c r="BX203" s="100">
        <v>53002.486559640914</v>
      </c>
      <c r="BY203" s="100">
        <v>88648.774104628959</v>
      </c>
      <c r="BZ203" s="257"/>
      <c r="CA203" s="100"/>
      <c r="CB203" s="257"/>
      <c r="CC203" s="257"/>
      <c r="CD203" s="257"/>
      <c r="CE203" s="100">
        <v>112294.50293525125</v>
      </c>
      <c r="CF203" s="100">
        <v>68189.773244786789</v>
      </c>
      <c r="CG203" s="100">
        <v>72752.035498274621</v>
      </c>
      <c r="CH203" s="100">
        <v>333250.12285065651</v>
      </c>
      <c r="CI203" s="257"/>
      <c r="CJ203" s="437">
        <v>593093.59426144965</v>
      </c>
      <c r="CK203" s="404">
        <v>-529697</v>
      </c>
      <c r="CL203" s="404"/>
      <c r="CM203" s="437">
        <v>-696947.56449999998</v>
      </c>
      <c r="CO203" s="434">
        <v>141945.71223119533</v>
      </c>
      <c r="CP203" s="437">
        <v>235159.83065890017</v>
      </c>
      <c r="CQ203" s="437">
        <v>-177592.52213702031</v>
      </c>
      <c r="CR203" s="437">
        <v>68110.317114809834</v>
      </c>
      <c r="CS203" s="257"/>
    </row>
    <row r="204" spans="1:97" x14ac:dyDescent="0.2">
      <c r="A204" s="100">
        <v>635</v>
      </c>
      <c r="B204" s="100" t="s">
        <v>513</v>
      </c>
      <c r="C204" s="100">
        <v>6347</v>
      </c>
      <c r="D204" s="257"/>
      <c r="E204" s="257"/>
      <c r="F204" s="257"/>
      <c r="G204" s="257"/>
      <c r="H204" s="325"/>
      <c r="I204" s="257"/>
      <c r="J204" s="257"/>
      <c r="K204" s="257"/>
      <c r="L204" s="257"/>
      <c r="M204" s="257"/>
      <c r="N204" s="257"/>
      <c r="O204" s="257"/>
      <c r="P204" s="257"/>
      <c r="Q204" s="100">
        <v>276</v>
      </c>
      <c r="R204" s="100">
        <v>64</v>
      </c>
      <c r="S204" s="100">
        <v>377</v>
      </c>
      <c r="T204" s="100">
        <v>236</v>
      </c>
      <c r="U204" s="100">
        <v>5394</v>
      </c>
      <c r="V204" s="100"/>
      <c r="W204" s="100"/>
      <c r="X204" s="100"/>
      <c r="Y204" s="100"/>
      <c r="Z204" s="257"/>
      <c r="AA204" s="257"/>
      <c r="AB204" s="257"/>
      <c r="AC204" s="257"/>
      <c r="AD204" s="257"/>
      <c r="AE204" s="258">
        <v>0.88627004989053959</v>
      </c>
      <c r="AG204" s="441">
        <v>162.75</v>
      </c>
      <c r="AH204" s="443">
        <v>2799</v>
      </c>
      <c r="AJ204" s="88">
        <v>189</v>
      </c>
      <c r="AM204" s="88">
        <v>0</v>
      </c>
      <c r="AN204" s="88">
        <v>26</v>
      </c>
      <c r="AP204" s="88">
        <v>0</v>
      </c>
      <c r="AQ204" s="399">
        <v>0</v>
      </c>
      <c r="AR204" s="88">
        <v>560.71</v>
      </c>
      <c r="AU204" s="399">
        <v>235</v>
      </c>
      <c r="AV204" s="399">
        <v>1765</v>
      </c>
      <c r="AY204" s="88">
        <v>0.39179999999999998</v>
      </c>
      <c r="AZ204" s="432">
        <v>1851</v>
      </c>
      <c r="BA204" s="440">
        <v>2580</v>
      </c>
      <c r="BC204" s="439">
        <v>0</v>
      </c>
      <c r="BD204" s="88">
        <v>0</v>
      </c>
      <c r="BE204" s="88">
        <v>0</v>
      </c>
      <c r="BF204" s="434">
        <v>-186009.51</v>
      </c>
      <c r="BG204" s="100">
        <v>-123232.15000000001</v>
      </c>
      <c r="BH204" s="257"/>
      <c r="BI204" s="100"/>
      <c r="BJ204" s="257"/>
      <c r="BK204" s="100"/>
      <c r="BL204" s="100"/>
      <c r="BM204" s="100"/>
      <c r="BN204" s="257"/>
      <c r="BO204" s="100"/>
      <c r="BP204" s="100">
        <v>642019</v>
      </c>
      <c r="BQ204" s="100">
        <v>195798</v>
      </c>
      <c r="BR204" s="100">
        <v>456431.13350845047</v>
      </c>
      <c r="BS204" s="100">
        <v>18923.518182305219</v>
      </c>
      <c r="BT204" s="100">
        <v>38485.852356147429</v>
      </c>
      <c r="BU204" s="100">
        <v>180396.70705651797</v>
      </c>
      <c r="BV204" s="100">
        <v>367715.8901137397</v>
      </c>
      <c r="BW204" s="100">
        <v>580818.18193554052</v>
      </c>
      <c r="BX204" s="100">
        <v>180688.9369229741</v>
      </c>
      <c r="BY204" s="100">
        <v>312527.85830413218</v>
      </c>
      <c r="BZ204" s="257"/>
      <c r="CA204" s="100"/>
      <c r="CB204" s="257"/>
      <c r="CC204" s="257"/>
      <c r="CD204" s="257"/>
      <c r="CE204" s="100">
        <v>425403.13553182187</v>
      </c>
      <c r="CF204" s="100">
        <v>247451.07246388606</v>
      </c>
      <c r="CG204" s="100">
        <v>240180.80440330142</v>
      </c>
      <c r="CH204" s="100">
        <v>1238742.9642665072</v>
      </c>
      <c r="CI204" s="257"/>
      <c r="CJ204" s="437">
        <v>2319522.1496603829</v>
      </c>
      <c r="CK204" s="404">
        <v>-577259</v>
      </c>
      <c r="CL204" s="404"/>
      <c r="CM204" s="437">
        <v>-472976.12399999995</v>
      </c>
      <c r="CO204" s="434">
        <v>-115339.57903473417</v>
      </c>
      <c r="CP204" s="437">
        <v>-70114.200139166569</v>
      </c>
      <c r="CQ204" s="437">
        <v>-574212.80591119104</v>
      </c>
      <c r="CR204" s="437">
        <v>220222.2021027499</v>
      </c>
      <c r="CS204" s="257"/>
    </row>
    <row r="205" spans="1:97" x14ac:dyDescent="0.2">
      <c r="A205" s="100">
        <v>636</v>
      </c>
      <c r="B205" s="100" t="s">
        <v>514</v>
      </c>
      <c r="C205" s="100">
        <v>8154</v>
      </c>
      <c r="D205" s="257"/>
      <c r="E205" s="257"/>
      <c r="F205" s="257"/>
      <c r="G205" s="257"/>
      <c r="H205" s="325"/>
      <c r="I205" s="257"/>
      <c r="J205" s="257"/>
      <c r="K205" s="257"/>
      <c r="L205" s="257"/>
      <c r="M205" s="257"/>
      <c r="N205" s="257"/>
      <c r="O205" s="257"/>
      <c r="P205" s="257"/>
      <c r="Q205" s="100">
        <v>451</v>
      </c>
      <c r="R205" s="100">
        <v>80</v>
      </c>
      <c r="S205" s="100">
        <v>654</v>
      </c>
      <c r="T205" s="100">
        <v>331</v>
      </c>
      <c r="U205" s="100">
        <v>6638</v>
      </c>
      <c r="V205" s="100"/>
      <c r="W205" s="100"/>
      <c r="X205" s="100"/>
      <c r="Y205" s="100"/>
      <c r="Z205" s="257"/>
      <c r="AA205" s="257"/>
      <c r="AB205" s="257"/>
      <c r="AC205" s="257"/>
      <c r="AD205" s="257"/>
      <c r="AE205" s="258">
        <v>0.9899567998669685</v>
      </c>
      <c r="AG205" s="441">
        <v>275.33333333333331</v>
      </c>
      <c r="AH205" s="443">
        <v>3688</v>
      </c>
      <c r="AJ205" s="88">
        <v>389</v>
      </c>
      <c r="AM205" s="88">
        <v>0</v>
      </c>
      <c r="AN205" s="88">
        <v>50</v>
      </c>
      <c r="AP205" s="88">
        <v>0</v>
      </c>
      <c r="AQ205" s="399">
        <v>0</v>
      </c>
      <c r="AR205" s="88">
        <v>749.97</v>
      </c>
      <c r="AU205" s="399">
        <v>470</v>
      </c>
      <c r="AV205" s="399">
        <v>2400</v>
      </c>
      <c r="AY205" s="88">
        <v>0</v>
      </c>
      <c r="AZ205" s="432">
        <v>2503</v>
      </c>
      <c r="BA205" s="440">
        <v>3378</v>
      </c>
      <c r="BC205" s="439">
        <v>0</v>
      </c>
      <c r="BD205" s="88">
        <v>0</v>
      </c>
      <c r="BE205" s="88">
        <v>3</v>
      </c>
      <c r="BF205" s="434">
        <v>-247718.72</v>
      </c>
      <c r="BG205" s="100">
        <v>-158079.09</v>
      </c>
      <c r="BH205" s="257"/>
      <c r="BI205" s="100"/>
      <c r="BJ205" s="257"/>
      <c r="BK205" s="100"/>
      <c r="BL205" s="100"/>
      <c r="BM205" s="100"/>
      <c r="BN205" s="257"/>
      <c r="BO205" s="100"/>
      <c r="BP205" s="100">
        <v>728276</v>
      </c>
      <c r="BQ205" s="100">
        <v>246779</v>
      </c>
      <c r="BR205" s="100">
        <v>568370.51566298259</v>
      </c>
      <c r="BS205" s="100">
        <v>26839.740816751018</v>
      </c>
      <c r="BT205" s="100">
        <v>50553.860423168335</v>
      </c>
      <c r="BU205" s="100">
        <v>235055.66469803228</v>
      </c>
      <c r="BV205" s="100">
        <v>500128.31312373478</v>
      </c>
      <c r="BW205" s="100">
        <v>790161.82195025135</v>
      </c>
      <c r="BX205" s="100">
        <v>233954.87761570083</v>
      </c>
      <c r="BY205" s="100">
        <v>406319.46533997421</v>
      </c>
      <c r="BZ205" s="257"/>
      <c r="CA205" s="100"/>
      <c r="CB205" s="257"/>
      <c r="CC205" s="257"/>
      <c r="CD205" s="257"/>
      <c r="CE205" s="100">
        <v>551237.13645169255</v>
      </c>
      <c r="CF205" s="100">
        <v>327075.04841978848</v>
      </c>
      <c r="CG205" s="100">
        <v>325564.13382002286</v>
      </c>
      <c r="CH205" s="100">
        <v>1738482.5819979981</v>
      </c>
      <c r="CI205" s="257"/>
      <c r="CJ205" s="437">
        <v>3741617.3530154377</v>
      </c>
      <c r="CK205" s="404">
        <v>-707856</v>
      </c>
      <c r="CL205" s="404"/>
      <c r="CM205" s="437">
        <v>658353.40499999991</v>
      </c>
      <c r="CO205" s="434">
        <v>735244.98327812506</v>
      </c>
      <c r="CP205" s="437">
        <v>196628.90207309095</v>
      </c>
      <c r="CQ205" s="437">
        <v>-737692.01503069978</v>
      </c>
      <c r="CR205" s="437">
        <v>282919.77878459473</v>
      </c>
      <c r="CS205" s="257"/>
    </row>
    <row r="206" spans="1:97" x14ac:dyDescent="0.2">
      <c r="A206" s="100">
        <v>678</v>
      </c>
      <c r="B206" s="100" t="s">
        <v>516</v>
      </c>
      <c r="C206" s="100">
        <v>24073</v>
      </c>
      <c r="D206" s="257"/>
      <c r="E206" s="257"/>
      <c r="F206" s="257"/>
      <c r="G206" s="257"/>
      <c r="H206" s="325"/>
      <c r="I206" s="257"/>
      <c r="J206" s="257"/>
      <c r="K206" s="257"/>
      <c r="L206" s="257"/>
      <c r="M206" s="257"/>
      <c r="N206" s="257"/>
      <c r="O206" s="257"/>
      <c r="P206" s="257"/>
      <c r="Q206" s="100">
        <v>1230</v>
      </c>
      <c r="R206" s="100">
        <v>265</v>
      </c>
      <c r="S206" s="100">
        <v>1928</v>
      </c>
      <c r="T206" s="100">
        <v>1033</v>
      </c>
      <c r="U206" s="100">
        <v>19617</v>
      </c>
      <c r="V206" s="100"/>
      <c r="W206" s="100"/>
      <c r="X206" s="100"/>
      <c r="Y206" s="100"/>
      <c r="Z206" s="257"/>
      <c r="AA206" s="257"/>
      <c r="AB206" s="257"/>
      <c r="AC206" s="257"/>
      <c r="AD206" s="257"/>
      <c r="AE206" s="258">
        <v>0.94485329662097572</v>
      </c>
      <c r="AG206" s="441">
        <v>1046.25</v>
      </c>
      <c r="AH206" s="443">
        <v>10023</v>
      </c>
      <c r="AJ206" s="88">
        <v>866</v>
      </c>
      <c r="AM206" s="88">
        <v>0</v>
      </c>
      <c r="AN206" s="88">
        <v>19</v>
      </c>
      <c r="AP206" s="88">
        <v>0</v>
      </c>
      <c r="AQ206" s="399">
        <v>0</v>
      </c>
      <c r="AR206" s="88">
        <v>1013.78</v>
      </c>
      <c r="AU206" s="399">
        <v>810</v>
      </c>
      <c r="AV206" s="399">
        <v>6897</v>
      </c>
      <c r="AY206" s="88">
        <v>0.41796666666666665</v>
      </c>
      <c r="AZ206" s="432">
        <v>10260</v>
      </c>
      <c r="BA206" s="440">
        <v>9003</v>
      </c>
      <c r="BC206" s="439">
        <v>0</v>
      </c>
      <c r="BD206" s="88">
        <v>0</v>
      </c>
      <c r="BE206" s="88">
        <v>1</v>
      </c>
      <c r="BF206" s="434">
        <v>-971435.07200000004</v>
      </c>
      <c r="BG206" s="100">
        <v>-467821.13</v>
      </c>
      <c r="BH206" s="257"/>
      <c r="BI206" s="100"/>
      <c r="BJ206" s="257"/>
      <c r="BK206" s="100"/>
      <c r="BL206" s="100"/>
      <c r="BM206" s="100"/>
      <c r="BN206" s="257"/>
      <c r="BO206" s="100"/>
      <c r="BP206" s="100">
        <v>1718173</v>
      </c>
      <c r="BQ206" s="100">
        <v>523096</v>
      </c>
      <c r="BR206" s="100">
        <v>1194796.5756121939</v>
      </c>
      <c r="BS206" s="100">
        <v>48400.668529056275</v>
      </c>
      <c r="BT206" s="100">
        <v>88377.661392066453</v>
      </c>
      <c r="BU206" s="100">
        <v>693320.62247581675</v>
      </c>
      <c r="BV206" s="100">
        <v>1030296.7893436988</v>
      </c>
      <c r="BW206" s="100">
        <v>1749558.4975446665</v>
      </c>
      <c r="BX206" s="100">
        <v>422834.26123831893</v>
      </c>
      <c r="BY206" s="100">
        <v>858606.17456177482</v>
      </c>
      <c r="BZ206" s="257"/>
      <c r="CA206" s="100"/>
      <c r="CB206" s="257"/>
      <c r="CC206" s="257"/>
      <c r="CD206" s="257"/>
      <c r="CE206" s="100">
        <v>1286850.0456335321</v>
      </c>
      <c r="CF206" s="100">
        <v>658927.33528103528</v>
      </c>
      <c r="CG206" s="100">
        <v>660025.13710312743</v>
      </c>
      <c r="CH206" s="100">
        <v>3455085.4561190233</v>
      </c>
      <c r="CI206" s="257"/>
      <c r="CJ206" s="437">
        <v>7861808.3314749151</v>
      </c>
      <c r="CK206" s="404">
        <v>-863174</v>
      </c>
      <c r="CL206" s="404"/>
      <c r="CM206" s="437">
        <v>-6131.5035000000498</v>
      </c>
      <c r="CO206" s="434">
        <v>1510164.048595337</v>
      </c>
      <c r="CP206" s="437">
        <v>539864.68706276116</v>
      </c>
      <c r="CQ206" s="437">
        <v>-2177883.2325035608</v>
      </c>
      <c r="CR206" s="437">
        <v>835262.18232542905</v>
      </c>
      <c r="CS206" s="257"/>
    </row>
    <row r="207" spans="1:97" x14ac:dyDescent="0.2">
      <c r="A207" s="100">
        <v>710</v>
      </c>
      <c r="B207" s="100" t="s">
        <v>532</v>
      </c>
      <c r="C207" s="100">
        <v>27306</v>
      </c>
      <c r="D207" s="257"/>
      <c r="E207" s="257"/>
      <c r="F207" s="257"/>
      <c r="G207" s="257"/>
      <c r="H207" s="325"/>
      <c r="I207" s="257"/>
      <c r="J207" s="257"/>
      <c r="K207" s="257"/>
      <c r="L207" s="257"/>
      <c r="M207" s="257"/>
      <c r="N207" s="257"/>
      <c r="O207" s="257"/>
      <c r="P207" s="257"/>
      <c r="Q207" s="100">
        <v>1321</v>
      </c>
      <c r="R207" s="100">
        <v>218</v>
      </c>
      <c r="S207" s="100">
        <v>1665</v>
      </c>
      <c r="T207" s="100">
        <v>933</v>
      </c>
      <c r="U207" s="100">
        <v>23169</v>
      </c>
      <c r="V207" s="100"/>
      <c r="W207" s="100"/>
      <c r="X207" s="100"/>
      <c r="Y207" s="100"/>
      <c r="Z207" s="257"/>
      <c r="AA207" s="257"/>
      <c r="AB207" s="257"/>
      <c r="AC207" s="257"/>
      <c r="AD207" s="257"/>
      <c r="AE207" s="258">
        <v>0.71384204184604028</v>
      </c>
      <c r="AG207" s="441">
        <v>1122.8333333333333</v>
      </c>
      <c r="AH207" s="443">
        <v>12571</v>
      </c>
      <c r="AJ207" s="88">
        <v>1464</v>
      </c>
      <c r="AM207" s="88">
        <v>3</v>
      </c>
      <c r="AN207" s="88">
        <v>17471</v>
      </c>
      <c r="AP207" s="88">
        <v>3</v>
      </c>
      <c r="AQ207" s="399">
        <v>1804</v>
      </c>
      <c r="AR207" s="88">
        <v>1149.3599999999999</v>
      </c>
      <c r="AU207" s="399">
        <v>1322</v>
      </c>
      <c r="AV207" s="399">
        <v>8124</v>
      </c>
      <c r="AY207" s="88">
        <v>0</v>
      </c>
      <c r="AZ207" s="432">
        <v>9758</v>
      </c>
      <c r="BA207" s="440">
        <v>11304</v>
      </c>
      <c r="BC207" s="439">
        <v>0</v>
      </c>
      <c r="BD207" s="88">
        <v>0</v>
      </c>
      <c r="BE207" s="88">
        <v>1</v>
      </c>
      <c r="BF207" s="434">
        <v>-1139741.4950000001</v>
      </c>
      <c r="BG207" s="100">
        <v>-528812.88</v>
      </c>
      <c r="BH207" s="257"/>
      <c r="BI207" s="100"/>
      <c r="BJ207" s="257"/>
      <c r="BK207" s="100"/>
      <c r="BL207" s="100"/>
      <c r="BM207" s="100"/>
      <c r="BN207" s="257"/>
      <c r="BO207" s="100"/>
      <c r="BP207" s="100">
        <v>2274555</v>
      </c>
      <c r="BQ207" s="100">
        <v>774472</v>
      </c>
      <c r="BR207" s="100">
        <v>1740977.2657312586</v>
      </c>
      <c r="BS207" s="100">
        <v>55966.148536983434</v>
      </c>
      <c r="BT207" s="100">
        <v>183065.70473621695</v>
      </c>
      <c r="BU207" s="100">
        <v>718511.30992746202</v>
      </c>
      <c r="BV207" s="100">
        <v>1375150.3688940979</v>
      </c>
      <c r="BW207" s="100">
        <v>2388585.2460968662</v>
      </c>
      <c r="BX207" s="100">
        <v>737475.75146692712</v>
      </c>
      <c r="BY207" s="100">
        <v>1230032.8171418419</v>
      </c>
      <c r="BZ207" s="257"/>
      <c r="CA207" s="100"/>
      <c r="CB207" s="257"/>
      <c r="CC207" s="257"/>
      <c r="CD207" s="257"/>
      <c r="CE207" s="100">
        <v>1550371.8240211143</v>
      </c>
      <c r="CF207" s="100">
        <v>960423.96734376345</v>
      </c>
      <c r="CG207" s="100">
        <v>977767.04491421627</v>
      </c>
      <c r="CH207" s="100">
        <v>4808817.0721378895</v>
      </c>
      <c r="CI207" s="257"/>
      <c r="CJ207" s="437">
        <v>7440546.0135168284</v>
      </c>
      <c r="CK207" s="404">
        <v>-774999</v>
      </c>
      <c r="CL207" s="404"/>
      <c r="CM207" s="437">
        <v>-1077784.0488000005</v>
      </c>
      <c r="CO207" s="434">
        <v>-2356141.104108375</v>
      </c>
      <c r="CP207" s="437">
        <v>13425.989516097645</v>
      </c>
      <c r="CQ207" s="437">
        <v>-2470372.5977959638</v>
      </c>
      <c r="CR207" s="437">
        <v>947437.75809322344</v>
      </c>
      <c r="CS207" s="257"/>
    </row>
    <row r="208" spans="1:97" x14ac:dyDescent="0.2">
      <c r="A208" s="100">
        <v>680</v>
      </c>
      <c r="B208" s="100" t="s">
        <v>517</v>
      </c>
      <c r="C208" s="100">
        <v>24942</v>
      </c>
      <c r="D208" s="257"/>
      <c r="E208" s="257"/>
      <c r="F208" s="257"/>
      <c r="G208" s="257"/>
      <c r="H208" s="325"/>
      <c r="I208" s="257"/>
      <c r="J208" s="257"/>
      <c r="K208" s="257"/>
      <c r="L208" s="257"/>
      <c r="M208" s="257"/>
      <c r="N208" s="257"/>
      <c r="O208" s="257"/>
      <c r="P208" s="257"/>
      <c r="Q208" s="100">
        <v>1402</v>
      </c>
      <c r="R208" s="100">
        <v>249</v>
      </c>
      <c r="S208" s="100">
        <v>1648</v>
      </c>
      <c r="T208" s="100">
        <v>830</v>
      </c>
      <c r="U208" s="100">
        <v>20813</v>
      </c>
      <c r="V208" s="100"/>
      <c r="W208" s="100"/>
      <c r="X208" s="100"/>
      <c r="Y208" s="100"/>
      <c r="Z208" s="257"/>
      <c r="AA208" s="257"/>
      <c r="AB208" s="257"/>
      <c r="AC208" s="257"/>
      <c r="AD208" s="257"/>
      <c r="AE208" s="258">
        <v>0.94858630665067278</v>
      </c>
      <c r="AG208" s="441">
        <v>818.08333333333337</v>
      </c>
      <c r="AH208" s="443">
        <v>11723</v>
      </c>
      <c r="AJ208" s="88">
        <v>2652</v>
      </c>
      <c r="AM208" s="88">
        <v>0</v>
      </c>
      <c r="AN208" s="88">
        <v>354</v>
      </c>
      <c r="AP208" s="88">
        <v>0</v>
      </c>
      <c r="AQ208" s="399">
        <v>0</v>
      </c>
      <c r="AR208" s="88">
        <v>48.76</v>
      </c>
      <c r="AU208" s="399">
        <v>1226</v>
      </c>
      <c r="AV208" s="399">
        <v>8117</v>
      </c>
      <c r="AY208" s="88">
        <v>0</v>
      </c>
      <c r="AZ208" s="432">
        <v>10845</v>
      </c>
      <c r="BA208" s="440">
        <v>11078</v>
      </c>
      <c r="BC208" s="439">
        <v>1.21</v>
      </c>
      <c r="BD208" s="88">
        <v>0</v>
      </c>
      <c r="BE208" s="88">
        <v>0</v>
      </c>
      <c r="BF208" s="434">
        <v>-1315812.9959499999</v>
      </c>
      <c r="BG208" s="100">
        <v>-468858.47000000003</v>
      </c>
      <c r="BH208" s="257"/>
      <c r="BI208" s="100"/>
      <c r="BJ208" s="257"/>
      <c r="BK208" s="100"/>
      <c r="BL208" s="100"/>
      <c r="BM208" s="100"/>
      <c r="BN208" s="257"/>
      <c r="BO208" s="100"/>
      <c r="BP208" s="100">
        <v>1528954</v>
      </c>
      <c r="BQ208" s="100">
        <v>539128</v>
      </c>
      <c r="BR208" s="100">
        <v>1052685.2707331371</v>
      </c>
      <c r="BS208" s="100">
        <v>26314.82731204461</v>
      </c>
      <c r="BT208" s="100">
        <v>-43151.456473502243</v>
      </c>
      <c r="BU208" s="100">
        <v>577164.9349497573</v>
      </c>
      <c r="BV208" s="100">
        <v>1044890.0202465078</v>
      </c>
      <c r="BW208" s="100">
        <v>1811262.2017673086</v>
      </c>
      <c r="BX208" s="100">
        <v>522894.02766410855</v>
      </c>
      <c r="BY208" s="100">
        <v>949681.4101408351</v>
      </c>
      <c r="BZ208" s="257"/>
      <c r="CA208" s="100"/>
      <c r="CB208" s="257"/>
      <c r="CC208" s="257"/>
      <c r="CD208" s="257"/>
      <c r="CE208" s="100">
        <v>1144307.0500356471</v>
      </c>
      <c r="CF208" s="100">
        <v>773158.65094576834</v>
      </c>
      <c r="CG208" s="100">
        <v>739326.7071502154</v>
      </c>
      <c r="CH208" s="100">
        <v>3428419.251286753</v>
      </c>
      <c r="CI208" s="257"/>
      <c r="CJ208" s="437">
        <v>1528490.6635992252</v>
      </c>
      <c r="CK208" s="404">
        <v>257518</v>
      </c>
      <c r="CL208" s="404"/>
      <c r="CM208" s="437">
        <v>-745701.2224999998</v>
      </c>
      <c r="CO208" s="434">
        <v>783946.65123784647</v>
      </c>
      <c r="CP208" s="437">
        <v>714628.72729971213</v>
      </c>
      <c r="CQ208" s="437">
        <v>-2256501.6236075195</v>
      </c>
      <c r="CR208" s="437">
        <v>865413.92230136879</v>
      </c>
      <c r="CS208" s="257"/>
    </row>
    <row r="209" spans="1:97" x14ac:dyDescent="0.2">
      <c r="A209" s="100">
        <v>681</v>
      </c>
      <c r="B209" s="100" t="s">
        <v>518</v>
      </c>
      <c r="C209" s="100">
        <v>3308</v>
      </c>
      <c r="D209" s="257"/>
      <c r="E209" s="257"/>
      <c r="F209" s="257"/>
      <c r="G209" s="257"/>
      <c r="H209" s="325"/>
      <c r="I209" s="257"/>
      <c r="J209" s="257"/>
      <c r="K209" s="257"/>
      <c r="L209" s="257"/>
      <c r="M209" s="257"/>
      <c r="N209" s="257"/>
      <c r="O209" s="257"/>
      <c r="P209" s="257"/>
      <c r="Q209" s="100">
        <v>117</v>
      </c>
      <c r="R209" s="100">
        <v>28</v>
      </c>
      <c r="S209" s="100">
        <v>179</v>
      </c>
      <c r="T209" s="100">
        <v>81</v>
      </c>
      <c r="U209" s="100">
        <v>2903</v>
      </c>
      <c r="V209" s="100"/>
      <c r="W209" s="100"/>
      <c r="X209" s="100"/>
      <c r="Y209" s="100"/>
      <c r="Z209" s="257"/>
      <c r="AA209" s="257"/>
      <c r="AB209" s="257"/>
      <c r="AC209" s="257"/>
      <c r="AD209" s="257"/>
      <c r="AE209" s="258">
        <v>0.87791513736082039</v>
      </c>
      <c r="AG209" s="441">
        <v>113.25</v>
      </c>
      <c r="AH209" s="443">
        <v>1363</v>
      </c>
      <c r="AJ209" s="88">
        <v>139</v>
      </c>
      <c r="AM209" s="88">
        <v>0</v>
      </c>
      <c r="AN209" s="88">
        <v>7</v>
      </c>
      <c r="AP209" s="88">
        <v>0</v>
      </c>
      <c r="AQ209" s="399">
        <v>0</v>
      </c>
      <c r="AR209" s="88">
        <v>559.53</v>
      </c>
      <c r="AU209" s="399">
        <v>156</v>
      </c>
      <c r="AV209" s="399">
        <v>813</v>
      </c>
      <c r="AY209" s="88">
        <v>0.93268333333333331</v>
      </c>
      <c r="AZ209" s="432">
        <v>1018</v>
      </c>
      <c r="BA209" s="440">
        <v>1203</v>
      </c>
      <c r="BC209" s="439">
        <v>0</v>
      </c>
      <c r="BD209" s="88">
        <v>0</v>
      </c>
      <c r="BE209" s="88">
        <v>0</v>
      </c>
      <c r="BF209" s="434">
        <v>-136612.31</v>
      </c>
      <c r="BG209" s="100">
        <v>-64622.44</v>
      </c>
      <c r="BH209" s="257"/>
      <c r="BI209" s="100"/>
      <c r="BJ209" s="257"/>
      <c r="BK209" s="100"/>
      <c r="BL209" s="100"/>
      <c r="BM209" s="100"/>
      <c r="BN209" s="257"/>
      <c r="BO209" s="100"/>
      <c r="BP209" s="100">
        <v>411804</v>
      </c>
      <c r="BQ209" s="100">
        <v>130474</v>
      </c>
      <c r="BR209" s="100">
        <v>344562.18255849381</v>
      </c>
      <c r="BS209" s="100">
        <v>19231.416215970072</v>
      </c>
      <c r="BT209" s="100">
        <v>10822.416604734512</v>
      </c>
      <c r="BU209" s="100">
        <v>149765.78572192296</v>
      </c>
      <c r="BV209" s="100">
        <v>221860.94889061732</v>
      </c>
      <c r="BW209" s="100">
        <v>352014.0620886088</v>
      </c>
      <c r="BX209" s="100">
        <v>109483.44561055586</v>
      </c>
      <c r="BY209" s="100">
        <v>181810.03428081225</v>
      </c>
      <c r="BZ209" s="257"/>
      <c r="CA209" s="100"/>
      <c r="CB209" s="257"/>
      <c r="CC209" s="257"/>
      <c r="CD209" s="257"/>
      <c r="CE209" s="100">
        <v>257046.21336313189</v>
      </c>
      <c r="CF209" s="100">
        <v>140634.18487005719</v>
      </c>
      <c r="CG209" s="100">
        <v>134081.76422677931</v>
      </c>
      <c r="CH209" s="100">
        <v>802022.15442834981</v>
      </c>
      <c r="CI209" s="257"/>
      <c r="CJ209" s="437">
        <v>1147672.9307255514</v>
      </c>
      <c r="CK209" s="404">
        <v>43951</v>
      </c>
      <c r="CL209" s="404"/>
      <c r="CM209" s="437">
        <v>-58107.55750000001</v>
      </c>
      <c r="CO209" s="434">
        <v>335405.80743058637</v>
      </c>
      <c r="CP209" s="437">
        <v>286485.60408960812</v>
      </c>
      <c r="CQ209" s="437">
        <v>-299274.61193543719</v>
      </c>
      <c r="CR209" s="437">
        <v>114777.8548221044</v>
      </c>
      <c r="CS209" s="257"/>
    </row>
    <row r="210" spans="1:97" x14ac:dyDescent="0.2">
      <c r="A210" s="100">
        <v>683</v>
      </c>
      <c r="B210" s="100" t="s">
        <v>519</v>
      </c>
      <c r="C210" s="100">
        <v>3618</v>
      </c>
      <c r="D210" s="257"/>
      <c r="E210" s="257"/>
      <c r="F210" s="257"/>
      <c r="G210" s="257"/>
      <c r="H210" s="325"/>
      <c r="I210" s="257"/>
      <c r="J210" s="257"/>
      <c r="K210" s="257"/>
      <c r="L210" s="257"/>
      <c r="M210" s="257"/>
      <c r="N210" s="257"/>
      <c r="O210" s="257"/>
      <c r="P210" s="257"/>
      <c r="Q210" s="100">
        <v>164</v>
      </c>
      <c r="R210" s="100">
        <v>34</v>
      </c>
      <c r="S210" s="100">
        <v>298</v>
      </c>
      <c r="T210" s="100">
        <v>164</v>
      </c>
      <c r="U210" s="100">
        <v>2958</v>
      </c>
      <c r="V210" s="100"/>
      <c r="W210" s="100"/>
      <c r="X210" s="100"/>
      <c r="Y210" s="100"/>
      <c r="Z210" s="257"/>
      <c r="AA210" s="257"/>
      <c r="AB210" s="257"/>
      <c r="AC210" s="257"/>
      <c r="AD210" s="257"/>
      <c r="AE210" s="258">
        <v>0.7003723241467914</v>
      </c>
      <c r="AG210" s="441">
        <v>162.08333333333334</v>
      </c>
      <c r="AH210" s="443">
        <v>1427</v>
      </c>
      <c r="AJ210" s="88">
        <v>45</v>
      </c>
      <c r="AM210" s="88">
        <v>0</v>
      </c>
      <c r="AN210" s="88">
        <v>7</v>
      </c>
      <c r="AP210" s="88">
        <v>0</v>
      </c>
      <c r="AQ210" s="399">
        <v>0</v>
      </c>
      <c r="AR210" s="88">
        <v>3454.17</v>
      </c>
      <c r="AU210" s="399">
        <v>130</v>
      </c>
      <c r="AV210" s="399">
        <v>772</v>
      </c>
      <c r="AY210" s="88">
        <v>1.7670166666666667</v>
      </c>
      <c r="AZ210" s="432">
        <v>1188</v>
      </c>
      <c r="BA210" s="440">
        <v>1201</v>
      </c>
      <c r="BC210" s="439">
        <v>0</v>
      </c>
      <c r="BD210" s="88">
        <v>0</v>
      </c>
      <c r="BE210" s="88">
        <v>0</v>
      </c>
      <c r="BF210" s="434">
        <v>-106915.67</v>
      </c>
      <c r="BG210" s="100">
        <v>-71307.520000000004</v>
      </c>
      <c r="BH210" s="257"/>
      <c r="BI210" s="100"/>
      <c r="BJ210" s="257"/>
      <c r="BK210" s="100"/>
      <c r="BL210" s="100"/>
      <c r="BM210" s="100"/>
      <c r="BN210" s="257"/>
      <c r="BO210" s="100"/>
      <c r="BP210" s="100">
        <v>390442</v>
      </c>
      <c r="BQ210" s="100">
        <v>122609</v>
      </c>
      <c r="BR210" s="100">
        <v>347331.21264556574</v>
      </c>
      <c r="BS210" s="100">
        <v>19520.681091053913</v>
      </c>
      <c r="BT210" s="100">
        <v>49288.643283940051</v>
      </c>
      <c r="BU210" s="100">
        <v>162882.72037355308</v>
      </c>
      <c r="BV210" s="100">
        <v>214276.46054791639</v>
      </c>
      <c r="BW210" s="100">
        <v>320128.62437187933</v>
      </c>
      <c r="BX210" s="100">
        <v>93831.441759775567</v>
      </c>
      <c r="BY210" s="100">
        <v>177882.02778664883</v>
      </c>
      <c r="BZ210" s="257"/>
      <c r="CA210" s="100"/>
      <c r="CB210" s="257"/>
      <c r="CC210" s="257"/>
      <c r="CD210" s="257"/>
      <c r="CE210" s="100">
        <v>252353.83534358026</v>
      </c>
      <c r="CF210" s="100">
        <v>132981.72406705932</v>
      </c>
      <c r="CG210" s="100">
        <v>130011.31562804965</v>
      </c>
      <c r="CH210" s="100">
        <v>762159.80487067404</v>
      </c>
      <c r="CI210" s="257"/>
      <c r="CJ210" s="437">
        <v>2492447.4028989668</v>
      </c>
      <c r="CK210" s="404">
        <v>129722</v>
      </c>
      <c r="CL210" s="404"/>
      <c r="CM210" s="437">
        <v>4550.1424999999872</v>
      </c>
      <c r="CO210" s="434">
        <v>-129689.09923015794</v>
      </c>
      <c r="CP210" s="437">
        <v>142705.95928872193</v>
      </c>
      <c r="CQ210" s="437">
        <v>-327320.2980599794</v>
      </c>
      <c r="CR210" s="437">
        <v>125533.94157991951</v>
      </c>
      <c r="CS210" s="257"/>
    </row>
    <row r="211" spans="1:97" x14ac:dyDescent="0.2">
      <c r="A211" s="100">
        <v>684</v>
      </c>
      <c r="B211" s="100" t="s">
        <v>520</v>
      </c>
      <c r="C211" s="100">
        <v>38667</v>
      </c>
      <c r="D211" s="257"/>
      <c r="E211" s="257"/>
      <c r="F211" s="257"/>
      <c r="G211" s="257"/>
      <c r="H211" s="325"/>
      <c r="I211" s="257"/>
      <c r="J211" s="257"/>
      <c r="K211" s="257"/>
      <c r="L211" s="257"/>
      <c r="M211" s="257"/>
      <c r="N211" s="257"/>
      <c r="O211" s="257"/>
      <c r="P211" s="257"/>
      <c r="Q211" s="100">
        <v>1813</v>
      </c>
      <c r="R211" s="100">
        <v>338</v>
      </c>
      <c r="S211" s="100">
        <v>2353</v>
      </c>
      <c r="T211" s="100">
        <v>1235</v>
      </c>
      <c r="U211" s="100">
        <v>32928</v>
      </c>
      <c r="V211" s="100"/>
      <c r="W211" s="100"/>
      <c r="X211" s="100"/>
      <c r="Y211" s="100"/>
      <c r="Z211" s="257"/>
      <c r="AA211" s="257"/>
      <c r="AB211" s="257"/>
      <c r="AC211" s="257"/>
      <c r="AD211" s="257"/>
      <c r="AE211" s="258">
        <v>0.97764066965249807</v>
      </c>
      <c r="AG211" s="441">
        <v>1564.0833333333333</v>
      </c>
      <c r="AH211" s="443">
        <v>18012</v>
      </c>
      <c r="AJ211" s="88">
        <v>2934</v>
      </c>
      <c r="AM211" s="88">
        <v>0</v>
      </c>
      <c r="AN211" s="88">
        <v>117</v>
      </c>
      <c r="AP211" s="88">
        <v>0</v>
      </c>
      <c r="AQ211" s="399">
        <v>0</v>
      </c>
      <c r="AR211" s="88">
        <v>496.43</v>
      </c>
      <c r="AU211" s="399">
        <v>2045</v>
      </c>
      <c r="AV211" s="399">
        <v>11723</v>
      </c>
      <c r="AY211" s="88">
        <v>0</v>
      </c>
      <c r="AZ211" s="432">
        <v>16820</v>
      </c>
      <c r="BA211" s="440">
        <v>16420</v>
      </c>
      <c r="BC211" s="439">
        <v>0</v>
      </c>
      <c r="BD211" s="88">
        <v>0</v>
      </c>
      <c r="BE211" s="88">
        <v>3</v>
      </c>
      <c r="BF211" s="434">
        <v>-1365045.99</v>
      </c>
      <c r="BG211" s="100">
        <v>-749958.4</v>
      </c>
      <c r="BH211" s="257"/>
      <c r="BI211" s="100"/>
      <c r="BJ211" s="257"/>
      <c r="BK211" s="100"/>
      <c r="BL211" s="100"/>
      <c r="BM211" s="100"/>
      <c r="BN211" s="257"/>
      <c r="BO211" s="100"/>
      <c r="BP211" s="100">
        <v>2791678</v>
      </c>
      <c r="BQ211" s="100">
        <v>1004850</v>
      </c>
      <c r="BR211" s="100">
        <v>2239849.1841518381</v>
      </c>
      <c r="BS211" s="100">
        <v>98973.149852400791</v>
      </c>
      <c r="BT211" s="100">
        <v>-246556.05155528249</v>
      </c>
      <c r="BU211" s="100">
        <v>955269.06142467621</v>
      </c>
      <c r="BV211" s="100">
        <v>1905271.7645717259</v>
      </c>
      <c r="BW211" s="100">
        <v>3014864.1932441685</v>
      </c>
      <c r="BX211" s="100">
        <v>1134287.8098450401</v>
      </c>
      <c r="BY211" s="100">
        <v>1813915.2562913159</v>
      </c>
      <c r="BZ211" s="257"/>
      <c r="CA211" s="100"/>
      <c r="CB211" s="257"/>
      <c r="CC211" s="257"/>
      <c r="CD211" s="257"/>
      <c r="CE211" s="100">
        <v>4724703.5573128043</v>
      </c>
      <c r="CF211" s="100">
        <v>1332597.995242775</v>
      </c>
      <c r="CG211" s="100">
        <v>1467006.6618778487</v>
      </c>
      <c r="CH211" s="100">
        <v>6994486.0991022736</v>
      </c>
      <c r="CI211" s="257"/>
      <c r="CJ211" s="437">
        <v>19300.99825431214</v>
      </c>
      <c r="CK211" s="404">
        <v>-1519211</v>
      </c>
      <c r="CL211" s="404"/>
      <c r="CM211" s="437">
        <v>-2931970.1012499984</v>
      </c>
      <c r="CO211" s="434">
        <v>-329631.26073683082</v>
      </c>
      <c r="CP211" s="437">
        <v>807731.07946357725</v>
      </c>
      <c r="CQ211" s="437">
        <v>-3498201.7592828143</v>
      </c>
      <c r="CR211" s="437">
        <v>1341630.9892401183</v>
      </c>
      <c r="CS211" s="257"/>
    </row>
    <row r="212" spans="1:97" x14ac:dyDescent="0.2">
      <c r="A212" s="100">
        <v>686</v>
      </c>
      <c r="B212" s="100" t="s">
        <v>521</v>
      </c>
      <c r="C212" s="100">
        <v>2964</v>
      </c>
      <c r="D212" s="257"/>
      <c r="E212" s="257"/>
      <c r="F212" s="257"/>
      <c r="G212" s="257"/>
      <c r="H212" s="325"/>
      <c r="I212" s="257"/>
      <c r="J212" s="257"/>
      <c r="K212" s="257"/>
      <c r="L212" s="257"/>
      <c r="M212" s="257"/>
      <c r="N212" s="257"/>
      <c r="O212" s="257"/>
      <c r="P212" s="257"/>
      <c r="Q212" s="100">
        <v>90</v>
      </c>
      <c r="R212" s="100">
        <v>21</v>
      </c>
      <c r="S212" s="100">
        <v>153</v>
      </c>
      <c r="T212" s="100">
        <v>96</v>
      </c>
      <c r="U212" s="100">
        <v>2604</v>
      </c>
      <c r="V212" s="100"/>
      <c r="W212" s="100"/>
      <c r="X212" s="100"/>
      <c r="Y212" s="100"/>
      <c r="Z212" s="257"/>
      <c r="AA212" s="257"/>
      <c r="AB212" s="257"/>
      <c r="AC212" s="257"/>
      <c r="AD212" s="257"/>
      <c r="AE212" s="258">
        <v>0.97196606244526496</v>
      </c>
      <c r="AG212" s="441">
        <v>98.333333333333329</v>
      </c>
      <c r="AH212" s="443">
        <v>1171</v>
      </c>
      <c r="AJ212" s="88">
        <v>80</v>
      </c>
      <c r="AM212" s="88">
        <v>0</v>
      </c>
      <c r="AN212" s="88">
        <v>3</v>
      </c>
      <c r="AP212" s="88">
        <v>0</v>
      </c>
      <c r="AQ212" s="399">
        <v>0</v>
      </c>
      <c r="AR212" s="88">
        <v>538.95000000000005</v>
      </c>
      <c r="AU212" s="399">
        <v>89</v>
      </c>
      <c r="AV212" s="399">
        <v>716</v>
      </c>
      <c r="AY212" s="88">
        <v>1.22455</v>
      </c>
      <c r="AZ212" s="432">
        <v>868</v>
      </c>
      <c r="BA212" s="440">
        <v>1032</v>
      </c>
      <c r="BC212" s="439">
        <v>0</v>
      </c>
      <c r="BD212" s="88">
        <v>0</v>
      </c>
      <c r="BE212" s="88">
        <v>0</v>
      </c>
      <c r="BF212" s="434">
        <v>-127397.83500000001</v>
      </c>
      <c r="BG212" s="100">
        <v>-58648.130000000005</v>
      </c>
      <c r="BH212" s="257"/>
      <c r="BI212" s="100"/>
      <c r="BJ212" s="257"/>
      <c r="BK212" s="100"/>
      <c r="BL212" s="100"/>
      <c r="BM212" s="100"/>
      <c r="BN212" s="257"/>
      <c r="BO212" s="100"/>
      <c r="BP212" s="100">
        <v>362670</v>
      </c>
      <c r="BQ212" s="100">
        <v>102000</v>
      </c>
      <c r="BR212" s="100">
        <v>267642.68335153849</v>
      </c>
      <c r="BS212" s="100">
        <v>13261.625876543416</v>
      </c>
      <c r="BT212" s="100">
        <v>41439.795470267258</v>
      </c>
      <c r="BU212" s="100">
        <v>141735.98122573993</v>
      </c>
      <c r="BV212" s="100">
        <v>170023.73389113502</v>
      </c>
      <c r="BW212" s="100">
        <v>295831.91594265332</v>
      </c>
      <c r="BX212" s="100">
        <v>79431.954369478073</v>
      </c>
      <c r="BY212" s="100">
        <v>154362.25998894344</v>
      </c>
      <c r="BZ212" s="257"/>
      <c r="CA212" s="100"/>
      <c r="CB212" s="257"/>
      <c r="CC212" s="257"/>
      <c r="CD212" s="257"/>
      <c r="CE212" s="100">
        <v>220006.05179252618</v>
      </c>
      <c r="CF212" s="100">
        <v>116377.74932455209</v>
      </c>
      <c r="CG212" s="100">
        <v>102056.74823110791</v>
      </c>
      <c r="CH212" s="100">
        <v>666944.04381339496</v>
      </c>
      <c r="CI212" s="257"/>
      <c r="CJ212" s="437">
        <v>1397377.5114989683</v>
      </c>
      <c r="CK212" s="404">
        <v>565808</v>
      </c>
      <c r="CL212" s="404"/>
      <c r="CM212" s="437">
        <v>10457.868499999997</v>
      </c>
      <c r="CO212" s="434">
        <v>-181328.55915768055</v>
      </c>
      <c r="CP212" s="437">
        <v>-224141.91457212699</v>
      </c>
      <c r="CQ212" s="437">
        <v>-268152.9473327194</v>
      </c>
      <c r="CR212" s="437">
        <v>102842.06822633538</v>
      </c>
      <c r="CS212" s="257"/>
    </row>
    <row r="213" spans="1:97" x14ac:dyDescent="0.2">
      <c r="A213" s="100">
        <v>687</v>
      </c>
      <c r="B213" s="100" t="s">
        <v>522</v>
      </c>
      <c r="C213" s="100">
        <v>1477</v>
      </c>
      <c r="D213" s="257"/>
      <c r="E213" s="257"/>
      <c r="F213" s="257"/>
      <c r="G213" s="257"/>
      <c r="H213" s="325"/>
      <c r="I213" s="257"/>
      <c r="J213" s="257"/>
      <c r="K213" s="257"/>
      <c r="L213" s="257"/>
      <c r="M213" s="257"/>
      <c r="N213" s="257"/>
      <c r="O213" s="257"/>
      <c r="P213" s="257"/>
      <c r="Q213" s="100">
        <v>34</v>
      </c>
      <c r="R213" s="100">
        <v>5</v>
      </c>
      <c r="S213" s="100">
        <v>66</v>
      </c>
      <c r="T213" s="100">
        <v>49</v>
      </c>
      <c r="U213" s="100">
        <v>1323</v>
      </c>
      <c r="V213" s="100"/>
      <c r="W213" s="100"/>
      <c r="X213" s="100"/>
      <c r="Y213" s="100"/>
      <c r="Z213" s="257"/>
      <c r="AA213" s="257"/>
      <c r="AB213" s="257"/>
      <c r="AC213" s="257"/>
      <c r="AD213" s="257"/>
      <c r="AE213" s="258">
        <v>0.64521100655305574</v>
      </c>
      <c r="AG213" s="441">
        <v>55.916666666666664</v>
      </c>
      <c r="AH213" s="443">
        <v>536</v>
      </c>
      <c r="AJ213" s="88">
        <v>18</v>
      </c>
      <c r="AM213" s="88">
        <v>0</v>
      </c>
      <c r="AN213" s="88">
        <v>0</v>
      </c>
      <c r="AP213" s="88">
        <v>0</v>
      </c>
      <c r="AQ213" s="399">
        <v>0</v>
      </c>
      <c r="AR213" s="88">
        <v>1150.6300000000001</v>
      </c>
      <c r="AU213" s="399">
        <v>48</v>
      </c>
      <c r="AV213" s="399">
        <v>302</v>
      </c>
      <c r="AY213" s="88">
        <v>1.7679666666666667</v>
      </c>
      <c r="AZ213" s="432">
        <v>407</v>
      </c>
      <c r="BA213" s="440">
        <v>449</v>
      </c>
      <c r="BC213" s="439">
        <v>0</v>
      </c>
      <c r="BD213" s="88">
        <v>0</v>
      </c>
      <c r="BE213" s="88">
        <v>0</v>
      </c>
      <c r="BF213" s="434">
        <v>-62384.264999999999</v>
      </c>
      <c r="BG213" s="100">
        <v>-29986.81</v>
      </c>
      <c r="BH213" s="257"/>
      <c r="BI213" s="100"/>
      <c r="BJ213" s="257"/>
      <c r="BK213" s="100"/>
      <c r="BL213" s="100"/>
      <c r="BM213" s="100"/>
      <c r="BN213" s="257"/>
      <c r="BO213" s="100"/>
      <c r="BP213" s="100">
        <v>218394</v>
      </c>
      <c r="BQ213" s="100">
        <v>59737</v>
      </c>
      <c r="BR213" s="100">
        <v>173456.83602170279</v>
      </c>
      <c r="BS213" s="100">
        <v>9949.9820201028579</v>
      </c>
      <c r="BT213" s="100">
        <v>29351.961617280187</v>
      </c>
      <c r="BU213" s="100">
        <v>82980.829580676524</v>
      </c>
      <c r="BV213" s="100">
        <v>94923.594795330529</v>
      </c>
      <c r="BW213" s="100">
        <v>146572.19571545711</v>
      </c>
      <c r="BX213" s="100">
        <v>46860.109769195558</v>
      </c>
      <c r="BY213" s="100">
        <v>87182.780620565492</v>
      </c>
      <c r="BZ213" s="257"/>
      <c r="CA213" s="100"/>
      <c r="CB213" s="257"/>
      <c r="CC213" s="257"/>
      <c r="CD213" s="257"/>
      <c r="CE213" s="100">
        <v>125192.00739380659</v>
      </c>
      <c r="CF213" s="100">
        <v>63840.055087677341</v>
      </c>
      <c r="CG213" s="100">
        <v>54911.180268248041</v>
      </c>
      <c r="CH213" s="100">
        <v>377030.6913369656</v>
      </c>
      <c r="CI213" s="257"/>
      <c r="CJ213" s="437">
        <v>155652.45034538591</v>
      </c>
      <c r="CK213" s="404">
        <v>145541</v>
      </c>
      <c r="CL213" s="404"/>
      <c r="CM213" s="437">
        <v>199982.49249999999</v>
      </c>
      <c r="CO213" s="434">
        <v>80950.384193017919</v>
      </c>
      <c r="CP213" s="437">
        <v>-87689.874794166622</v>
      </c>
      <c r="CQ213" s="437">
        <v>-133624.12389015741</v>
      </c>
      <c r="CR213" s="437">
        <v>51247.548842880351</v>
      </c>
      <c r="CS213" s="257"/>
    </row>
    <row r="214" spans="1:97" x14ac:dyDescent="0.2">
      <c r="A214" s="100">
        <v>689</v>
      </c>
      <c r="B214" s="100" t="s">
        <v>523</v>
      </c>
      <c r="C214" s="100">
        <v>3093</v>
      </c>
      <c r="D214" s="257"/>
      <c r="E214" s="257"/>
      <c r="F214" s="257"/>
      <c r="G214" s="257"/>
      <c r="H214" s="325"/>
      <c r="I214" s="257"/>
      <c r="J214" s="257"/>
      <c r="K214" s="257"/>
      <c r="L214" s="257"/>
      <c r="M214" s="257"/>
      <c r="N214" s="257"/>
      <c r="O214" s="257"/>
      <c r="P214" s="257"/>
      <c r="Q214" s="100">
        <v>76</v>
      </c>
      <c r="R214" s="100">
        <v>15</v>
      </c>
      <c r="S214" s="100">
        <v>126</v>
      </c>
      <c r="T214" s="100">
        <v>78</v>
      </c>
      <c r="U214" s="100">
        <v>2798</v>
      </c>
      <c r="V214" s="100"/>
      <c r="W214" s="100"/>
      <c r="X214" s="100"/>
      <c r="Y214" s="100"/>
      <c r="Z214" s="257"/>
      <c r="AA214" s="257"/>
      <c r="AB214" s="257"/>
      <c r="AC214" s="257"/>
      <c r="AD214" s="257"/>
      <c r="AE214" s="258">
        <v>0.87686342985088139</v>
      </c>
      <c r="AG214" s="441">
        <v>151.16666666666666</v>
      </c>
      <c r="AH214" s="443">
        <v>1185</v>
      </c>
      <c r="AJ214" s="88">
        <v>111</v>
      </c>
      <c r="AM214" s="88">
        <v>0</v>
      </c>
      <c r="AN214" s="88">
        <v>5</v>
      </c>
      <c r="AP214" s="88">
        <v>0</v>
      </c>
      <c r="AQ214" s="399">
        <v>0</v>
      </c>
      <c r="AR214" s="88">
        <v>351.47</v>
      </c>
      <c r="AU214" s="399">
        <v>112</v>
      </c>
      <c r="AV214" s="399">
        <v>694</v>
      </c>
      <c r="AY214" s="88">
        <v>1.0862000000000001</v>
      </c>
      <c r="AZ214" s="432">
        <v>894</v>
      </c>
      <c r="BA214" s="440">
        <v>963</v>
      </c>
      <c r="BC214" s="439">
        <v>0</v>
      </c>
      <c r="BD214" s="88">
        <v>0</v>
      </c>
      <c r="BE214" s="88">
        <v>0</v>
      </c>
      <c r="BF214" s="434">
        <v>-106432.575</v>
      </c>
      <c r="BG214" s="100">
        <v>-60434.66</v>
      </c>
      <c r="BH214" s="257"/>
      <c r="BI214" s="100"/>
      <c r="BJ214" s="257"/>
      <c r="BK214" s="100"/>
      <c r="BL214" s="100"/>
      <c r="BM214" s="100"/>
      <c r="BN214" s="257"/>
      <c r="BO214" s="100"/>
      <c r="BP214" s="100">
        <v>325681</v>
      </c>
      <c r="BQ214" s="100">
        <v>97347</v>
      </c>
      <c r="BR214" s="100">
        <v>241802.75114383121</v>
      </c>
      <c r="BS214" s="100">
        <v>12693.207108820638</v>
      </c>
      <c r="BT214" s="100">
        <v>48835.586890509971</v>
      </c>
      <c r="BU214" s="100">
        <v>132015.90703346976</v>
      </c>
      <c r="BV214" s="100">
        <v>166885.05560943205</v>
      </c>
      <c r="BW214" s="100">
        <v>280292.94047990604</v>
      </c>
      <c r="BX214" s="100">
        <v>76194.953267757854</v>
      </c>
      <c r="BY214" s="100">
        <v>135895.78831440024</v>
      </c>
      <c r="BZ214" s="257"/>
      <c r="CA214" s="100"/>
      <c r="CB214" s="257"/>
      <c r="CC214" s="257"/>
      <c r="CD214" s="257"/>
      <c r="CE214" s="100">
        <v>172840.80402792315</v>
      </c>
      <c r="CF214" s="100">
        <v>95853.891097220112</v>
      </c>
      <c r="CG214" s="100">
        <v>94841.408288988328</v>
      </c>
      <c r="CH214" s="100">
        <v>588431.24081252282</v>
      </c>
      <c r="CI214" s="257"/>
      <c r="CJ214" s="437">
        <v>-20773.005539406837</v>
      </c>
      <c r="CK214" s="404">
        <v>-116038</v>
      </c>
      <c r="CL214" s="404"/>
      <c r="CM214" s="437">
        <v>3147.8035000000018</v>
      </c>
      <c r="CO214" s="434">
        <v>1419856.4234577618</v>
      </c>
      <c r="CP214" s="437">
        <v>924147.61065427028</v>
      </c>
      <c r="CQ214" s="437">
        <v>-279823.57155873859</v>
      </c>
      <c r="CR214" s="437">
        <v>107317.98819974877</v>
      </c>
      <c r="CS214" s="257"/>
    </row>
    <row r="215" spans="1:97" x14ac:dyDescent="0.2">
      <c r="A215" s="100">
        <v>691</v>
      </c>
      <c r="B215" s="100" t="s">
        <v>524</v>
      </c>
      <c r="C215" s="100">
        <v>2636</v>
      </c>
      <c r="D215" s="257"/>
      <c r="E215" s="257"/>
      <c r="F215" s="257"/>
      <c r="G215" s="257"/>
      <c r="H215" s="325"/>
      <c r="I215" s="257"/>
      <c r="J215" s="257"/>
      <c r="K215" s="257"/>
      <c r="L215" s="257"/>
      <c r="M215" s="257"/>
      <c r="N215" s="257"/>
      <c r="O215" s="257"/>
      <c r="P215" s="257"/>
      <c r="Q215" s="100">
        <v>163</v>
      </c>
      <c r="R215" s="100">
        <v>39</v>
      </c>
      <c r="S215" s="100">
        <v>199</v>
      </c>
      <c r="T215" s="100">
        <v>119</v>
      </c>
      <c r="U215" s="100">
        <v>2116</v>
      </c>
      <c r="V215" s="100"/>
      <c r="W215" s="100"/>
      <c r="X215" s="100"/>
      <c r="Y215" s="100"/>
      <c r="Z215" s="257"/>
      <c r="AA215" s="257"/>
      <c r="AB215" s="257"/>
      <c r="AC215" s="257"/>
      <c r="AD215" s="257"/>
      <c r="AE215" s="258">
        <v>0.84941207063836976</v>
      </c>
      <c r="AG215" s="441">
        <v>61.833333333333336</v>
      </c>
      <c r="AH215" s="443">
        <v>1095</v>
      </c>
      <c r="AJ215" s="88">
        <v>9</v>
      </c>
      <c r="AM215" s="88">
        <v>0</v>
      </c>
      <c r="AN215" s="88">
        <v>2</v>
      </c>
      <c r="AP215" s="88">
        <v>0</v>
      </c>
      <c r="AQ215" s="399">
        <v>0</v>
      </c>
      <c r="AR215" s="88">
        <v>474.39</v>
      </c>
      <c r="AU215" s="399">
        <v>104</v>
      </c>
      <c r="AV215" s="399">
        <v>633</v>
      </c>
      <c r="AY215" s="88">
        <v>1.246</v>
      </c>
      <c r="AZ215" s="432">
        <v>904</v>
      </c>
      <c r="BA215" s="440">
        <v>980</v>
      </c>
      <c r="BC215" s="439">
        <v>0</v>
      </c>
      <c r="BD215" s="88">
        <v>0</v>
      </c>
      <c r="BE215" s="88">
        <v>0</v>
      </c>
      <c r="BF215" s="434">
        <v>-52217.06</v>
      </c>
      <c r="BG215" s="100">
        <v>-52059.100000000006</v>
      </c>
      <c r="BH215" s="257"/>
      <c r="BI215" s="100"/>
      <c r="BJ215" s="257"/>
      <c r="BK215" s="100"/>
      <c r="BL215" s="100"/>
      <c r="BM215" s="100"/>
      <c r="BN215" s="257"/>
      <c r="BO215" s="100"/>
      <c r="BP215" s="100">
        <v>279753</v>
      </c>
      <c r="BQ215" s="100">
        <v>82585</v>
      </c>
      <c r="BR215" s="100">
        <v>234894.54925491245</v>
      </c>
      <c r="BS215" s="100">
        <v>11397.254284469251</v>
      </c>
      <c r="BT215" s="100">
        <v>43223.195023402732</v>
      </c>
      <c r="BU215" s="100">
        <v>116300.28153997274</v>
      </c>
      <c r="BV215" s="100">
        <v>159182.77197731164</v>
      </c>
      <c r="BW215" s="100">
        <v>290154.13399775798</v>
      </c>
      <c r="BX215" s="100">
        <v>74547.255121681243</v>
      </c>
      <c r="BY215" s="100">
        <v>137589.4888417758</v>
      </c>
      <c r="BZ215" s="257"/>
      <c r="CA215" s="100"/>
      <c r="CB215" s="257"/>
      <c r="CC215" s="257"/>
      <c r="CD215" s="257"/>
      <c r="CE215" s="100">
        <v>194956.26325318945</v>
      </c>
      <c r="CF215" s="100">
        <v>99726.181667758181</v>
      </c>
      <c r="CG215" s="100">
        <v>101532.57298890543</v>
      </c>
      <c r="CH215" s="100">
        <v>641849.22308627202</v>
      </c>
      <c r="CI215" s="257"/>
      <c r="CJ215" s="437">
        <v>1708881.6675977139</v>
      </c>
      <c r="CK215" s="404">
        <v>33701</v>
      </c>
      <c r="CL215" s="404"/>
      <c r="CM215" s="437">
        <v>-20811.307499999995</v>
      </c>
      <c r="CO215" s="434">
        <v>539954.93317346612</v>
      </c>
      <c r="CP215" s="437">
        <v>5793.3043011915915</v>
      </c>
      <c r="CQ215" s="437">
        <v>-238478.802013849</v>
      </c>
      <c r="CR215" s="437">
        <v>91461.434495485853</v>
      </c>
      <c r="CS215" s="257"/>
    </row>
    <row r="216" spans="1:97" x14ac:dyDescent="0.2">
      <c r="A216" s="100">
        <v>694</v>
      </c>
      <c r="B216" s="100" t="s">
        <v>525</v>
      </c>
      <c r="C216" s="100">
        <v>28349</v>
      </c>
      <c r="D216" s="257"/>
      <c r="E216" s="257"/>
      <c r="F216" s="257"/>
      <c r="G216" s="257"/>
      <c r="H216" s="325"/>
      <c r="I216" s="257"/>
      <c r="J216" s="257"/>
      <c r="K216" s="257"/>
      <c r="L216" s="257"/>
      <c r="M216" s="257"/>
      <c r="N216" s="257"/>
      <c r="O216" s="257"/>
      <c r="P216" s="257"/>
      <c r="Q216" s="100">
        <v>1333</v>
      </c>
      <c r="R216" s="100">
        <v>255</v>
      </c>
      <c r="S216" s="100">
        <v>1880</v>
      </c>
      <c r="T216" s="100">
        <v>1064</v>
      </c>
      <c r="U216" s="100">
        <v>23817</v>
      </c>
      <c r="V216" s="100"/>
      <c r="W216" s="100"/>
      <c r="X216" s="100"/>
      <c r="Y216" s="100"/>
      <c r="Z216" s="257"/>
      <c r="AA216" s="257"/>
      <c r="AB216" s="257"/>
      <c r="AC216" s="257"/>
      <c r="AD216" s="257"/>
      <c r="AE216" s="258">
        <v>1.1151420071707829</v>
      </c>
      <c r="AG216" s="441">
        <v>1217.8333333333333</v>
      </c>
      <c r="AH216" s="443">
        <v>13528</v>
      </c>
      <c r="AJ216" s="88">
        <v>1568</v>
      </c>
      <c r="AM216" s="88">
        <v>0</v>
      </c>
      <c r="AN216" s="88">
        <v>113</v>
      </c>
      <c r="AP216" s="88">
        <v>0</v>
      </c>
      <c r="AQ216" s="399">
        <v>0</v>
      </c>
      <c r="AR216" s="88">
        <v>121.01</v>
      </c>
      <c r="AU216" s="399">
        <v>1257</v>
      </c>
      <c r="AV216" s="399">
        <v>8763</v>
      </c>
      <c r="AY216" s="88">
        <v>0</v>
      </c>
      <c r="AZ216" s="432">
        <v>11711</v>
      </c>
      <c r="BA216" s="440">
        <v>12233</v>
      </c>
      <c r="BC216" s="439">
        <v>0</v>
      </c>
      <c r="BD216" s="88">
        <v>0</v>
      </c>
      <c r="BE216" s="88">
        <v>2</v>
      </c>
      <c r="BF216" s="434">
        <v>-2106374.716</v>
      </c>
      <c r="BG216" s="100">
        <v>-551519.1</v>
      </c>
      <c r="BH216" s="257"/>
      <c r="BI216" s="100"/>
      <c r="BJ216" s="257"/>
      <c r="BK216" s="100"/>
      <c r="BL216" s="100"/>
      <c r="BM216" s="100"/>
      <c r="BN216" s="257"/>
      <c r="BO216" s="100"/>
      <c r="BP216" s="100">
        <v>1862094</v>
      </c>
      <c r="BQ216" s="100">
        <v>644858</v>
      </c>
      <c r="BR216" s="100">
        <v>1377691.1378719537</v>
      </c>
      <c r="BS216" s="100">
        <v>37343.723898934812</v>
      </c>
      <c r="BT216" s="100">
        <v>125027.78905120381</v>
      </c>
      <c r="BU216" s="100">
        <v>564070.10810071311</v>
      </c>
      <c r="BV216" s="100">
        <v>1348464.5471801157</v>
      </c>
      <c r="BW216" s="100">
        <v>2106124.3002889347</v>
      </c>
      <c r="BX216" s="100">
        <v>643405.0512731222</v>
      </c>
      <c r="BY216" s="100">
        <v>1110852.129278579</v>
      </c>
      <c r="BZ216" s="257"/>
      <c r="CA216" s="100"/>
      <c r="CB216" s="257"/>
      <c r="CC216" s="257"/>
      <c r="CD216" s="257"/>
      <c r="CE216" s="100">
        <v>1349792.11827776</v>
      </c>
      <c r="CF216" s="100">
        <v>893173.18058569345</v>
      </c>
      <c r="CG216" s="100">
        <v>910086.0976110351</v>
      </c>
      <c r="CH216" s="100">
        <v>4263642.6319200806</v>
      </c>
      <c r="CI216" s="257"/>
      <c r="CJ216" s="437">
        <v>767934.28666146309</v>
      </c>
      <c r="CK216" s="404">
        <v>332944</v>
      </c>
      <c r="CL216" s="404"/>
      <c r="CM216" s="437">
        <v>262491.00750000007</v>
      </c>
      <c r="CO216" s="434">
        <v>-1477315.1343894394</v>
      </c>
      <c r="CP216" s="437">
        <v>54731.46125881037</v>
      </c>
      <c r="CQ216" s="437">
        <v>-2564732.7611117624</v>
      </c>
      <c r="CR216" s="437">
        <v>983626.78547516256</v>
      </c>
      <c r="CS216" s="257"/>
    </row>
    <row r="217" spans="1:97" x14ac:dyDescent="0.2">
      <c r="A217" s="100">
        <v>697</v>
      </c>
      <c r="B217" s="100" t="s">
        <v>526</v>
      </c>
      <c r="C217" s="100">
        <v>1174</v>
      </c>
      <c r="D217" s="257"/>
      <c r="E217" s="257"/>
      <c r="F217" s="257"/>
      <c r="G217" s="257"/>
      <c r="H217" s="325"/>
      <c r="I217" s="257"/>
      <c r="J217" s="257"/>
      <c r="K217" s="257"/>
      <c r="L217" s="257"/>
      <c r="M217" s="257"/>
      <c r="N217" s="257"/>
      <c r="O217" s="257"/>
      <c r="P217" s="257"/>
      <c r="Q217" s="100">
        <v>39</v>
      </c>
      <c r="R217" s="100">
        <v>10</v>
      </c>
      <c r="S217" s="100">
        <v>49</v>
      </c>
      <c r="T217" s="100">
        <v>32</v>
      </c>
      <c r="U217" s="100">
        <v>1044</v>
      </c>
      <c r="V217" s="100"/>
      <c r="W217" s="100"/>
      <c r="X217" s="100"/>
      <c r="Y217" s="100"/>
      <c r="Z217" s="257"/>
      <c r="AA217" s="257"/>
      <c r="AB217" s="257"/>
      <c r="AC217" s="257"/>
      <c r="AD217" s="257"/>
      <c r="AE217" s="258">
        <v>1.1722959412179905</v>
      </c>
      <c r="AG217" s="441">
        <v>46.416666666666664</v>
      </c>
      <c r="AH217" s="443">
        <v>494</v>
      </c>
      <c r="AJ217" s="88">
        <v>20</v>
      </c>
      <c r="AM217" s="88">
        <v>0</v>
      </c>
      <c r="AN217" s="88">
        <v>0</v>
      </c>
      <c r="AP217" s="88">
        <v>0</v>
      </c>
      <c r="AQ217" s="399">
        <v>0</v>
      </c>
      <c r="AR217" s="88">
        <v>835.83</v>
      </c>
      <c r="AU217" s="399">
        <v>28</v>
      </c>
      <c r="AV217" s="399">
        <v>238</v>
      </c>
      <c r="AY217" s="88">
        <v>1.0741833333333333</v>
      </c>
      <c r="AZ217" s="432">
        <v>280</v>
      </c>
      <c r="BA217" s="440">
        <v>433</v>
      </c>
      <c r="BC217" s="439">
        <v>0</v>
      </c>
      <c r="BD217" s="88">
        <v>0</v>
      </c>
      <c r="BE217" s="88">
        <v>0</v>
      </c>
      <c r="BF217" s="434">
        <v>-14097.73</v>
      </c>
      <c r="BG217" s="100">
        <v>-23724.350000000002</v>
      </c>
      <c r="BH217" s="257"/>
      <c r="BI217" s="100"/>
      <c r="BJ217" s="257"/>
      <c r="BK217" s="100"/>
      <c r="BL217" s="100"/>
      <c r="BM217" s="100"/>
      <c r="BN217" s="257"/>
      <c r="BO217" s="100"/>
      <c r="BP217" s="100">
        <v>160754</v>
      </c>
      <c r="BQ217" s="100">
        <v>49462</v>
      </c>
      <c r="BR217" s="100">
        <v>124485.65817589301</v>
      </c>
      <c r="BS217" s="100">
        <v>7172.2060367844988</v>
      </c>
      <c r="BT217" s="100">
        <v>22496.753395076463</v>
      </c>
      <c r="BU217" s="100">
        <v>55433.955616155188</v>
      </c>
      <c r="BV217" s="100">
        <v>80855.7585815372</v>
      </c>
      <c r="BW217" s="100">
        <v>122685.15994105836</v>
      </c>
      <c r="BX217" s="100">
        <v>38672.477677938157</v>
      </c>
      <c r="BY217" s="100">
        <v>64114.954434536216</v>
      </c>
      <c r="BZ217" s="257"/>
      <c r="CA217" s="100"/>
      <c r="CB217" s="257"/>
      <c r="CC217" s="257"/>
      <c r="CD217" s="257"/>
      <c r="CE217" s="100">
        <v>88317.987608475902</v>
      </c>
      <c r="CF217" s="100">
        <v>44680.555159620308</v>
      </c>
      <c r="CG217" s="100">
        <v>47117.68783062118</v>
      </c>
      <c r="CH217" s="100">
        <v>289700.64148855588</v>
      </c>
      <c r="CI217" s="257"/>
      <c r="CJ217" s="437">
        <v>419727.00138191832</v>
      </c>
      <c r="CK217" s="404">
        <v>-197387</v>
      </c>
      <c r="CL217" s="404"/>
      <c r="CM217" s="437">
        <v>26077.538</v>
      </c>
      <c r="CO217" s="434">
        <v>-129770.52122820845</v>
      </c>
      <c r="CP217" s="437">
        <v>-62244.370722730819</v>
      </c>
      <c r="CQ217" s="437">
        <v>-106211.72745229845</v>
      </c>
      <c r="CR217" s="437">
        <v>40734.341463467528</v>
      </c>
      <c r="CS217" s="257"/>
    </row>
    <row r="218" spans="1:97" x14ac:dyDescent="0.2">
      <c r="A218" s="100">
        <v>698</v>
      </c>
      <c r="B218" s="100" t="s">
        <v>527</v>
      </c>
      <c r="C218" s="100">
        <v>64535</v>
      </c>
      <c r="D218" s="257"/>
      <c r="E218" s="257"/>
      <c r="F218" s="257"/>
      <c r="G218" s="257"/>
      <c r="H218" s="325"/>
      <c r="I218" s="257"/>
      <c r="J218" s="257"/>
      <c r="K218" s="257"/>
      <c r="L218" s="257"/>
      <c r="M218" s="257"/>
      <c r="N218" s="257"/>
      <c r="O218" s="257"/>
      <c r="P218" s="257"/>
      <c r="Q218" s="100">
        <v>3623</v>
      </c>
      <c r="R218" s="100">
        <v>643</v>
      </c>
      <c r="S218" s="100">
        <v>4438</v>
      </c>
      <c r="T218" s="100">
        <v>2285</v>
      </c>
      <c r="U218" s="100">
        <v>53546</v>
      </c>
      <c r="V218" s="100"/>
      <c r="W218" s="100"/>
      <c r="X218" s="100"/>
      <c r="Y218" s="100"/>
      <c r="Z218" s="257"/>
      <c r="AA218" s="257"/>
      <c r="AB218" s="257"/>
      <c r="AC218" s="257"/>
      <c r="AD218" s="257"/>
      <c r="AE218" s="258">
        <v>0.96458788271931983</v>
      </c>
      <c r="AG218" s="441">
        <v>3028.25</v>
      </c>
      <c r="AH218" s="443">
        <v>30693</v>
      </c>
      <c r="AJ218" s="88">
        <v>2502</v>
      </c>
      <c r="AM218" s="88">
        <v>0</v>
      </c>
      <c r="AN218" s="88">
        <v>137</v>
      </c>
      <c r="AP218" s="88">
        <v>0</v>
      </c>
      <c r="AQ218" s="399">
        <v>0</v>
      </c>
      <c r="AR218" s="88">
        <v>7581.63</v>
      </c>
      <c r="AU218" s="399">
        <v>1885</v>
      </c>
      <c r="AV218" s="399">
        <v>19808</v>
      </c>
      <c r="AY218" s="88">
        <v>0</v>
      </c>
      <c r="AZ218" s="432">
        <v>27213</v>
      </c>
      <c r="BA218" s="440">
        <v>27798</v>
      </c>
      <c r="BC218" s="439">
        <v>0.78</v>
      </c>
      <c r="BD218" s="88">
        <v>0</v>
      </c>
      <c r="BE218" s="88">
        <v>197</v>
      </c>
      <c r="BF218" s="434">
        <v>-2888568.1074999999</v>
      </c>
      <c r="BG218" s="100">
        <v>-1220372.8800000001</v>
      </c>
      <c r="BH218" s="257"/>
      <c r="BI218" s="100"/>
      <c r="BJ218" s="257"/>
      <c r="BK218" s="100"/>
      <c r="BL218" s="100"/>
      <c r="BM218" s="100"/>
      <c r="BN218" s="257"/>
      <c r="BO218" s="100"/>
      <c r="BP218" s="100">
        <v>4170263</v>
      </c>
      <c r="BQ218" s="100">
        <v>1400370</v>
      </c>
      <c r="BR218" s="100">
        <v>3556984.1957876254</v>
      </c>
      <c r="BS218" s="100">
        <v>130689.61392386896</v>
      </c>
      <c r="BT218" s="100">
        <v>170271.45091107712</v>
      </c>
      <c r="BU218" s="100">
        <v>1530495.8688007353</v>
      </c>
      <c r="BV218" s="100">
        <v>3039795.0447149575</v>
      </c>
      <c r="BW218" s="100">
        <v>4487658.9408401158</v>
      </c>
      <c r="BX218" s="100">
        <v>1486426.2087844117</v>
      </c>
      <c r="BY218" s="100">
        <v>2651524.0560848992</v>
      </c>
      <c r="BZ218" s="257"/>
      <c r="CA218" s="100"/>
      <c r="CB218" s="257"/>
      <c r="CC218" s="257"/>
      <c r="CD218" s="257"/>
      <c r="CE218" s="100">
        <v>3383597.7885625116</v>
      </c>
      <c r="CF218" s="100">
        <v>2151932.7038128218</v>
      </c>
      <c r="CG218" s="100">
        <v>2074504.0798393257</v>
      </c>
      <c r="CH218" s="100">
        <v>9664295.5870860573</v>
      </c>
      <c r="CI218" s="257"/>
      <c r="CJ218" s="437">
        <v>16703201.161491858</v>
      </c>
      <c r="CK218" s="404">
        <v>-3799357</v>
      </c>
      <c r="CL218" s="404"/>
      <c r="CM218" s="437">
        <v>-5284739.8829499986</v>
      </c>
      <c r="CO218" s="434">
        <v>-18179562.115658384</v>
      </c>
      <c r="CP218" s="437">
        <v>-11074506.185437359</v>
      </c>
      <c r="CQ218" s="437">
        <v>-5838478.5614429982</v>
      </c>
      <c r="CR218" s="437">
        <v>2239174.3835987025</v>
      </c>
      <c r="CS218" s="257"/>
    </row>
    <row r="219" spans="1:97" x14ac:dyDescent="0.2">
      <c r="A219" s="100">
        <v>700</v>
      </c>
      <c r="B219" s="100" t="s">
        <v>528</v>
      </c>
      <c r="C219" s="100">
        <v>4842</v>
      </c>
      <c r="D219" s="257"/>
      <c r="E219" s="257"/>
      <c r="F219" s="257"/>
      <c r="G219" s="257"/>
      <c r="H219" s="325"/>
      <c r="I219" s="257"/>
      <c r="J219" s="257"/>
      <c r="K219" s="257"/>
      <c r="L219" s="257"/>
      <c r="M219" s="257"/>
      <c r="N219" s="257"/>
      <c r="O219" s="257"/>
      <c r="P219" s="257"/>
      <c r="Q219" s="100">
        <v>150</v>
      </c>
      <c r="R219" s="100">
        <v>37</v>
      </c>
      <c r="S219" s="100">
        <v>266</v>
      </c>
      <c r="T219" s="100">
        <v>150</v>
      </c>
      <c r="U219" s="100">
        <v>4239</v>
      </c>
      <c r="V219" s="100"/>
      <c r="W219" s="100"/>
      <c r="X219" s="100"/>
      <c r="Y219" s="100"/>
      <c r="Z219" s="257"/>
      <c r="AA219" s="257"/>
      <c r="AB219" s="257"/>
      <c r="AC219" s="257"/>
      <c r="AD219" s="257"/>
      <c r="AE219" s="258">
        <v>1.0270223576763018</v>
      </c>
      <c r="AG219" s="441">
        <v>194.16666666666666</v>
      </c>
      <c r="AH219" s="443">
        <v>2001</v>
      </c>
      <c r="AJ219" s="88">
        <v>153</v>
      </c>
      <c r="AM219" s="88">
        <v>0</v>
      </c>
      <c r="AN219" s="88">
        <v>11</v>
      </c>
      <c r="AP219" s="88">
        <v>3</v>
      </c>
      <c r="AQ219" s="399">
        <v>315</v>
      </c>
      <c r="AR219" s="88">
        <v>942.09</v>
      </c>
      <c r="AU219" s="399">
        <v>158</v>
      </c>
      <c r="AV219" s="399">
        <v>1220</v>
      </c>
      <c r="AY219" s="88">
        <v>7.9149999999999998E-2</v>
      </c>
      <c r="AZ219" s="432">
        <v>1006</v>
      </c>
      <c r="BA219" s="440">
        <v>1726</v>
      </c>
      <c r="BC219" s="439">
        <v>0</v>
      </c>
      <c r="BD219" s="88">
        <v>0</v>
      </c>
      <c r="BE219" s="88">
        <v>0</v>
      </c>
      <c r="BF219" s="434">
        <v>-118292.075</v>
      </c>
      <c r="BG219" s="100">
        <v>-94551.62000000001</v>
      </c>
      <c r="BH219" s="257"/>
      <c r="BI219" s="100"/>
      <c r="BJ219" s="257"/>
      <c r="BK219" s="100"/>
      <c r="BL219" s="100"/>
      <c r="BM219" s="100"/>
      <c r="BN219" s="257"/>
      <c r="BO219" s="100"/>
      <c r="BP219" s="100">
        <v>450007</v>
      </c>
      <c r="BQ219" s="100">
        <v>136482</v>
      </c>
      <c r="BR219" s="100">
        <v>271197.13744083105</v>
      </c>
      <c r="BS219" s="100">
        <v>13584.735741688815</v>
      </c>
      <c r="BT219" s="100">
        <v>29722.573333173579</v>
      </c>
      <c r="BU219" s="100">
        <v>156223.5218588037</v>
      </c>
      <c r="BV219" s="100">
        <v>258715.99132247956</v>
      </c>
      <c r="BW219" s="100">
        <v>425231.14270262397</v>
      </c>
      <c r="BX219" s="100">
        <v>110087.1294553271</v>
      </c>
      <c r="BY219" s="100">
        <v>194251.75467668803</v>
      </c>
      <c r="BZ219" s="257"/>
      <c r="CA219" s="100"/>
      <c r="CB219" s="257"/>
      <c r="CC219" s="257"/>
      <c r="CD219" s="257"/>
      <c r="CE219" s="100">
        <v>247547.68959945301</v>
      </c>
      <c r="CF219" s="100">
        <v>147392.74113989249</v>
      </c>
      <c r="CG219" s="100">
        <v>146980.31720778599</v>
      </c>
      <c r="CH219" s="100">
        <v>790539.21424228686</v>
      </c>
      <c r="CI219" s="257"/>
      <c r="CJ219" s="437">
        <v>501513.01053437561</v>
      </c>
      <c r="CK219" s="404">
        <v>-1121725</v>
      </c>
      <c r="CL219" s="404"/>
      <c r="CM219" s="437">
        <v>-13411.731499999994</v>
      </c>
      <c r="CO219" s="434">
        <v>317575.34145665844</v>
      </c>
      <c r="CP219" s="437">
        <v>465699.95498975378</v>
      </c>
      <c r="CQ219" s="437">
        <v>-438055.52327430074</v>
      </c>
      <c r="CR219" s="437">
        <v>168003.13574626044</v>
      </c>
      <c r="CS219" s="257"/>
    </row>
    <row r="220" spans="1:97" x14ac:dyDescent="0.2">
      <c r="A220" s="100">
        <v>702</v>
      </c>
      <c r="B220" s="100" t="s">
        <v>529</v>
      </c>
      <c r="C220" s="100">
        <v>4114</v>
      </c>
      <c r="D220" s="257"/>
      <c r="E220" s="257"/>
      <c r="F220" s="257"/>
      <c r="G220" s="257"/>
      <c r="H220" s="325"/>
      <c r="I220" s="257"/>
      <c r="J220" s="257"/>
      <c r="K220" s="257"/>
      <c r="L220" s="257"/>
      <c r="M220" s="257"/>
      <c r="N220" s="257"/>
      <c r="O220" s="257"/>
      <c r="P220" s="257"/>
      <c r="Q220" s="100">
        <v>140</v>
      </c>
      <c r="R220" s="100">
        <v>33</v>
      </c>
      <c r="S220" s="100">
        <v>187</v>
      </c>
      <c r="T220" s="100">
        <v>107</v>
      </c>
      <c r="U220" s="100">
        <v>3647</v>
      </c>
      <c r="V220" s="100"/>
      <c r="W220" s="100"/>
      <c r="X220" s="100"/>
      <c r="Y220" s="100"/>
      <c r="Z220" s="257"/>
      <c r="AA220" s="257"/>
      <c r="AB220" s="257"/>
      <c r="AC220" s="257"/>
      <c r="AD220" s="257"/>
      <c r="AE220" s="258">
        <v>0.936912770499428</v>
      </c>
      <c r="AG220" s="441">
        <v>133.58333333333334</v>
      </c>
      <c r="AH220" s="443">
        <v>1623</v>
      </c>
      <c r="AJ220" s="88">
        <v>69</v>
      </c>
      <c r="AM220" s="88">
        <v>0</v>
      </c>
      <c r="AN220" s="88">
        <v>12</v>
      </c>
      <c r="AP220" s="88">
        <v>0</v>
      </c>
      <c r="AQ220" s="399">
        <v>0</v>
      </c>
      <c r="AR220" s="88">
        <v>776.99</v>
      </c>
      <c r="AU220" s="399">
        <v>120</v>
      </c>
      <c r="AV220" s="399">
        <v>953</v>
      </c>
      <c r="AY220" s="88">
        <v>1.0883333333333334</v>
      </c>
      <c r="AZ220" s="432">
        <v>1400</v>
      </c>
      <c r="BA220" s="440">
        <v>1463</v>
      </c>
      <c r="BC220" s="439">
        <v>0</v>
      </c>
      <c r="BD220" s="88">
        <v>0</v>
      </c>
      <c r="BE220" s="88">
        <v>0</v>
      </c>
      <c r="BF220" s="434">
        <v>-78637.425000000003</v>
      </c>
      <c r="BG220" s="100">
        <v>-80970.150000000009</v>
      </c>
      <c r="BH220" s="257"/>
      <c r="BI220" s="100"/>
      <c r="BJ220" s="257"/>
      <c r="BK220" s="100"/>
      <c r="BL220" s="100"/>
      <c r="BM220" s="100"/>
      <c r="BN220" s="257"/>
      <c r="BO220" s="100"/>
      <c r="BP220" s="100">
        <v>482033</v>
      </c>
      <c r="BQ220" s="100">
        <v>141231</v>
      </c>
      <c r="BR220" s="100">
        <v>359715.40688170458</v>
      </c>
      <c r="BS220" s="100">
        <v>16850.194763104068</v>
      </c>
      <c r="BT220" s="100">
        <v>65127.400944814086</v>
      </c>
      <c r="BU220" s="100">
        <v>181748.09925467972</v>
      </c>
      <c r="BV220" s="100">
        <v>240034.11603973378</v>
      </c>
      <c r="BW220" s="100">
        <v>413638.03733832762</v>
      </c>
      <c r="BX220" s="100">
        <v>119454.53586719323</v>
      </c>
      <c r="BY220" s="100">
        <v>216746.83981150473</v>
      </c>
      <c r="BZ220" s="257"/>
      <c r="CA220" s="100"/>
      <c r="CB220" s="257"/>
      <c r="CC220" s="257"/>
      <c r="CD220" s="257"/>
      <c r="CE220" s="100">
        <v>281044.92960719019</v>
      </c>
      <c r="CF220" s="100">
        <v>156848.75897363797</v>
      </c>
      <c r="CG220" s="100">
        <v>145267.97884029197</v>
      </c>
      <c r="CH220" s="100">
        <v>897669.0863562678</v>
      </c>
      <c r="CI220" s="257"/>
      <c r="CJ220" s="437">
        <v>1165825.8508979406</v>
      </c>
      <c r="CK220" s="404">
        <v>-837713</v>
      </c>
      <c r="CL220" s="404"/>
      <c r="CM220" s="437">
        <v>-1939.4050000000061</v>
      </c>
      <c r="CO220" s="434">
        <v>630976.61332800705</v>
      </c>
      <c r="CP220" s="437">
        <v>163920.86745267914</v>
      </c>
      <c r="CQ220" s="437">
        <v>-372193.39585924684</v>
      </c>
      <c r="CR220" s="437">
        <v>142743.68039242367</v>
      </c>
      <c r="CS220" s="257"/>
    </row>
    <row r="221" spans="1:97" x14ac:dyDescent="0.2">
      <c r="A221" s="100">
        <v>704</v>
      </c>
      <c r="B221" s="100" t="s">
        <v>530</v>
      </c>
      <c r="C221" s="100">
        <v>6428</v>
      </c>
      <c r="D221" s="257"/>
      <c r="E221" s="257"/>
      <c r="F221" s="257"/>
      <c r="G221" s="257"/>
      <c r="H221" s="325"/>
      <c r="I221" s="257"/>
      <c r="J221" s="257"/>
      <c r="K221" s="257"/>
      <c r="L221" s="257"/>
      <c r="M221" s="257"/>
      <c r="N221" s="257"/>
      <c r="O221" s="257"/>
      <c r="P221" s="257"/>
      <c r="Q221" s="100">
        <v>460</v>
      </c>
      <c r="R221" s="100">
        <v>92</v>
      </c>
      <c r="S221" s="100">
        <v>567</v>
      </c>
      <c r="T221" s="100">
        <v>258</v>
      </c>
      <c r="U221" s="100">
        <v>5051</v>
      </c>
      <c r="V221" s="100"/>
      <c r="W221" s="100"/>
      <c r="X221" s="100"/>
      <c r="Y221" s="100"/>
      <c r="Z221" s="257"/>
      <c r="AA221" s="257"/>
      <c r="AB221" s="257"/>
      <c r="AC221" s="257"/>
      <c r="AD221" s="257"/>
      <c r="AE221" s="258">
        <v>1.1898433155690358</v>
      </c>
      <c r="AG221" s="441">
        <v>122.08333333333333</v>
      </c>
      <c r="AH221" s="443">
        <v>3151</v>
      </c>
      <c r="AJ221" s="88">
        <v>197</v>
      </c>
      <c r="AM221" s="88">
        <v>0</v>
      </c>
      <c r="AN221" s="88">
        <v>102</v>
      </c>
      <c r="AP221" s="88">
        <v>0</v>
      </c>
      <c r="AQ221" s="399">
        <v>0</v>
      </c>
      <c r="AR221" s="88">
        <v>127.16</v>
      </c>
      <c r="AU221" s="399">
        <v>186</v>
      </c>
      <c r="AV221" s="399">
        <v>2266</v>
      </c>
      <c r="AY221" s="88">
        <v>0</v>
      </c>
      <c r="AZ221" s="432">
        <v>2008</v>
      </c>
      <c r="BA221" s="440">
        <v>2986</v>
      </c>
      <c r="BC221" s="439">
        <v>0.53</v>
      </c>
      <c r="BD221" s="88">
        <v>0</v>
      </c>
      <c r="BE221" s="88">
        <v>0</v>
      </c>
      <c r="BF221" s="434">
        <v>-54889.96</v>
      </c>
      <c r="BG221" s="100">
        <v>-122060.34000000001</v>
      </c>
      <c r="BH221" s="257"/>
      <c r="BI221" s="100"/>
      <c r="BJ221" s="257"/>
      <c r="BK221" s="100"/>
      <c r="BL221" s="100"/>
      <c r="BM221" s="100"/>
      <c r="BN221" s="257"/>
      <c r="BO221" s="100"/>
      <c r="BP221" s="100">
        <v>387043</v>
      </c>
      <c r="BQ221" s="100">
        <v>126882</v>
      </c>
      <c r="BR221" s="100">
        <v>241368.28376477773</v>
      </c>
      <c r="BS221" s="100">
        <v>4103.0352897275307</v>
      </c>
      <c r="BT221" s="100">
        <v>27149.87359443658</v>
      </c>
      <c r="BU221" s="100">
        <v>119934.73479326064</v>
      </c>
      <c r="BV221" s="100">
        <v>275731.56641233416</v>
      </c>
      <c r="BW221" s="100">
        <v>473017.7979280093</v>
      </c>
      <c r="BX221" s="100">
        <v>126067.88854329768</v>
      </c>
      <c r="BY221" s="100">
        <v>214989.74805185717</v>
      </c>
      <c r="BZ221" s="257"/>
      <c r="CA221" s="100"/>
      <c r="CB221" s="257"/>
      <c r="CC221" s="257"/>
      <c r="CD221" s="257"/>
      <c r="CE221" s="100">
        <v>278526.28633174399</v>
      </c>
      <c r="CF221" s="100">
        <v>191763.34913031512</v>
      </c>
      <c r="CG221" s="100">
        <v>190940.49866764026</v>
      </c>
      <c r="CH221" s="100">
        <v>847116.43534206226</v>
      </c>
      <c r="CI221" s="257"/>
      <c r="CJ221" s="437">
        <v>1109658.2421610232</v>
      </c>
      <c r="CK221" s="404">
        <v>-1150414</v>
      </c>
      <c r="CL221" s="404"/>
      <c r="CM221" s="437">
        <v>58107.557499999937</v>
      </c>
      <c r="CO221" s="434">
        <v>918336.83816093579</v>
      </c>
      <c r="CP221" s="437">
        <v>180802.0245296084</v>
      </c>
      <c r="CQ221" s="437">
        <v>-581540.87228566816</v>
      </c>
      <c r="CR221" s="437">
        <v>223032.66348140483</v>
      </c>
      <c r="CS221" s="257"/>
    </row>
    <row r="222" spans="1:97" x14ac:dyDescent="0.2">
      <c r="A222" s="100">
        <v>707</v>
      </c>
      <c r="B222" s="100" t="s">
        <v>531</v>
      </c>
      <c r="C222" s="100">
        <v>1960</v>
      </c>
      <c r="D222" s="257"/>
      <c r="E222" s="257"/>
      <c r="F222" s="257"/>
      <c r="G222" s="257"/>
      <c r="H222" s="325"/>
      <c r="I222" s="257"/>
      <c r="J222" s="257"/>
      <c r="K222" s="257"/>
      <c r="L222" s="257"/>
      <c r="M222" s="257"/>
      <c r="N222" s="257"/>
      <c r="O222" s="257"/>
      <c r="P222" s="257"/>
      <c r="Q222" s="100">
        <v>37</v>
      </c>
      <c r="R222" s="100">
        <v>9</v>
      </c>
      <c r="S222" s="100">
        <v>76</v>
      </c>
      <c r="T222" s="100">
        <v>41</v>
      </c>
      <c r="U222" s="100">
        <v>1797</v>
      </c>
      <c r="V222" s="100"/>
      <c r="W222" s="100"/>
      <c r="X222" s="100"/>
      <c r="Y222" s="100"/>
      <c r="Z222" s="257"/>
      <c r="AA222" s="257"/>
      <c r="AB222" s="257"/>
      <c r="AC222" s="257"/>
      <c r="AD222" s="257"/>
      <c r="AE222" s="258">
        <v>1.0181343170974975</v>
      </c>
      <c r="AG222" s="441">
        <v>108.33333333333333</v>
      </c>
      <c r="AH222" s="443">
        <v>753</v>
      </c>
      <c r="AJ222" s="88">
        <v>69</v>
      </c>
      <c r="AM222" s="88">
        <v>0</v>
      </c>
      <c r="AN222" s="88">
        <v>2</v>
      </c>
      <c r="AP222" s="88">
        <v>3</v>
      </c>
      <c r="AQ222" s="399">
        <v>360</v>
      </c>
      <c r="AR222" s="88">
        <v>427.93</v>
      </c>
      <c r="AU222" s="399">
        <v>62</v>
      </c>
      <c r="AV222" s="399">
        <v>425</v>
      </c>
      <c r="AY222" s="88">
        <v>1.4392333333333334</v>
      </c>
      <c r="AZ222" s="432">
        <v>491</v>
      </c>
      <c r="BA222" s="440">
        <v>614</v>
      </c>
      <c r="BC222" s="439">
        <v>0</v>
      </c>
      <c r="BD222" s="88">
        <v>0</v>
      </c>
      <c r="BE222" s="88">
        <v>0</v>
      </c>
      <c r="BF222" s="434">
        <v>-54778.428</v>
      </c>
      <c r="BG222" s="100">
        <v>-39687.86</v>
      </c>
      <c r="BH222" s="257"/>
      <c r="BI222" s="100"/>
      <c r="BJ222" s="257"/>
      <c r="BK222" s="100"/>
      <c r="BL222" s="100"/>
      <c r="BM222" s="100"/>
      <c r="BN222" s="257"/>
      <c r="BO222" s="100"/>
      <c r="BP222" s="100">
        <v>302843</v>
      </c>
      <c r="BQ222" s="100">
        <v>87748</v>
      </c>
      <c r="BR222" s="100">
        <v>236964.11147003429</v>
      </c>
      <c r="BS222" s="100">
        <v>12584.419830805715</v>
      </c>
      <c r="BT222" s="100">
        <v>39572.361571092901</v>
      </c>
      <c r="BU222" s="100">
        <v>110909.52963556179</v>
      </c>
      <c r="BV222" s="100">
        <v>139255.86191162129</v>
      </c>
      <c r="BW222" s="100">
        <v>209563.85038227681</v>
      </c>
      <c r="BX222" s="100">
        <v>68562.922203709764</v>
      </c>
      <c r="BY222" s="100">
        <v>114765.60193857328</v>
      </c>
      <c r="BZ222" s="257"/>
      <c r="CA222" s="100"/>
      <c r="CB222" s="257"/>
      <c r="CC222" s="257"/>
      <c r="CD222" s="257"/>
      <c r="CE222" s="100">
        <v>162854.27178432132</v>
      </c>
      <c r="CF222" s="100">
        <v>80831.961291842454</v>
      </c>
      <c r="CG222" s="100">
        <v>83042.957371751021</v>
      </c>
      <c r="CH222" s="100">
        <v>524382.82559333195</v>
      </c>
      <c r="CI222" s="257"/>
      <c r="CJ222" s="437">
        <v>1272819.4878410366</v>
      </c>
      <c r="CK222" s="404">
        <v>-569849</v>
      </c>
      <c r="CL222" s="404"/>
      <c r="CM222" s="437">
        <v>-16410.350000000006</v>
      </c>
      <c r="CO222" s="434">
        <v>-212965.84798402039</v>
      </c>
      <c r="CP222" s="437">
        <v>963.70539264452441</v>
      </c>
      <c r="CQ222" s="437">
        <v>-177321.11227129895</v>
      </c>
      <c r="CR222" s="437">
        <v>68006.22595263744</v>
      </c>
      <c r="CS222" s="257"/>
    </row>
    <row r="223" spans="1:97" x14ac:dyDescent="0.2">
      <c r="A223" s="100">
        <v>729</v>
      </c>
      <c r="B223" s="100" t="s">
        <v>533</v>
      </c>
      <c r="C223" s="100">
        <v>8975</v>
      </c>
      <c r="D223" s="257"/>
      <c r="E223" s="257"/>
      <c r="F223" s="257"/>
      <c r="G223" s="257"/>
      <c r="H223" s="325"/>
      <c r="I223" s="257"/>
      <c r="J223" s="257"/>
      <c r="K223" s="257"/>
      <c r="L223" s="257"/>
      <c r="M223" s="257"/>
      <c r="N223" s="257"/>
      <c r="O223" s="257"/>
      <c r="P223" s="257"/>
      <c r="Q223" s="100">
        <v>353</v>
      </c>
      <c r="R223" s="100">
        <v>80</v>
      </c>
      <c r="S223" s="100">
        <v>520</v>
      </c>
      <c r="T223" s="100">
        <v>298</v>
      </c>
      <c r="U223" s="100">
        <v>7724</v>
      </c>
      <c r="V223" s="100"/>
      <c r="W223" s="100"/>
      <c r="X223" s="100"/>
      <c r="Y223" s="100"/>
      <c r="Z223" s="257"/>
      <c r="AA223" s="257"/>
      <c r="AB223" s="257"/>
      <c r="AC223" s="257"/>
      <c r="AD223" s="257"/>
      <c r="AE223" s="258">
        <v>0.93540632571657689</v>
      </c>
      <c r="AG223" s="441">
        <v>476.58333333333331</v>
      </c>
      <c r="AH223" s="443">
        <v>3728</v>
      </c>
      <c r="AJ223" s="88">
        <v>121</v>
      </c>
      <c r="AM223" s="88">
        <v>0</v>
      </c>
      <c r="AN223" s="88">
        <v>13</v>
      </c>
      <c r="AP223" s="88">
        <v>0</v>
      </c>
      <c r="AQ223" s="399">
        <v>0</v>
      </c>
      <c r="AR223" s="88">
        <v>1251.76</v>
      </c>
      <c r="AU223" s="399">
        <v>304</v>
      </c>
      <c r="AV223" s="399">
        <v>2168</v>
      </c>
      <c r="AY223" s="88">
        <v>0.7809166666666667</v>
      </c>
      <c r="AZ223" s="432">
        <v>2873</v>
      </c>
      <c r="BA223" s="440">
        <v>3070</v>
      </c>
      <c r="BC223" s="439">
        <v>0</v>
      </c>
      <c r="BD223" s="88">
        <v>0</v>
      </c>
      <c r="BE223" s="88">
        <v>0</v>
      </c>
      <c r="BF223" s="434">
        <v>-373498.14500000002</v>
      </c>
      <c r="BG223" s="100">
        <v>-176885.68000000002</v>
      </c>
      <c r="BH223" s="257"/>
      <c r="BI223" s="100"/>
      <c r="BJ223" s="257"/>
      <c r="BK223" s="100"/>
      <c r="BL223" s="100"/>
      <c r="BM223" s="100"/>
      <c r="BN223" s="257"/>
      <c r="BO223" s="100"/>
      <c r="BP223" s="100">
        <v>954489</v>
      </c>
      <c r="BQ223" s="100">
        <v>293114</v>
      </c>
      <c r="BR223" s="100">
        <v>743309.25554292719</v>
      </c>
      <c r="BS223" s="100">
        <v>41048.663354125973</v>
      </c>
      <c r="BT223" s="100">
        <v>106843.04163109911</v>
      </c>
      <c r="BU223" s="100">
        <v>374059.29699343286</v>
      </c>
      <c r="BV223" s="100">
        <v>564756.29807290237</v>
      </c>
      <c r="BW223" s="100">
        <v>868628.60086900461</v>
      </c>
      <c r="BX223" s="100">
        <v>262472.32790500263</v>
      </c>
      <c r="BY223" s="100">
        <v>452921.73872454348</v>
      </c>
      <c r="BZ223" s="257"/>
      <c r="CA223" s="100"/>
      <c r="CB223" s="257"/>
      <c r="CC223" s="257"/>
      <c r="CD223" s="257"/>
      <c r="CE223" s="100">
        <v>616123.82788015436</v>
      </c>
      <c r="CF223" s="100">
        <v>347446.57805433089</v>
      </c>
      <c r="CG223" s="100">
        <v>343577.39897101442</v>
      </c>
      <c r="CH223" s="100">
        <v>1883138.1090361306</v>
      </c>
      <c r="CI223" s="257"/>
      <c r="CJ223" s="437">
        <v>4751158.3825585954</v>
      </c>
      <c r="CK223" s="404">
        <v>180186</v>
      </c>
      <c r="CL223" s="404"/>
      <c r="CM223" s="437">
        <v>-38265.952500000029</v>
      </c>
      <c r="CO223" s="434">
        <v>-507893.30416444194</v>
      </c>
      <c r="CP223" s="437">
        <v>-40962.541565051659</v>
      </c>
      <c r="CQ223" s="437">
        <v>-811967.84828311636</v>
      </c>
      <c r="CR223" s="437">
        <v>311406.060165776</v>
      </c>
      <c r="CS223" s="257"/>
    </row>
    <row r="224" spans="1:97" x14ac:dyDescent="0.2">
      <c r="A224" s="100">
        <v>732</v>
      </c>
      <c r="B224" s="100" t="s">
        <v>534</v>
      </c>
      <c r="C224" s="100">
        <v>3336</v>
      </c>
      <c r="D224" s="257"/>
      <c r="E224" s="257"/>
      <c r="F224" s="257"/>
      <c r="G224" s="257"/>
      <c r="H224" s="325"/>
      <c r="I224" s="257"/>
      <c r="J224" s="257"/>
      <c r="K224" s="257"/>
      <c r="L224" s="257"/>
      <c r="M224" s="257"/>
      <c r="N224" s="257"/>
      <c r="O224" s="257"/>
      <c r="P224" s="257"/>
      <c r="Q224" s="100">
        <v>74</v>
      </c>
      <c r="R224" s="100">
        <v>17</v>
      </c>
      <c r="S224" s="100">
        <v>127</v>
      </c>
      <c r="T224" s="100">
        <v>78</v>
      </c>
      <c r="U224" s="100">
        <v>3040</v>
      </c>
      <c r="V224" s="100"/>
      <c r="W224" s="100"/>
      <c r="X224" s="100"/>
      <c r="Y224" s="100"/>
      <c r="Z224" s="257"/>
      <c r="AA224" s="257"/>
      <c r="AB224" s="257"/>
      <c r="AC224" s="257"/>
      <c r="AD224" s="257"/>
      <c r="AE224" s="258">
        <v>1.0042439010443487</v>
      </c>
      <c r="AG224" s="441">
        <v>196.16666666666666</v>
      </c>
      <c r="AH224" s="443">
        <v>1373</v>
      </c>
      <c r="AJ224" s="88">
        <v>102</v>
      </c>
      <c r="AM224" s="88">
        <v>0</v>
      </c>
      <c r="AN224" s="88">
        <v>14</v>
      </c>
      <c r="AP224" s="88">
        <v>0</v>
      </c>
      <c r="AQ224" s="399">
        <v>0</v>
      </c>
      <c r="AR224" s="88">
        <v>5729.81</v>
      </c>
      <c r="AU224" s="399">
        <v>108</v>
      </c>
      <c r="AV224" s="399">
        <v>725</v>
      </c>
      <c r="AY224" s="88">
        <v>1.7943166666666666</v>
      </c>
      <c r="AZ224" s="432">
        <v>1072</v>
      </c>
      <c r="BA224" s="440">
        <v>1151</v>
      </c>
      <c r="BC224" s="439">
        <v>0</v>
      </c>
      <c r="BD224" s="88">
        <v>0</v>
      </c>
      <c r="BE224" s="88">
        <v>2</v>
      </c>
      <c r="BF224" s="434">
        <v>-67389.922500000001</v>
      </c>
      <c r="BG224" s="100">
        <v>-65448.47</v>
      </c>
      <c r="BH224" s="257"/>
      <c r="BI224" s="100"/>
      <c r="BJ224" s="257"/>
      <c r="BK224" s="100"/>
      <c r="BL224" s="100"/>
      <c r="BM224" s="100"/>
      <c r="BN224" s="257"/>
      <c r="BO224" s="100"/>
      <c r="BP224" s="100">
        <v>397132</v>
      </c>
      <c r="BQ224" s="100">
        <v>120884</v>
      </c>
      <c r="BR224" s="100">
        <v>323961.87830235338</v>
      </c>
      <c r="BS224" s="100">
        <v>18056.029456748154</v>
      </c>
      <c r="BT224" s="100">
        <v>65713.152198170254</v>
      </c>
      <c r="BU224" s="100">
        <v>160800.97622708709</v>
      </c>
      <c r="BV224" s="100">
        <v>206884.00489435552</v>
      </c>
      <c r="BW224" s="100">
        <v>312809.48339130171</v>
      </c>
      <c r="BX224" s="100">
        <v>103830.87014994409</v>
      </c>
      <c r="BY224" s="100">
        <v>177671.04133237439</v>
      </c>
      <c r="BZ224" s="257"/>
      <c r="CA224" s="100"/>
      <c r="CB224" s="257"/>
      <c r="CC224" s="257"/>
      <c r="CD224" s="257"/>
      <c r="CE224" s="100">
        <v>237633.23338444397</v>
      </c>
      <c r="CF224" s="100">
        <v>125693.30274580349</v>
      </c>
      <c r="CG224" s="100">
        <v>125485.06078909624</v>
      </c>
      <c r="CH224" s="100">
        <v>757141.45744576736</v>
      </c>
      <c r="CI224" s="257"/>
      <c r="CJ224" s="437">
        <v>1347947.522416342</v>
      </c>
      <c r="CK224" s="404">
        <v>207336</v>
      </c>
      <c r="CL224" s="404"/>
      <c r="CM224" s="437">
        <v>-96970.25</v>
      </c>
      <c r="CO224" s="434">
        <v>-710929.51198107947</v>
      </c>
      <c r="CP224" s="437">
        <v>444599.19643033406</v>
      </c>
      <c r="CQ224" s="437">
        <v>-301807.77068217006</v>
      </c>
      <c r="CR224" s="437">
        <v>115749.37233571352</v>
      </c>
      <c r="CS224" s="257"/>
    </row>
    <row r="225" spans="1:97" x14ac:dyDescent="0.2">
      <c r="A225" s="100">
        <v>734</v>
      </c>
      <c r="B225" s="100" t="s">
        <v>535</v>
      </c>
      <c r="C225" s="100">
        <v>50933</v>
      </c>
      <c r="D225" s="257"/>
      <c r="E225" s="257"/>
      <c r="F225" s="257"/>
      <c r="G225" s="257"/>
      <c r="H225" s="325"/>
      <c r="I225" s="257"/>
      <c r="J225" s="257"/>
      <c r="K225" s="257"/>
      <c r="L225" s="257"/>
      <c r="M225" s="257"/>
      <c r="N225" s="257"/>
      <c r="O225" s="257"/>
      <c r="P225" s="257"/>
      <c r="Q225" s="100">
        <v>2038</v>
      </c>
      <c r="R225" s="100">
        <v>398</v>
      </c>
      <c r="S225" s="100">
        <v>3084</v>
      </c>
      <c r="T225" s="100">
        <v>1792</v>
      </c>
      <c r="U225" s="100">
        <v>43621</v>
      </c>
      <c r="V225" s="100"/>
      <c r="W225" s="100"/>
      <c r="X225" s="100"/>
      <c r="Y225" s="100"/>
      <c r="Z225" s="257"/>
      <c r="AA225" s="257"/>
      <c r="AB225" s="257"/>
      <c r="AC225" s="257"/>
      <c r="AD225" s="257"/>
      <c r="AE225" s="258">
        <v>0.92371797192955807</v>
      </c>
      <c r="AG225" s="441">
        <v>2168.0833333333335</v>
      </c>
      <c r="AH225" s="443">
        <v>23300</v>
      </c>
      <c r="AJ225" s="88">
        <v>3639</v>
      </c>
      <c r="AM225" s="88">
        <v>0</v>
      </c>
      <c r="AN225" s="88">
        <v>596</v>
      </c>
      <c r="AP225" s="88">
        <v>3</v>
      </c>
      <c r="AQ225" s="399">
        <v>571</v>
      </c>
      <c r="AR225" s="88">
        <v>1987.44</v>
      </c>
      <c r="AU225" s="399">
        <v>2272</v>
      </c>
      <c r="AV225" s="399">
        <v>15165</v>
      </c>
      <c r="AY225" s="88">
        <v>0</v>
      </c>
      <c r="AZ225" s="432">
        <v>18226</v>
      </c>
      <c r="BA225" s="440">
        <v>20802</v>
      </c>
      <c r="BC225" s="439">
        <v>0</v>
      </c>
      <c r="BD225" s="88">
        <v>0</v>
      </c>
      <c r="BE225" s="88">
        <v>0</v>
      </c>
      <c r="BF225" s="434">
        <v>-2128654.1946999999</v>
      </c>
      <c r="BG225" s="100">
        <v>-990506.02</v>
      </c>
      <c r="BH225" s="257"/>
      <c r="BI225" s="100"/>
      <c r="BJ225" s="257"/>
      <c r="BK225" s="100"/>
      <c r="BL225" s="100"/>
      <c r="BM225" s="100"/>
      <c r="BN225" s="257"/>
      <c r="BO225" s="100"/>
      <c r="BP225" s="100">
        <v>4035158</v>
      </c>
      <c r="BQ225" s="100">
        <v>1360728</v>
      </c>
      <c r="BR225" s="100">
        <v>3108333.4400907625</v>
      </c>
      <c r="BS225" s="100">
        <v>109870.08065928429</v>
      </c>
      <c r="BT225" s="100">
        <v>143591.84511297155</v>
      </c>
      <c r="BU225" s="100">
        <v>1435082.5456556936</v>
      </c>
      <c r="BV225" s="100">
        <v>2764155.9394521797</v>
      </c>
      <c r="BW225" s="100">
        <v>4385553.0913479263</v>
      </c>
      <c r="BX225" s="100">
        <v>1357506.7920240066</v>
      </c>
      <c r="BY225" s="100">
        <v>2418070.2994944337</v>
      </c>
      <c r="BZ225" s="257"/>
      <c r="CA225" s="100"/>
      <c r="CB225" s="257"/>
      <c r="CC225" s="257"/>
      <c r="CD225" s="257"/>
      <c r="CE225" s="100">
        <v>3087603.991114954</v>
      </c>
      <c r="CF225" s="100">
        <v>1882086.4734985407</v>
      </c>
      <c r="CG225" s="100">
        <v>1855635.2774178674</v>
      </c>
      <c r="CH225" s="100">
        <v>9133203.6394595839</v>
      </c>
      <c r="CI225" s="257"/>
      <c r="CJ225" s="437">
        <v>14859086.706145555</v>
      </c>
      <c r="CK225" s="404">
        <v>-1286338</v>
      </c>
      <c r="CL225" s="404"/>
      <c r="CM225" s="437">
        <v>-642196.66950000031</v>
      </c>
      <c r="CO225" s="434">
        <v>-1495390.8411700628</v>
      </c>
      <c r="CP225" s="437">
        <v>25043.064675287533</v>
      </c>
      <c r="CQ225" s="437">
        <v>-4607906.2302622804</v>
      </c>
      <c r="CR225" s="437">
        <v>1767225.0543090217</v>
      </c>
      <c r="CS225" s="257"/>
    </row>
    <row r="226" spans="1:97" x14ac:dyDescent="0.2">
      <c r="A226" s="100">
        <v>790</v>
      </c>
      <c r="B226" s="100" t="s">
        <v>559</v>
      </c>
      <c r="C226" s="100">
        <v>23734</v>
      </c>
      <c r="D226" s="257"/>
      <c r="E226" s="257"/>
      <c r="F226" s="257"/>
      <c r="G226" s="257"/>
      <c r="H226" s="325"/>
      <c r="I226" s="257"/>
      <c r="J226" s="257"/>
      <c r="K226" s="257"/>
      <c r="L226" s="257"/>
      <c r="M226" s="257"/>
      <c r="N226" s="257"/>
      <c r="O226" s="257"/>
      <c r="P226" s="257"/>
      <c r="Q226" s="100">
        <v>1014</v>
      </c>
      <c r="R226" s="100">
        <v>200</v>
      </c>
      <c r="S226" s="100">
        <v>1467</v>
      </c>
      <c r="T226" s="100">
        <v>813</v>
      </c>
      <c r="U226" s="100">
        <v>20240</v>
      </c>
      <c r="V226" s="100"/>
      <c r="W226" s="100"/>
      <c r="X226" s="100"/>
      <c r="Y226" s="100"/>
      <c r="Z226" s="257"/>
      <c r="AA226" s="257"/>
      <c r="AB226" s="257"/>
      <c r="AC226" s="257"/>
      <c r="AD226" s="257"/>
      <c r="AE226" s="258">
        <v>1.0154828182393247</v>
      </c>
      <c r="AG226" s="441">
        <v>613.16666666666663</v>
      </c>
      <c r="AH226" s="443">
        <v>10124</v>
      </c>
      <c r="AJ226" s="88">
        <v>690</v>
      </c>
      <c r="AM226" s="88">
        <v>0</v>
      </c>
      <c r="AN226" s="88">
        <v>40</v>
      </c>
      <c r="AP226" s="88">
        <v>0</v>
      </c>
      <c r="AQ226" s="399">
        <v>0</v>
      </c>
      <c r="AR226" s="88">
        <v>1429.12</v>
      </c>
      <c r="AU226" s="399">
        <v>892</v>
      </c>
      <c r="AV226" s="399">
        <v>6504</v>
      </c>
      <c r="AY226" s="88">
        <v>0</v>
      </c>
      <c r="AZ226" s="432">
        <v>8206</v>
      </c>
      <c r="BA226" s="440">
        <v>9288</v>
      </c>
      <c r="BC226" s="439">
        <v>0</v>
      </c>
      <c r="BD226" s="88">
        <v>0</v>
      </c>
      <c r="BE226" s="88">
        <v>0</v>
      </c>
      <c r="BF226" s="434">
        <v>-1071920.923</v>
      </c>
      <c r="BG226" s="100">
        <v>-462038.92000000004</v>
      </c>
      <c r="BH226" s="257"/>
      <c r="BI226" s="100"/>
      <c r="BJ226" s="257"/>
      <c r="BK226" s="100"/>
      <c r="BL226" s="100"/>
      <c r="BM226" s="100"/>
      <c r="BN226" s="257"/>
      <c r="BO226" s="100"/>
      <c r="BP226" s="100">
        <v>2132215</v>
      </c>
      <c r="BQ226" s="100">
        <v>693692</v>
      </c>
      <c r="BR226" s="100">
        <v>1590061.4518391511</v>
      </c>
      <c r="BS226" s="100">
        <v>77740.954224716217</v>
      </c>
      <c r="BT226" s="100">
        <v>165931.79737755808</v>
      </c>
      <c r="BU226" s="100">
        <v>756892.13899193052</v>
      </c>
      <c r="BV226" s="100">
        <v>1316770.0858104366</v>
      </c>
      <c r="BW226" s="100">
        <v>2130936.0600489173</v>
      </c>
      <c r="BX226" s="100">
        <v>642333.52145552286</v>
      </c>
      <c r="BY226" s="100">
        <v>1104192.3558072038</v>
      </c>
      <c r="BZ226" s="257"/>
      <c r="CA226" s="100"/>
      <c r="CB226" s="257"/>
      <c r="CC226" s="257"/>
      <c r="CD226" s="257"/>
      <c r="CE226" s="100">
        <v>1427117.754658832</v>
      </c>
      <c r="CF226" s="100">
        <v>864424.85534443008</v>
      </c>
      <c r="CG226" s="100">
        <v>866146.10069239931</v>
      </c>
      <c r="CH226" s="100">
        <v>4378201.2742238045</v>
      </c>
      <c r="CI226" s="257"/>
      <c r="CJ226" s="437">
        <v>9838322.5819209348</v>
      </c>
      <c r="CK226" s="404">
        <v>-2112734</v>
      </c>
      <c r="CL226" s="404"/>
      <c r="CM226" s="437">
        <v>160493.223</v>
      </c>
      <c r="CO226" s="434">
        <v>2350840.587166911</v>
      </c>
      <c r="CP226" s="437">
        <v>849275.9848068452</v>
      </c>
      <c r="CQ226" s="437">
        <v>-2147213.9176770453</v>
      </c>
      <c r="CR226" s="437">
        <v>823499.88099994743</v>
      </c>
      <c r="CS226" s="257"/>
    </row>
    <row r="227" spans="1:97" x14ac:dyDescent="0.2">
      <c r="A227" s="100">
        <v>738</v>
      </c>
      <c r="B227" s="100" t="s">
        <v>536</v>
      </c>
      <c r="C227" s="100">
        <v>2917</v>
      </c>
      <c r="D227" s="257"/>
      <c r="E227" s="257"/>
      <c r="F227" s="257"/>
      <c r="G227" s="257"/>
      <c r="H227" s="325"/>
      <c r="I227" s="257"/>
      <c r="J227" s="257"/>
      <c r="K227" s="257"/>
      <c r="L227" s="257"/>
      <c r="M227" s="257"/>
      <c r="N227" s="257"/>
      <c r="O227" s="257"/>
      <c r="P227" s="257"/>
      <c r="Q227" s="100">
        <v>134</v>
      </c>
      <c r="R227" s="100">
        <v>20</v>
      </c>
      <c r="S227" s="100">
        <v>208</v>
      </c>
      <c r="T227" s="100">
        <v>99</v>
      </c>
      <c r="U227" s="100">
        <v>2456</v>
      </c>
      <c r="V227" s="100"/>
      <c r="W227" s="100"/>
      <c r="X227" s="100"/>
      <c r="Y227" s="100"/>
      <c r="Z227" s="257"/>
      <c r="AA227" s="257"/>
      <c r="AB227" s="257"/>
      <c r="AC227" s="257"/>
      <c r="AD227" s="257"/>
      <c r="AE227" s="258">
        <v>0.56175769582648971</v>
      </c>
      <c r="AG227" s="441">
        <v>46.25</v>
      </c>
      <c r="AH227" s="443">
        <v>1334</v>
      </c>
      <c r="AJ227" s="88">
        <v>114</v>
      </c>
      <c r="AM227" s="88">
        <v>0</v>
      </c>
      <c r="AN227" s="88">
        <v>80</v>
      </c>
      <c r="AP227" s="88">
        <v>0</v>
      </c>
      <c r="AQ227" s="399">
        <v>0</v>
      </c>
      <c r="AR227" s="88">
        <v>252.77</v>
      </c>
      <c r="AU227" s="399">
        <v>124</v>
      </c>
      <c r="AV227" s="399">
        <v>872</v>
      </c>
      <c r="AY227" s="88">
        <v>0</v>
      </c>
      <c r="AZ227" s="432">
        <v>730</v>
      </c>
      <c r="BA227" s="440">
        <v>1272</v>
      </c>
      <c r="BC227" s="439">
        <v>0</v>
      </c>
      <c r="BD227" s="88">
        <v>0</v>
      </c>
      <c r="BE227" s="88">
        <v>0</v>
      </c>
      <c r="BF227" s="434">
        <v>-53932.345000000001</v>
      </c>
      <c r="BG227" s="100">
        <v>-56669.5</v>
      </c>
      <c r="BH227" s="257"/>
      <c r="BI227" s="100"/>
      <c r="BJ227" s="257"/>
      <c r="BK227" s="100"/>
      <c r="BL227" s="100"/>
      <c r="BM227" s="100"/>
      <c r="BN227" s="257"/>
      <c r="BO227" s="100"/>
      <c r="BP227" s="100">
        <v>275701</v>
      </c>
      <c r="BQ227" s="100">
        <v>85382</v>
      </c>
      <c r="BR227" s="100">
        <v>191068.64161105533</v>
      </c>
      <c r="BS227" s="100">
        <v>6790.0629726972538</v>
      </c>
      <c r="BT227" s="100">
        <v>2703.2776123266731</v>
      </c>
      <c r="BU227" s="100">
        <v>71784.76699329968</v>
      </c>
      <c r="BV227" s="100">
        <v>173816.34248553371</v>
      </c>
      <c r="BW227" s="100">
        <v>286153.12034095271</v>
      </c>
      <c r="BX227" s="100">
        <v>85582.370188535948</v>
      </c>
      <c r="BY227" s="100">
        <v>140795.53337546438</v>
      </c>
      <c r="BZ227" s="257"/>
      <c r="CA227" s="100"/>
      <c r="CB227" s="257"/>
      <c r="CC227" s="257"/>
      <c r="CD227" s="257"/>
      <c r="CE227" s="100">
        <v>194516.62543783686</v>
      </c>
      <c r="CF227" s="100">
        <v>114051.57692577357</v>
      </c>
      <c r="CG227" s="100">
        <v>112155.9895025727</v>
      </c>
      <c r="CH227" s="100">
        <v>569770.65239065827</v>
      </c>
      <c r="CI227" s="257"/>
      <c r="CJ227" s="437">
        <v>896684.20143546443</v>
      </c>
      <c r="CK227" s="404">
        <v>-501570</v>
      </c>
      <c r="CL227" s="404"/>
      <c r="CM227" s="437">
        <v>47202.13400000002</v>
      </c>
      <c r="CO227" s="434">
        <v>96896.376130618446</v>
      </c>
      <c r="CP227" s="437">
        <v>1434.249301195958</v>
      </c>
      <c r="CQ227" s="437">
        <v>-263900.85943641787</v>
      </c>
      <c r="CR227" s="437">
        <v>101211.30668563439</v>
      </c>
      <c r="CS227" s="257"/>
    </row>
    <row r="228" spans="1:97" x14ac:dyDescent="0.2">
      <c r="A228" s="100">
        <v>739</v>
      </c>
      <c r="B228" s="100" t="s">
        <v>537</v>
      </c>
      <c r="C228" s="100">
        <v>3256</v>
      </c>
      <c r="D228" s="257"/>
      <c r="E228" s="257"/>
      <c r="F228" s="257"/>
      <c r="G228" s="257"/>
      <c r="H228" s="325"/>
      <c r="I228" s="257"/>
      <c r="J228" s="257"/>
      <c r="K228" s="257"/>
      <c r="L228" s="257"/>
      <c r="M228" s="257"/>
      <c r="N228" s="257"/>
      <c r="O228" s="257"/>
      <c r="P228" s="257"/>
      <c r="Q228" s="100">
        <v>106</v>
      </c>
      <c r="R228" s="100">
        <v>20</v>
      </c>
      <c r="S228" s="100">
        <v>166</v>
      </c>
      <c r="T228" s="100">
        <v>94</v>
      </c>
      <c r="U228" s="100">
        <v>2870</v>
      </c>
      <c r="V228" s="100"/>
      <c r="W228" s="100"/>
      <c r="X228" s="100"/>
      <c r="Y228" s="100"/>
      <c r="Z228" s="257"/>
      <c r="AA228" s="257"/>
      <c r="AB228" s="257"/>
      <c r="AC228" s="257"/>
      <c r="AD228" s="257"/>
      <c r="AE228" s="258">
        <v>1.0679705581226533</v>
      </c>
      <c r="AG228" s="441">
        <v>121.25</v>
      </c>
      <c r="AH228" s="443">
        <v>1323</v>
      </c>
      <c r="AJ228" s="88">
        <v>54</v>
      </c>
      <c r="AM228" s="88">
        <v>0</v>
      </c>
      <c r="AN228" s="88">
        <v>11</v>
      </c>
      <c r="AP228" s="88">
        <v>0</v>
      </c>
      <c r="AQ228" s="399">
        <v>0</v>
      </c>
      <c r="AR228" s="88">
        <v>539.11</v>
      </c>
      <c r="AU228" s="399">
        <v>111</v>
      </c>
      <c r="AV228" s="399">
        <v>750</v>
      </c>
      <c r="AY228" s="88">
        <v>0.60026666666666662</v>
      </c>
      <c r="AZ228" s="432">
        <v>940</v>
      </c>
      <c r="BA228" s="440">
        <v>1148</v>
      </c>
      <c r="BC228" s="439">
        <v>0</v>
      </c>
      <c r="BD228" s="88">
        <v>0</v>
      </c>
      <c r="BE228" s="88">
        <v>0</v>
      </c>
      <c r="BF228" s="434">
        <v>-125900.505</v>
      </c>
      <c r="BG228" s="100">
        <v>-63892.460000000006</v>
      </c>
      <c r="BH228" s="257"/>
      <c r="BI228" s="100"/>
      <c r="BJ228" s="257"/>
      <c r="BK228" s="100"/>
      <c r="BL228" s="100"/>
      <c r="BM228" s="100"/>
      <c r="BN228" s="257"/>
      <c r="BO228" s="100"/>
      <c r="BP228" s="100">
        <v>404465</v>
      </c>
      <c r="BQ228" s="100">
        <v>122158</v>
      </c>
      <c r="BR228" s="100">
        <v>311739.81565455889</v>
      </c>
      <c r="BS228" s="100">
        <v>16778.709372529363</v>
      </c>
      <c r="BT228" s="100">
        <v>32261.400380317758</v>
      </c>
      <c r="BU228" s="100">
        <v>141033.168890131</v>
      </c>
      <c r="BV228" s="100">
        <v>189766.33782475995</v>
      </c>
      <c r="BW228" s="100">
        <v>320605.1702299171</v>
      </c>
      <c r="BX228" s="100">
        <v>100839.90707654522</v>
      </c>
      <c r="BY228" s="100">
        <v>164273.63616782939</v>
      </c>
      <c r="BZ228" s="257"/>
      <c r="CA228" s="100"/>
      <c r="CB228" s="257"/>
      <c r="CC228" s="257"/>
      <c r="CD228" s="257"/>
      <c r="CE228" s="100">
        <v>239437.09452532945</v>
      </c>
      <c r="CF228" s="100">
        <v>124809.32617138833</v>
      </c>
      <c r="CG228" s="100">
        <v>119156.8204210675</v>
      </c>
      <c r="CH228" s="100">
        <v>704284.69981162541</v>
      </c>
      <c r="CI228" s="257"/>
      <c r="CJ228" s="437">
        <v>1091048.1115239949</v>
      </c>
      <c r="CK228" s="404">
        <v>408728</v>
      </c>
      <c r="CL228" s="404"/>
      <c r="CM228" s="437">
        <v>98133.893000000011</v>
      </c>
      <c r="CO228" s="434">
        <v>1212736.0277287911</v>
      </c>
      <c r="CP228" s="437">
        <v>991545.09773207386</v>
      </c>
      <c r="CQ228" s="437">
        <v>-294570.17426293337</v>
      </c>
      <c r="CR228" s="437">
        <v>112973.60801111607</v>
      </c>
      <c r="CS228" s="257"/>
    </row>
    <row r="229" spans="1:97" x14ac:dyDescent="0.2">
      <c r="A229" s="100">
        <v>740</v>
      </c>
      <c r="B229" s="100" t="s">
        <v>538</v>
      </c>
      <c r="C229" s="100">
        <v>32085</v>
      </c>
      <c r="D229" s="257"/>
      <c r="E229" s="257"/>
      <c r="F229" s="257"/>
      <c r="G229" s="257"/>
      <c r="H229" s="325"/>
      <c r="I229" s="257"/>
      <c r="J229" s="257"/>
      <c r="K229" s="257"/>
      <c r="L229" s="257"/>
      <c r="M229" s="257"/>
      <c r="N229" s="257"/>
      <c r="O229" s="257"/>
      <c r="P229" s="257"/>
      <c r="Q229" s="100">
        <v>1001</v>
      </c>
      <c r="R229" s="100">
        <v>261</v>
      </c>
      <c r="S229" s="100">
        <v>1629</v>
      </c>
      <c r="T229" s="100">
        <v>930</v>
      </c>
      <c r="U229" s="100">
        <v>28264</v>
      </c>
      <c r="V229" s="100"/>
      <c r="W229" s="100"/>
      <c r="X229" s="100"/>
      <c r="Y229" s="100"/>
      <c r="Z229" s="257"/>
      <c r="AA229" s="257"/>
      <c r="AB229" s="257"/>
      <c r="AC229" s="257"/>
      <c r="AD229" s="257"/>
      <c r="AE229" s="258">
        <v>0.88237083991225929</v>
      </c>
      <c r="AG229" s="441">
        <v>1574.1666666666667</v>
      </c>
      <c r="AH229" s="443">
        <v>13772</v>
      </c>
      <c r="AJ229" s="88">
        <v>1399</v>
      </c>
      <c r="AM229" s="88">
        <v>0</v>
      </c>
      <c r="AN229" s="88">
        <v>45</v>
      </c>
      <c r="AP229" s="88">
        <v>3</v>
      </c>
      <c r="AQ229" s="399">
        <v>4773</v>
      </c>
      <c r="AR229" s="88">
        <v>2237.87</v>
      </c>
      <c r="AU229" s="399">
        <v>983</v>
      </c>
      <c r="AV229" s="399">
        <v>8145</v>
      </c>
      <c r="AY229" s="88">
        <v>0.3679</v>
      </c>
      <c r="AZ229" s="432">
        <v>12009</v>
      </c>
      <c r="BA229" s="440">
        <v>11836</v>
      </c>
      <c r="BC229" s="439">
        <v>0</v>
      </c>
      <c r="BD229" s="88">
        <v>0</v>
      </c>
      <c r="BE229" s="88">
        <v>1</v>
      </c>
      <c r="BF229" s="434">
        <v>-1710961.1025</v>
      </c>
      <c r="BG229" s="100">
        <v>-627437.02</v>
      </c>
      <c r="BH229" s="257"/>
      <c r="BI229" s="100"/>
      <c r="BJ229" s="257"/>
      <c r="BK229" s="100"/>
      <c r="BL229" s="100"/>
      <c r="BM229" s="100"/>
      <c r="BN229" s="257"/>
      <c r="BO229" s="100"/>
      <c r="BP229" s="100">
        <v>3134752</v>
      </c>
      <c r="BQ229" s="100">
        <v>972657</v>
      </c>
      <c r="BR229" s="100">
        <v>2432360.2074209754</v>
      </c>
      <c r="BS229" s="100">
        <v>111060.45902521518</v>
      </c>
      <c r="BT229" s="100">
        <v>21440.630819112841</v>
      </c>
      <c r="BU229" s="100">
        <v>1185246.8266214402</v>
      </c>
      <c r="BV229" s="100">
        <v>1798370.0961450383</v>
      </c>
      <c r="BW229" s="100">
        <v>2924603.9590649819</v>
      </c>
      <c r="BX229" s="100">
        <v>904618.12834452931</v>
      </c>
      <c r="BY229" s="100">
        <v>1618745.2680681061</v>
      </c>
      <c r="BZ229" s="257"/>
      <c r="CA229" s="100"/>
      <c r="CB229" s="257"/>
      <c r="CC229" s="257"/>
      <c r="CD229" s="257"/>
      <c r="CE229" s="100">
        <v>2081064.4991080731</v>
      </c>
      <c r="CF229" s="100">
        <v>1144552.2110271549</v>
      </c>
      <c r="CG229" s="100">
        <v>1153887.5211592305</v>
      </c>
      <c r="CH229" s="100">
        <v>6152036.684439783</v>
      </c>
      <c r="CI229" s="257"/>
      <c r="CJ229" s="437">
        <v>9358231.9081515893</v>
      </c>
      <c r="CK229" s="404">
        <v>-1392811</v>
      </c>
      <c r="CL229" s="404"/>
      <c r="CM229" s="437">
        <v>-347377.27250000025</v>
      </c>
      <c r="CO229" s="434">
        <v>-5488978.9722857587</v>
      </c>
      <c r="CP229" s="437">
        <v>-1736668.790477443</v>
      </c>
      <c r="CQ229" s="437">
        <v>-2902728.5138901155</v>
      </c>
      <c r="CR229" s="437">
        <v>1113254.9794338634</v>
      </c>
      <c r="CS229" s="257"/>
    </row>
    <row r="230" spans="1:97" x14ac:dyDescent="0.2">
      <c r="A230" s="100">
        <v>742</v>
      </c>
      <c r="B230" s="100" t="s">
        <v>539</v>
      </c>
      <c r="C230" s="100">
        <v>988</v>
      </c>
      <c r="D230" s="257"/>
      <c r="E230" s="257"/>
      <c r="F230" s="257"/>
      <c r="G230" s="257"/>
      <c r="H230" s="325"/>
      <c r="I230" s="257"/>
      <c r="J230" s="257"/>
      <c r="K230" s="257"/>
      <c r="L230" s="257"/>
      <c r="M230" s="257"/>
      <c r="N230" s="257"/>
      <c r="O230" s="257"/>
      <c r="P230" s="257"/>
      <c r="Q230" s="100">
        <v>42</v>
      </c>
      <c r="R230" s="100">
        <v>7</v>
      </c>
      <c r="S230" s="100">
        <v>43</v>
      </c>
      <c r="T230" s="100">
        <v>15</v>
      </c>
      <c r="U230" s="100">
        <v>881</v>
      </c>
      <c r="V230" s="100"/>
      <c r="W230" s="100"/>
      <c r="X230" s="100"/>
      <c r="Y230" s="100"/>
      <c r="Z230" s="257"/>
      <c r="AA230" s="257"/>
      <c r="AB230" s="257"/>
      <c r="AC230" s="257"/>
      <c r="AD230" s="257"/>
      <c r="AE230" s="258">
        <v>0.70328831110079615</v>
      </c>
      <c r="AG230" s="441">
        <v>69.583333333333329</v>
      </c>
      <c r="AH230" s="443">
        <v>467</v>
      </c>
      <c r="AJ230" s="88">
        <v>14</v>
      </c>
      <c r="AM230" s="88">
        <v>0</v>
      </c>
      <c r="AN230" s="88">
        <v>3</v>
      </c>
      <c r="AP230" s="88">
        <v>0</v>
      </c>
      <c r="AQ230" s="399">
        <v>0</v>
      </c>
      <c r="AR230" s="88">
        <v>6440.08</v>
      </c>
      <c r="AU230" s="399">
        <v>29</v>
      </c>
      <c r="AV230" s="399">
        <v>228</v>
      </c>
      <c r="AY230" s="88">
        <v>1.9433833333333332</v>
      </c>
      <c r="AZ230" s="432">
        <v>332</v>
      </c>
      <c r="BA230" s="440">
        <v>382</v>
      </c>
      <c r="BC230" s="439">
        <v>0</v>
      </c>
      <c r="BD230" s="88">
        <v>0</v>
      </c>
      <c r="BE230" s="88">
        <v>4</v>
      </c>
      <c r="BF230" s="434">
        <v>-24881.172500000001</v>
      </c>
      <c r="BG230" s="100">
        <v>-19382.89</v>
      </c>
      <c r="BH230" s="257"/>
      <c r="BI230" s="100"/>
      <c r="BJ230" s="257"/>
      <c r="BK230" s="100"/>
      <c r="BL230" s="100"/>
      <c r="BM230" s="100"/>
      <c r="BN230" s="257"/>
      <c r="BO230" s="100"/>
      <c r="BP230" s="100">
        <v>109834</v>
      </c>
      <c r="BQ230" s="100">
        <v>36537</v>
      </c>
      <c r="BR230" s="100">
        <v>107128.47253510478</v>
      </c>
      <c r="BS230" s="100">
        <v>6185.4526394175327</v>
      </c>
      <c r="BT230" s="100">
        <v>17547.13801080827</v>
      </c>
      <c r="BU230" s="100">
        <v>43891.126173237739</v>
      </c>
      <c r="BV230" s="100">
        <v>62396.715269829845</v>
      </c>
      <c r="BW230" s="100">
        <v>97408.825132475511</v>
      </c>
      <c r="BX230" s="100">
        <v>32774.602269361661</v>
      </c>
      <c r="BY230" s="100">
        <v>55547.7924942877</v>
      </c>
      <c r="BZ230" s="257"/>
      <c r="CA230" s="100"/>
      <c r="CB230" s="257"/>
      <c r="CC230" s="257"/>
      <c r="CD230" s="257"/>
      <c r="CE230" s="100">
        <v>73236.725573150979</v>
      </c>
      <c r="CF230" s="100">
        <v>37764.174228648713</v>
      </c>
      <c r="CG230" s="100">
        <v>37274.982462439519</v>
      </c>
      <c r="CH230" s="100">
        <v>227813.65568504349</v>
      </c>
      <c r="CI230" s="257"/>
      <c r="CJ230" s="437">
        <v>-22975.863869158784</v>
      </c>
      <c r="CK230" s="404">
        <v>405085</v>
      </c>
      <c r="CL230" s="404"/>
      <c r="CM230" s="437">
        <v>0</v>
      </c>
      <c r="CO230" s="434">
        <v>-3223.4007547387268</v>
      </c>
      <c r="CP230" s="437">
        <v>210006.1600184603</v>
      </c>
      <c r="CQ230" s="437">
        <v>-89384.315777573138</v>
      </c>
      <c r="CR230" s="437">
        <v>34280.68940877846</v>
      </c>
      <c r="CS230" s="257"/>
    </row>
    <row r="231" spans="1:97" x14ac:dyDescent="0.2">
      <c r="A231" s="100">
        <v>743</v>
      </c>
      <c r="B231" s="100" t="s">
        <v>540</v>
      </c>
      <c r="C231" s="100">
        <v>65323</v>
      </c>
      <c r="D231" s="257"/>
      <c r="E231" s="257"/>
      <c r="F231" s="257"/>
      <c r="G231" s="257"/>
      <c r="H231" s="325"/>
      <c r="I231" s="257"/>
      <c r="J231" s="257"/>
      <c r="K231" s="257"/>
      <c r="L231" s="257"/>
      <c r="M231" s="257"/>
      <c r="N231" s="257"/>
      <c r="O231" s="257"/>
      <c r="P231" s="257"/>
      <c r="Q231" s="100">
        <v>3854</v>
      </c>
      <c r="R231" s="100">
        <v>741</v>
      </c>
      <c r="S231" s="100">
        <v>4765</v>
      </c>
      <c r="T231" s="100">
        <v>2260</v>
      </c>
      <c r="U231" s="100">
        <v>53703</v>
      </c>
      <c r="V231" s="100"/>
      <c r="W231" s="100"/>
      <c r="X231" s="100"/>
      <c r="Y231" s="100"/>
      <c r="Z231" s="257"/>
      <c r="AA231" s="257"/>
      <c r="AB231" s="257"/>
      <c r="AC231" s="257"/>
      <c r="AD231" s="257"/>
      <c r="AE231" s="258">
        <v>1.024967015565915</v>
      </c>
      <c r="AG231" s="441">
        <v>2140.75</v>
      </c>
      <c r="AH231" s="443">
        <v>31406</v>
      </c>
      <c r="AJ231" s="88">
        <v>2302</v>
      </c>
      <c r="AM231" s="88">
        <v>0</v>
      </c>
      <c r="AN231" s="88">
        <v>143</v>
      </c>
      <c r="AP231" s="88">
        <v>0</v>
      </c>
      <c r="AQ231" s="399">
        <v>0</v>
      </c>
      <c r="AR231" s="88">
        <v>1431.77</v>
      </c>
      <c r="AU231" s="399">
        <v>1755</v>
      </c>
      <c r="AV231" s="399">
        <v>20091</v>
      </c>
      <c r="AY231" s="88">
        <v>0</v>
      </c>
      <c r="AZ231" s="432">
        <v>32683</v>
      </c>
      <c r="BA231" s="440">
        <v>29257</v>
      </c>
      <c r="BC231" s="439">
        <v>0.8</v>
      </c>
      <c r="BD231" s="88">
        <v>0</v>
      </c>
      <c r="BE231" s="88">
        <v>3</v>
      </c>
      <c r="BF231" s="434">
        <v>-3182317.5425</v>
      </c>
      <c r="BG231" s="100">
        <v>-1231937.3</v>
      </c>
      <c r="BH231" s="257"/>
      <c r="BI231" s="100"/>
      <c r="BJ231" s="257"/>
      <c r="BK231" s="100"/>
      <c r="BL231" s="100"/>
      <c r="BM231" s="100"/>
      <c r="BN231" s="257"/>
      <c r="BO231" s="100"/>
      <c r="BP231" s="100">
        <v>3978804</v>
      </c>
      <c r="BQ231" s="100">
        <v>1391477</v>
      </c>
      <c r="BR231" s="100">
        <v>3226519.989374259</v>
      </c>
      <c r="BS231" s="100">
        <v>102023.61029979105</v>
      </c>
      <c r="BT231" s="100">
        <v>237407.69299697477</v>
      </c>
      <c r="BU231" s="100">
        <v>1427481.3590565426</v>
      </c>
      <c r="BV231" s="100">
        <v>3172709.9227266847</v>
      </c>
      <c r="BW231" s="100">
        <v>4787147.2990270993</v>
      </c>
      <c r="BX231" s="100">
        <v>1525942.3086978707</v>
      </c>
      <c r="BY231" s="100">
        <v>2622742.8243165072</v>
      </c>
      <c r="BZ231" s="257"/>
      <c r="CA231" s="100"/>
      <c r="CB231" s="257"/>
      <c r="CC231" s="257"/>
      <c r="CD231" s="257"/>
      <c r="CE231" s="100">
        <v>3479615.597833192</v>
      </c>
      <c r="CF231" s="100">
        <v>2187170.9143174672</v>
      </c>
      <c r="CG231" s="100">
        <v>2160656.311479676</v>
      </c>
      <c r="CH231" s="100">
        <v>9891809.9511747789</v>
      </c>
      <c r="CI231" s="257"/>
      <c r="CJ231" s="437">
        <v>12299018.935356123</v>
      </c>
      <c r="CK231" s="404">
        <v>-3028450</v>
      </c>
      <c r="CL231" s="404"/>
      <c r="CM231" s="437">
        <v>-200564.31400000001</v>
      </c>
      <c r="CO231" s="434">
        <v>-8540111.0518094283</v>
      </c>
      <c r="CP231" s="437">
        <v>-4003243.0852757152</v>
      </c>
      <c r="CQ231" s="437">
        <v>-5909768.8861724799</v>
      </c>
      <c r="CR231" s="437">
        <v>2266515.6621959875</v>
      </c>
      <c r="CS231" s="257"/>
    </row>
    <row r="232" spans="1:97" x14ac:dyDescent="0.2">
      <c r="A232" s="100">
        <v>746</v>
      </c>
      <c r="B232" s="100" t="s">
        <v>541</v>
      </c>
      <c r="C232" s="100">
        <v>4735</v>
      </c>
      <c r="D232" s="257"/>
      <c r="E232" s="257"/>
      <c r="F232" s="257"/>
      <c r="G232" s="257"/>
      <c r="H232" s="325"/>
      <c r="I232" s="257"/>
      <c r="J232" s="257"/>
      <c r="K232" s="257"/>
      <c r="L232" s="257"/>
      <c r="M232" s="257"/>
      <c r="N232" s="257"/>
      <c r="O232" s="257"/>
      <c r="P232" s="257"/>
      <c r="Q232" s="100">
        <v>352</v>
      </c>
      <c r="R232" s="100">
        <v>61</v>
      </c>
      <c r="S232" s="100">
        <v>505</v>
      </c>
      <c r="T232" s="100">
        <v>303</v>
      </c>
      <c r="U232" s="100">
        <v>3514</v>
      </c>
      <c r="V232" s="100"/>
      <c r="W232" s="100"/>
      <c r="X232" s="100"/>
      <c r="Y232" s="100"/>
      <c r="Z232" s="257"/>
      <c r="AA232" s="257"/>
      <c r="AB232" s="257"/>
      <c r="AC232" s="257"/>
      <c r="AD232" s="257"/>
      <c r="AE232" s="258">
        <v>0.9797457166269804</v>
      </c>
      <c r="AG232" s="441">
        <v>129.25</v>
      </c>
      <c r="AH232" s="443">
        <v>1958</v>
      </c>
      <c r="AJ232" s="88">
        <v>120</v>
      </c>
      <c r="AM232" s="88">
        <v>0</v>
      </c>
      <c r="AN232" s="88">
        <v>5</v>
      </c>
      <c r="AP232" s="88">
        <v>0</v>
      </c>
      <c r="AQ232" s="399">
        <v>0</v>
      </c>
      <c r="AR232" s="88">
        <v>786.4</v>
      </c>
      <c r="AU232" s="399">
        <v>183</v>
      </c>
      <c r="AV232" s="399">
        <v>1267</v>
      </c>
      <c r="AY232" s="88">
        <v>0.17035</v>
      </c>
      <c r="AZ232" s="432">
        <v>2198</v>
      </c>
      <c r="BA232" s="440">
        <v>1800</v>
      </c>
      <c r="BC232" s="439">
        <v>0</v>
      </c>
      <c r="BD232" s="88">
        <v>0</v>
      </c>
      <c r="BE232" s="88">
        <v>0</v>
      </c>
      <c r="BF232" s="434">
        <v>-110959.38</v>
      </c>
      <c r="BG232" s="100">
        <v>-92861.14</v>
      </c>
      <c r="BH232" s="257"/>
      <c r="BI232" s="100"/>
      <c r="BJ232" s="257"/>
      <c r="BK232" s="100"/>
      <c r="BL232" s="100"/>
      <c r="BM232" s="100"/>
      <c r="BN232" s="257"/>
      <c r="BO232" s="100"/>
      <c r="BP232" s="100">
        <v>462947</v>
      </c>
      <c r="BQ232" s="100">
        <v>137655</v>
      </c>
      <c r="BR232" s="100">
        <v>343284.87997997442</v>
      </c>
      <c r="BS232" s="100">
        <v>13713.831083321365</v>
      </c>
      <c r="BT232" s="100">
        <v>41211.212880320585</v>
      </c>
      <c r="BU232" s="100">
        <v>189663.91626609047</v>
      </c>
      <c r="BV232" s="100">
        <v>254083.69828550037</v>
      </c>
      <c r="BW232" s="100">
        <v>421469.8857876907</v>
      </c>
      <c r="BX232" s="100">
        <v>98138.351323829862</v>
      </c>
      <c r="BY232" s="100">
        <v>210644.02742289516</v>
      </c>
      <c r="BZ232" s="257"/>
      <c r="CA232" s="100"/>
      <c r="CB232" s="257"/>
      <c r="CC232" s="257"/>
      <c r="CD232" s="257"/>
      <c r="CE232" s="100">
        <v>296906.05494100548</v>
      </c>
      <c r="CF232" s="100">
        <v>169890.23525348326</v>
      </c>
      <c r="CG232" s="100">
        <v>166004.70027815059</v>
      </c>
      <c r="CH232" s="100">
        <v>927037.86173937644</v>
      </c>
      <c r="CI232" s="257"/>
      <c r="CJ232" s="437">
        <v>1410848.1951298011</v>
      </c>
      <c r="CK232" s="404">
        <v>204484</v>
      </c>
      <c r="CL232" s="404"/>
      <c r="CM232" s="437">
        <v>25809.004999999997</v>
      </c>
      <c r="CO232" s="434">
        <v>-149383.12238723849</v>
      </c>
      <c r="CP232" s="437">
        <v>-585606.1011910981</v>
      </c>
      <c r="CQ232" s="437">
        <v>-428375.23806357168</v>
      </c>
      <c r="CR232" s="437">
        <v>164290.55096211136</v>
      </c>
      <c r="CS232" s="257"/>
    </row>
    <row r="233" spans="1:97" x14ac:dyDescent="0.2">
      <c r="A233" s="100">
        <v>747</v>
      </c>
      <c r="B233" s="100" t="s">
        <v>542</v>
      </c>
      <c r="C233" s="100">
        <v>1308</v>
      </c>
      <c r="D233" s="257"/>
      <c r="E233" s="257"/>
      <c r="F233" s="257"/>
      <c r="G233" s="257"/>
      <c r="H233" s="325"/>
      <c r="I233" s="257"/>
      <c r="J233" s="257"/>
      <c r="K233" s="257"/>
      <c r="L233" s="257"/>
      <c r="M233" s="257"/>
      <c r="N233" s="257"/>
      <c r="O233" s="257"/>
      <c r="P233" s="257"/>
      <c r="Q233" s="100">
        <v>40</v>
      </c>
      <c r="R233" s="100">
        <v>8</v>
      </c>
      <c r="S233" s="100">
        <v>75</v>
      </c>
      <c r="T233" s="100">
        <v>29</v>
      </c>
      <c r="U233" s="100">
        <v>1156</v>
      </c>
      <c r="V233" s="100"/>
      <c r="W233" s="100"/>
      <c r="X233" s="100"/>
      <c r="Y233" s="100"/>
      <c r="Z233" s="257"/>
      <c r="AA233" s="257"/>
      <c r="AB233" s="257"/>
      <c r="AC233" s="257"/>
      <c r="AD233" s="257"/>
      <c r="AE233" s="258">
        <v>0.52399447597487014</v>
      </c>
      <c r="AG233" s="441">
        <v>53.333333333333336</v>
      </c>
      <c r="AH233" s="443">
        <v>540</v>
      </c>
      <c r="AJ233" s="88">
        <v>17</v>
      </c>
      <c r="AM233" s="88">
        <v>0</v>
      </c>
      <c r="AN233" s="88">
        <v>2</v>
      </c>
      <c r="AP233" s="88">
        <v>0</v>
      </c>
      <c r="AQ233" s="399">
        <v>0</v>
      </c>
      <c r="AR233" s="88">
        <v>463.32</v>
      </c>
      <c r="AU233" s="399">
        <v>40</v>
      </c>
      <c r="AV233" s="399">
        <v>288</v>
      </c>
      <c r="AY233" s="88">
        <v>1.2231166666666669</v>
      </c>
      <c r="AZ233" s="432">
        <v>379</v>
      </c>
      <c r="BA233" s="440">
        <v>458</v>
      </c>
      <c r="BC233" s="439">
        <v>0</v>
      </c>
      <c r="BD233" s="88">
        <v>0</v>
      </c>
      <c r="BE233" s="88">
        <v>0</v>
      </c>
      <c r="BF233" s="434">
        <v>-31253.99</v>
      </c>
      <c r="BG233" s="100">
        <v>-26605.850000000002</v>
      </c>
      <c r="BH233" s="257"/>
      <c r="BI233" s="100"/>
      <c r="BJ233" s="257"/>
      <c r="BK233" s="100"/>
      <c r="BL233" s="100"/>
      <c r="BM233" s="100"/>
      <c r="BN233" s="257"/>
      <c r="BO233" s="100"/>
      <c r="BP233" s="100">
        <v>194214</v>
      </c>
      <c r="BQ233" s="100">
        <v>52652</v>
      </c>
      <c r="BR233" s="100">
        <v>152870.62428286689</v>
      </c>
      <c r="BS233" s="100">
        <v>8275.7313798883606</v>
      </c>
      <c r="BT233" s="100">
        <v>23177.556399739366</v>
      </c>
      <c r="BU233" s="100">
        <v>76240.892831777441</v>
      </c>
      <c r="BV233" s="100">
        <v>87562.766283368124</v>
      </c>
      <c r="BW233" s="100">
        <v>132934.73593552804</v>
      </c>
      <c r="BX233" s="100">
        <v>40130.989849962869</v>
      </c>
      <c r="BY233" s="100">
        <v>76298.406057322281</v>
      </c>
      <c r="BZ233" s="257"/>
      <c r="CA233" s="100"/>
      <c r="CB233" s="257"/>
      <c r="CC233" s="257"/>
      <c r="CD233" s="257"/>
      <c r="CE233" s="100">
        <v>110792.32204853125</v>
      </c>
      <c r="CF233" s="100">
        <v>55561.725546844813</v>
      </c>
      <c r="CG233" s="100">
        <v>50212.443772992818</v>
      </c>
      <c r="CH233" s="100">
        <v>335091.58715118672</v>
      </c>
      <c r="CI233" s="257"/>
      <c r="CJ233" s="437">
        <v>546791.75487211917</v>
      </c>
      <c r="CK233" s="404">
        <v>-242451</v>
      </c>
      <c r="CL233" s="404"/>
      <c r="CM233" s="437">
        <v>50872.085000000021</v>
      </c>
      <c r="CO233" s="434">
        <v>363375.23704462295</v>
      </c>
      <c r="CP233" s="437">
        <v>283858.44803739246</v>
      </c>
      <c r="CQ233" s="437">
        <v>-118334.70145451991</v>
      </c>
      <c r="CR233" s="437">
        <v>45383.746707168248</v>
      </c>
      <c r="CS233" s="257"/>
    </row>
    <row r="234" spans="1:97" x14ac:dyDescent="0.2">
      <c r="A234" s="100">
        <v>748</v>
      </c>
      <c r="B234" s="100" t="s">
        <v>543</v>
      </c>
      <c r="C234" s="100">
        <v>4897</v>
      </c>
      <c r="D234" s="257"/>
      <c r="E234" s="257"/>
      <c r="F234" s="257"/>
      <c r="G234" s="257"/>
      <c r="H234" s="325"/>
      <c r="I234" s="257"/>
      <c r="J234" s="257"/>
      <c r="K234" s="257"/>
      <c r="L234" s="257"/>
      <c r="M234" s="257"/>
      <c r="N234" s="257"/>
      <c r="O234" s="257"/>
      <c r="P234" s="257"/>
      <c r="Q234" s="100">
        <v>317</v>
      </c>
      <c r="R234" s="100">
        <v>51</v>
      </c>
      <c r="S234" s="100">
        <v>474</v>
      </c>
      <c r="T234" s="100">
        <v>230</v>
      </c>
      <c r="U234" s="100">
        <v>3825</v>
      </c>
      <c r="V234" s="100"/>
      <c r="W234" s="100"/>
      <c r="X234" s="100"/>
      <c r="Y234" s="100"/>
      <c r="Z234" s="257"/>
      <c r="AA234" s="257"/>
      <c r="AB234" s="257"/>
      <c r="AC234" s="257"/>
      <c r="AD234" s="257"/>
      <c r="AE234" s="258">
        <v>0.90789502520206755</v>
      </c>
      <c r="AG234" s="441">
        <v>161.58333333333334</v>
      </c>
      <c r="AH234" s="443">
        <v>2006</v>
      </c>
      <c r="AJ234" s="88">
        <v>81</v>
      </c>
      <c r="AM234" s="88">
        <v>0</v>
      </c>
      <c r="AN234" s="88">
        <v>2</v>
      </c>
      <c r="AP234" s="88">
        <v>0</v>
      </c>
      <c r="AQ234" s="399">
        <v>0</v>
      </c>
      <c r="AR234" s="88">
        <v>1055.46</v>
      </c>
      <c r="AU234" s="399">
        <v>178</v>
      </c>
      <c r="AV234" s="399">
        <v>1316</v>
      </c>
      <c r="AY234" s="88">
        <v>0.54026666666666667</v>
      </c>
      <c r="AZ234" s="432">
        <v>1604</v>
      </c>
      <c r="BA234" s="440">
        <v>1803</v>
      </c>
      <c r="BC234" s="439">
        <v>0</v>
      </c>
      <c r="BD234" s="88">
        <v>0</v>
      </c>
      <c r="BE234" s="88">
        <v>0</v>
      </c>
      <c r="BF234" s="434">
        <v>-76760.244999999995</v>
      </c>
      <c r="BG234" s="100">
        <v>-96703.14</v>
      </c>
      <c r="BH234" s="257"/>
      <c r="BI234" s="100"/>
      <c r="BJ234" s="257"/>
      <c r="BK234" s="100"/>
      <c r="BL234" s="100"/>
      <c r="BM234" s="100"/>
      <c r="BN234" s="257"/>
      <c r="BO234" s="100"/>
      <c r="BP234" s="100">
        <v>465420</v>
      </c>
      <c r="BQ234" s="100">
        <v>151091</v>
      </c>
      <c r="BR234" s="100">
        <v>374569.73627007403</v>
      </c>
      <c r="BS234" s="100">
        <v>18315.786693797167</v>
      </c>
      <c r="BT234" s="100">
        <v>52426.308172741112</v>
      </c>
      <c r="BU234" s="100">
        <v>175422.20950342881</v>
      </c>
      <c r="BV234" s="100">
        <v>273513.79267517006</v>
      </c>
      <c r="BW234" s="100">
        <v>475831.03899427562</v>
      </c>
      <c r="BX234" s="100">
        <v>106326.49801252587</v>
      </c>
      <c r="BY234" s="100">
        <v>231133.4345225484</v>
      </c>
      <c r="BZ234" s="257"/>
      <c r="CA234" s="100"/>
      <c r="CB234" s="257"/>
      <c r="CC234" s="257"/>
      <c r="CD234" s="257"/>
      <c r="CE234" s="100">
        <v>324982.51331707882</v>
      </c>
      <c r="CF234" s="100">
        <v>179230.4517422021</v>
      </c>
      <c r="CG234" s="100">
        <v>161832.86593023487</v>
      </c>
      <c r="CH234" s="100">
        <v>1015680.294506805</v>
      </c>
      <c r="CI234" s="257"/>
      <c r="CJ234" s="437">
        <v>2561589.8101555142</v>
      </c>
      <c r="CK234" s="404">
        <v>429345</v>
      </c>
      <c r="CL234" s="404"/>
      <c r="CM234" s="437">
        <v>255106.34999999998</v>
      </c>
      <c r="CO234" s="434">
        <v>-901599.41526827496</v>
      </c>
      <c r="CP234" s="437">
        <v>-940002.64966115193</v>
      </c>
      <c r="CQ234" s="437">
        <v>-443031.37081252597</v>
      </c>
      <c r="CR234" s="437">
        <v>169911.47371942119</v>
      </c>
      <c r="CS234" s="257"/>
    </row>
    <row r="235" spans="1:97" x14ac:dyDescent="0.2">
      <c r="A235" s="100">
        <v>791</v>
      </c>
      <c r="B235" s="100" t="s">
        <v>560</v>
      </c>
      <c r="C235" s="100">
        <v>5029</v>
      </c>
      <c r="D235" s="257"/>
      <c r="E235" s="257"/>
      <c r="F235" s="257"/>
      <c r="G235" s="257"/>
      <c r="H235" s="325"/>
      <c r="I235" s="257"/>
      <c r="J235" s="257"/>
      <c r="K235" s="257"/>
      <c r="L235" s="257"/>
      <c r="M235" s="257"/>
      <c r="N235" s="257"/>
      <c r="O235" s="257"/>
      <c r="P235" s="257"/>
      <c r="Q235" s="100">
        <v>233</v>
      </c>
      <c r="R235" s="100">
        <v>42</v>
      </c>
      <c r="S235" s="100">
        <v>331</v>
      </c>
      <c r="T235" s="100">
        <v>172</v>
      </c>
      <c r="U235" s="100">
        <v>4251</v>
      </c>
      <c r="V235" s="100"/>
      <c r="W235" s="100"/>
      <c r="X235" s="100"/>
      <c r="Y235" s="100"/>
      <c r="Z235" s="257"/>
      <c r="AA235" s="257"/>
      <c r="AB235" s="257"/>
      <c r="AC235" s="257"/>
      <c r="AD235" s="257"/>
      <c r="AE235" s="258">
        <v>0.77546425098511873</v>
      </c>
      <c r="AG235" s="441">
        <v>177.33333333333334</v>
      </c>
      <c r="AH235" s="443">
        <v>2163</v>
      </c>
      <c r="AJ235" s="88">
        <v>76</v>
      </c>
      <c r="AM235" s="88">
        <v>0</v>
      </c>
      <c r="AN235" s="88">
        <v>4</v>
      </c>
      <c r="AP235" s="88">
        <v>0</v>
      </c>
      <c r="AQ235" s="399">
        <v>0</v>
      </c>
      <c r="AR235" s="88">
        <v>2173.2600000000002</v>
      </c>
      <c r="AU235" s="399">
        <v>173</v>
      </c>
      <c r="AV235" s="399">
        <v>1273</v>
      </c>
      <c r="AY235" s="88">
        <v>1.4546666666666668</v>
      </c>
      <c r="AZ235" s="432">
        <v>1787</v>
      </c>
      <c r="BA235" s="440">
        <v>1913</v>
      </c>
      <c r="BC235" s="439">
        <v>0</v>
      </c>
      <c r="BD235" s="88">
        <v>0</v>
      </c>
      <c r="BE235" s="88">
        <v>0</v>
      </c>
      <c r="BF235" s="434">
        <v>-79238.634999999995</v>
      </c>
      <c r="BG235" s="100">
        <v>-99949.63</v>
      </c>
      <c r="BH235" s="257"/>
      <c r="BI235" s="100"/>
      <c r="BJ235" s="257"/>
      <c r="BK235" s="100"/>
      <c r="BL235" s="100"/>
      <c r="BM235" s="100"/>
      <c r="BN235" s="257"/>
      <c r="BO235" s="100"/>
      <c r="BP235" s="100">
        <v>624315</v>
      </c>
      <c r="BQ235" s="100">
        <v>194814</v>
      </c>
      <c r="BR235" s="100">
        <v>524333.87683690561</v>
      </c>
      <c r="BS235" s="100">
        <v>27091.534205211276</v>
      </c>
      <c r="BT235" s="100">
        <v>67076.00854807171</v>
      </c>
      <c r="BU235" s="100">
        <v>250225.77368710391</v>
      </c>
      <c r="BV235" s="100">
        <v>339421.64570747496</v>
      </c>
      <c r="BW235" s="100">
        <v>554868.61426965368</v>
      </c>
      <c r="BX235" s="100">
        <v>169167.16298962926</v>
      </c>
      <c r="BY235" s="100">
        <v>282338.45270279958</v>
      </c>
      <c r="BZ235" s="257"/>
      <c r="CA235" s="100"/>
      <c r="CB235" s="257"/>
      <c r="CC235" s="257"/>
      <c r="CD235" s="257"/>
      <c r="CE235" s="100">
        <v>399136.68254131521</v>
      </c>
      <c r="CF235" s="100">
        <v>206408.54388059088</v>
      </c>
      <c r="CG235" s="100">
        <v>214043.76950625089</v>
      </c>
      <c r="CH235" s="100">
        <v>1259422.1857064292</v>
      </c>
      <c r="CI235" s="257"/>
      <c r="CJ235" s="437">
        <v>2915768.7726750532</v>
      </c>
      <c r="CK235" s="404">
        <v>-227254</v>
      </c>
      <c r="CL235" s="404"/>
      <c r="CM235" s="437">
        <v>-205353.15249999991</v>
      </c>
      <c r="CO235" s="434">
        <v>553916.90257181996</v>
      </c>
      <c r="CP235" s="437">
        <v>-24703.629769455609</v>
      </c>
      <c r="CQ235" s="437">
        <v>-454973.40490426653</v>
      </c>
      <c r="CR235" s="437">
        <v>174491.48485500697</v>
      </c>
      <c r="CS235" s="257"/>
    </row>
    <row r="236" spans="1:97" x14ac:dyDescent="0.2">
      <c r="A236" s="100">
        <v>749</v>
      </c>
      <c r="B236" s="100" t="s">
        <v>544</v>
      </c>
      <c r="C236" s="100">
        <v>21232</v>
      </c>
      <c r="D236" s="257"/>
      <c r="E236" s="257"/>
      <c r="F236" s="257"/>
      <c r="G236" s="257"/>
      <c r="H236" s="325"/>
      <c r="I236" s="257"/>
      <c r="J236" s="257"/>
      <c r="K236" s="257"/>
      <c r="L236" s="257"/>
      <c r="M236" s="257"/>
      <c r="N236" s="257"/>
      <c r="O236" s="257"/>
      <c r="P236" s="257"/>
      <c r="Q236" s="100">
        <v>1304</v>
      </c>
      <c r="R236" s="100">
        <v>273</v>
      </c>
      <c r="S236" s="100">
        <v>1832</v>
      </c>
      <c r="T236" s="100">
        <v>924</v>
      </c>
      <c r="U236" s="100">
        <v>16899</v>
      </c>
      <c r="V236" s="100"/>
      <c r="W236" s="100"/>
      <c r="X236" s="100"/>
      <c r="Y236" s="100"/>
      <c r="Z236" s="257"/>
      <c r="AA236" s="257"/>
      <c r="AB236" s="257"/>
      <c r="AC236" s="257"/>
      <c r="AD236" s="257"/>
      <c r="AE236" s="258">
        <v>1.0269972262650264</v>
      </c>
      <c r="AG236" s="441">
        <v>647.08333333333337</v>
      </c>
      <c r="AH236" s="443">
        <v>9966</v>
      </c>
      <c r="AJ236" s="88">
        <v>325</v>
      </c>
      <c r="AM236" s="88">
        <v>0</v>
      </c>
      <c r="AN236" s="88">
        <v>16</v>
      </c>
      <c r="AP236" s="88">
        <v>0</v>
      </c>
      <c r="AQ236" s="399">
        <v>0</v>
      </c>
      <c r="AR236" s="88">
        <v>401</v>
      </c>
      <c r="AU236" s="399">
        <v>467</v>
      </c>
      <c r="AV236" s="399">
        <v>6785</v>
      </c>
      <c r="AY236" s="88">
        <v>0</v>
      </c>
      <c r="AZ236" s="432">
        <v>7103</v>
      </c>
      <c r="BA236" s="440">
        <v>9238</v>
      </c>
      <c r="BC236" s="439">
        <v>0</v>
      </c>
      <c r="BD236" s="88">
        <v>0</v>
      </c>
      <c r="BE236" s="88">
        <v>1</v>
      </c>
      <c r="BF236" s="434">
        <v>-877324.3</v>
      </c>
      <c r="BG236" s="100">
        <v>-408231.71</v>
      </c>
      <c r="BH236" s="257"/>
      <c r="BI236" s="100"/>
      <c r="BJ236" s="257"/>
      <c r="BK236" s="100"/>
      <c r="BL236" s="100"/>
      <c r="BM236" s="100"/>
      <c r="BN236" s="257"/>
      <c r="BO236" s="100"/>
      <c r="BP236" s="100">
        <v>1402958</v>
      </c>
      <c r="BQ236" s="100">
        <v>450760</v>
      </c>
      <c r="BR236" s="100">
        <v>925488.77533494611</v>
      </c>
      <c r="BS236" s="100">
        <v>16784.10139488702</v>
      </c>
      <c r="BT236" s="100">
        <v>5877.0895005306902</v>
      </c>
      <c r="BU236" s="100">
        <v>448920.01887703832</v>
      </c>
      <c r="BV236" s="100">
        <v>987855.06471204059</v>
      </c>
      <c r="BW236" s="100">
        <v>1641445.0655553432</v>
      </c>
      <c r="BX236" s="100">
        <v>407506.34797263384</v>
      </c>
      <c r="BY236" s="100">
        <v>785784.58192243241</v>
      </c>
      <c r="BZ236" s="257"/>
      <c r="CA236" s="100"/>
      <c r="CB236" s="257"/>
      <c r="CC236" s="257"/>
      <c r="CD236" s="257"/>
      <c r="CE236" s="100">
        <v>967842.98420603247</v>
      </c>
      <c r="CF236" s="100">
        <v>653858.07332714077</v>
      </c>
      <c r="CG236" s="100">
        <v>658241.75983757724</v>
      </c>
      <c r="CH236" s="100">
        <v>3020021.1533850855</v>
      </c>
      <c r="CI236" s="257"/>
      <c r="CJ236" s="437">
        <v>5010593.8415084388</v>
      </c>
      <c r="CK236" s="404">
        <v>-1975738</v>
      </c>
      <c r="CL236" s="404"/>
      <c r="CM236" s="437">
        <v>33839.633550000028</v>
      </c>
      <c r="CO236" s="434">
        <v>-1996436.0565779181</v>
      </c>
      <c r="CP236" s="437">
        <v>-2153447.441846001</v>
      </c>
      <c r="CQ236" s="437">
        <v>-1920858.089665418</v>
      </c>
      <c r="CR236" s="437">
        <v>736687.8517481623</v>
      </c>
      <c r="CS236" s="257"/>
    </row>
    <row r="237" spans="1:97" x14ac:dyDescent="0.2">
      <c r="A237" s="100">
        <v>751</v>
      </c>
      <c r="B237" s="100" t="s">
        <v>545</v>
      </c>
      <c r="C237" s="100">
        <v>2877</v>
      </c>
      <c r="D237" s="257"/>
      <c r="E237" s="257"/>
      <c r="F237" s="257"/>
      <c r="G237" s="257"/>
      <c r="H237" s="325"/>
      <c r="I237" s="257"/>
      <c r="J237" s="257"/>
      <c r="K237" s="257"/>
      <c r="L237" s="257"/>
      <c r="M237" s="257"/>
      <c r="N237" s="257"/>
      <c r="O237" s="257"/>
      <c r="P237" s="257"/>
      <c r="Q237" s="100">
        <v>105</v>
      </c>
      <c r="R237" s="100">
        <v>20</v>
      </c>
      <c r="S237" s="100">
        <v>177</v>
      </c>
      <c r="T237" s="100">
        <v>102</v>
      </c>
      <c r="U237" s="100">
        <v>2473</v>
      </c>
      <c r="V237" s="100"/>
      <c r="W237" s="100"/>
      <c r="X237" s="100"/>
      <c r="Y237" s="100"/>
      <c r="Z237" s="257"/>
      <c r="AA237" s="257"/>
      <c r="AB237" s="257"/>
      <c r="AC237" s="257"/>
      <c r="AD237" s="257"/>
      <c r="AE237" s="258">
        <v>0.9737324681975873</v>
      </c>
      <c r="AG237" s="441">
        <v>109.08333333333333</v>
      </c>
      <c r="AH237" s="443">
        <v>1150</v>
      </c>
      <c r="AJ237" s="88">
        <v>24</v>
      </c>
      <c r="AM237" s="88">
        <v>0</v>
      </c>
      <c r="AN237" s="88">
        <v>4</v>
      </c>
      <c r="AP237" s="88">
        <v>0</v>
      </c>
      <c r="AQ237" s="399">
        <v>0</v>
      </c>
      <c r="AR237" s="88">
        <v>1446.3</v>
      </c>
      <c r="AU237" s="399">
        <v>68</v>
      </c>
      <c r="AV237" s="399">
        <v>705</v>
      </c>
      <c r="AY237" s="88">
        <v>0.79239999999999999</v>
      </c>
      <c r="AZ237" s="432">
        <v>604</v>
      </c>
      <c r="BA237" s="440">
        <v>1036</v>
      </c>
      <c r="BC237" s="439">
        <v>0</v>
      </c>
      <c r="BD237" s="88">
        <v>0</v>
      </c>
      <c r="BE237" s="88">
        <v>0</v>
      </c>
      <c r="BF237" s="434">
        <v>-43975.8</v>
      </c>
      <c r="BG237" s="100">
        <v>-56669.5</v>
      </c>
      <c r="BH237" s="257"/>
      <c r="BI237" s="100"/>
      <c r="BJ237" s="257"/>
      <c r="BK237" s="100"/>
      <c r="BL237" s="100"/>
      <c r="BM237" s="100"/>
      <c r="BN237" s="257"/>
      <c r="BO237" s="100"/>
      <c r="BP237" s="100">
        <v>281841</v>
      </c>
      <c r="BQ237" s="100">
        <v>83216</v>
      </c>
      <c r="BR237" s="100">
        <v>185548.22637782278</v>
      </c>
      <c r="BS237" s="100">
        <v>9122.7819790680715</v>
      </c>
      <c r="BT237" s="100">
        <v>27602.543467581676</v>
      </c>
      <c r="BU237" s="100">
        <v>93219.174150255494</v>
      </c>
      <c r="BV237" s="100">
        <v>151745.66252837007</v>
      </c>
      <c r="BW237" s="100">
        <v>271138.62060945481</v>
      </c>
      <c r="BX237" s="100">
        <v>64696.260161207567</v>
      </c>
      <c r="BY237" s="100">
        <v>127187.68884795195</v>
      </c>
      <c r="BZ237" s="257"/>
      <c r="CA237" s="100"/>
      <c r="CB237" s="257"/>
      <c r="CC237" s="257"/>
      <c r="CD237" s="257"/>
      <c r="CE237" s="100">
        <v>148092.50588509606</v>
      </c>
      <c r="CF237" s="100">
        <v>89454.115494711004</v>
      </c>
      <c r="CG237" s="100">
        <v>89908.790306390118</v>
      </c>
      <c r="CH237" s="100">
        <v>505376.80502929178</v>
      </c>
      <c r="CI237" s="257"/>
      <c r="CJ237" s="437">
        <v>1201637.772055164</v>
      </c>
      <c r="CK237" s="404">
        <v>234617</v>
      </c>
      <c r="CL237" s="404"/>
      <c r="CM237" s="437">
        <v>17902.200000000012</v>
      </c>
      <c r="CO237" s="434">
        <v>278049.56468456029</v>
      </c>
      <c r="CP237" s="437">
        <v>-69246.174004534332</v>
      </c>
      <c r="CQ237" s="437">
        <v>-260282.06122679953</v>
      </c>
      <c r="CR237" s="437">
        <v>99823.424523335663</v>
      </c>
      <c r="CS237" s="257"/>
    </row>
    <row r="238" spans="1:97" x14ac:dyDescent="0.2">
      <c r="A238" s="100">
        <v>753</v>
      </c>
      <c r="B238" s="100" t="s">
        <v>546</v>
      </c>
      <c r="C238" s="100">
        <v>22320</v>
      </c>
      <c r="D238" s="257"/>
      <c r="E238" s="257"/>
      <c r="F238" s="257"/>
      <c r="G238" s="257"/>
      <c r="H238" s="325"/>
      <c r="I238" s="257"/>
      <c r="J238" s="257"/>
      <c r="K238" s="257"/>
      <c r="L238" s="257"/>
      <c r="M238" s="257"/>
      <c r="N238" s="257"/>
      <c r="O238" s="257"/>
      <c r="P238" s="257"/>
      <c r="Q238" s="100">
        <v>1318</v>
      </c>
      <c r="R238" s="100">
        <v>260</v>
      </c>
      <c r="S238" s="100">
        <v>1725</v>
      </c>
      <c r="T238" s="100">
        <v>935</v>
      </c>
      <c r="U238" s="100">
        <v>18082</v>
      </c>
      <c r="V238" s="100"/>
      <c r="W238" s="100"/>
      <c r="X238" s="100"/>
      <c r="Y238" s="100"/>
      <c r="Z238" s="257"/>
      <c r="AA238" s="257"/>
      <c r="AB238" s="257"/>
      <c r="AC238" s="257"/>
      <c r="AD238" s="257"/>
      <c r="AE238" s="258">
        <v>0.86470686864996982</v>
      </c>
      <c r="AG238" s="441">
        <v>747.08333333333337</v>
      </c>
      <c r="AH238" s="443">
        <v>11390</v>
      </c>
      <c r="AJ238" s="88">
        <v>1420</v>
      </c>
      <c r="AM238" s="88">
        <v>1</v>
      </c>
      <c r="AN238" s="88">
        <v>6432</v>
      </c>
      <c r="AP238" s="88">
        <v>3</v>
      </c>
      <c r="AQ238" s="399">
        <v>198</v>
      </c>
      <c r="AR238" s="88">
        <v>339.66</v>
      </c>
      <c r="AU238" s="399">
        <v>952</v>
      </c>
      <c r="AV238" s="399">
        <v>7624</v>
      </c>
      <c r="AY238" s="88">
        <v>0</v>
      </c>
      <c r="AZ238" s="432">
        <v>7071</v>
      </c>
      <c r="BA238" s="440">
        <v>10860</v>
      </c>
      <c r="BC238" s="439">
        <v>1.78</v>
      </c>
      <c r="BD238" s="88">
        <v>0</v>
      </c>
      <c r="BE238" s="88">
        <v>3</v>
      </c>
      <c r="BF238" s="434">
        <v>-754717.99404999998</v>
      </c>
      <c r="BG238" s="100">
        <v>-416607.27</v>
      </c>
      <c r="BH238" s="257"/>
      <c r="BI238" s="100"/>
      <c r="BJ238" s="257"/>
      <c r="BK238" s="100"/>
      <c r="BL238" s="100"/>
      <c r="BM238" s="100"/>
      <c r="BN238" s="257"/>
      <c r="BO238" s="100"/>
      <c r="BP238" s="100">
        <v>1224672</v>
      </c>
      <c r="BQ238" s="100">
        <v>413367</v>
      </c>
      <c r="BR238" s="100">
        <v>738996.37701713608</v>
      </c>
      <c r="BS238" s="100">
        <v>4966.6910901812971</v>
      </c>
      <c r="BT238" s="100">
        <v>-246469.34371148542</v>
      </c>
      <c r="BU238" s="100">
        <v>217092.73172417851</v>
      </c>
      <c r="BV238" s="100">
        <v>777019.13227908046</v>
      </c>
      <c r="BW238" s="100">
        <v>1260306.423448747</v>
      </c>
      <c r="BX238" s="100">
        <v>390673.80812010495</v>
      </c>
      <c r="BY238" s="100">
        <v>668764.48769288696</v>
      </c>
      <c r="BZ238" s="257"/>
      <c r="CA238" s="100"/>
      <c r="CB238" s="257"/>
      <c r="CC238" s="257"/>
      <c r="CD238" s="257"/>
      <c r="CE238" s="100">
        <v>794689.95887443447</v>
      </c>
      <c r="CF238" s="100">
        <v>581644.91121983971</v>
      </c>
      <c r="CG238" s="100">
        <v>549709.02066648949</v>
      </c>
      <c r="CH238" s="100">
        <v>2475592.6170254587</v>
      </c>
      <c r="CI238" s="257"/>
      <c r="CJ238" s="437">
        <v>-613531.47980384016</v>
      </c>
      <c r="CK238" s="404">
        <v>-2298834</v>
      </c>
      <c r="CL238" s="404"/>
      <c r="CM238" s="437">
        <v>-129235.98179999995</v>
      </c>
      <c r="CO238" s="434">
        <v>6617861.821263507</v>
      </c>
      <c r="CP238" s="437">
        <v>3607252.4094094052</v>
      </c>
      <c r="CQ238" s="437">
        <v>-2019289.4009670371</v>
      </c>
      <c r="CR238" s="437">
        <v>774438.24656268756</v>
      </c>
      <c r="CS238" s="257"/>
    </row>
    <row r="239" spans="1:97" x14ac:dyDescent="0.2">
      <c r="A239" s="100">
        <v>755</v>
      </c>
      <c r="B239" s="100" t="s">
        <v>547</v>
      </c>
      <c r="C239" s="100">
        <v>6217</v>
      </c>
      <c r="D239" s="257"/>
      <c r="E239" s="257"/>
      <c r="F239" s="257"/>
      <c r="G239" s="257"/>
      <c r="H239" s="325"/>
      <c r="I239" s="257"/>
      <c r="J239" s="257"/>
      <c r="K239" s="257"/>
      <c r="L239" s="257"/>
      <c r="M239" s="257"/>
      <c r="N239" s="257"/>
      <c r="O239" s="257"/>
      <c r="P239" s="257"/>
      <c r="Q239" s="100">
        <v>321</v>
      </c>
      <c r="R239" s="100">
        <v>72</v>
      </c>
      <c r="S239" s="100">
        <v>452</v>
      </c>
      <c r="T239" s="100">
        <v>266</v>
      </c>
      <c r="U239" s="100">
        <v>5106</v>
      </c>
      <c r="V239" s="100"/>
      <c r="W239" s="100"/>
      <c r="X239" s="100"/>
      <c r="Y239" s="100"/>
      <c r="Z239" s="257"/>
      <c r="AA239" s="257"/>
      <c r="AB239" s="257"/>
      <c r="AC239" s="257"/>
      <c r="AD239" s="257"/>
      <c r="AE239" s="258">
        <v>1.0400129999289767</v>
      </c>
      <c r="AG239" s="441">
        <v>159.58333333333334</v>
      </c>
      <c r="AH239" s="443">
        <v>3141</v>
      </c>
      <c r="AJ239" s="88">
        <v>472</v>
      </c>
      <c r="AM239" s="88">
        <v>1</v>
      </c>
      <c r="AN239" s="88">
        <v>1643</v>
      </c>
      <c r="AP239" s="88">
        <v>0</v>
      </c>
      <c r="AQ239" s="399">
        <v>0</v>
      </c>
      <c r="AR239" s="88">
        <v>241.27</v>
      </c>
      <c r="AU239" s="399">
        <v>352</v>
      </c>
      <c r="AV239" s="399">
        <v>2168</v>
      </c>
      <c r="AY239" s="88">
        <v>0</v>
      </c>
      <c r="AZ239" s="432">
        <v>1366</v>
      </c>
      <c r="BA239" s="440">
        <v>2957</v>
      </c>
      <c r="BC239" s="439">
        <v>0.39</v>
      </c>
      <c r="BD239" s="88">
        <v>0</v>
      </c>
      <c r="BE239" s="88">
        <v>0</v>
      </c>
      <c r="BF239" s="434">
        <v>-175068.79</v>
      </c>
      <c r="BG239" s="100">
        <v>-118122.29000000001</v>
      </c>
      <c r="BH239" s="257"/>
      <c r="BI239" s="100"/>
      <c r="BJ239" s="257"/>
      <c r="BK239" s="100"/>
      <c r="BL239" s="100"/>
      <c r="BM239" s="100"/>
      <c r="BN239" s="257"/>
      <c r="BO239" s="100"/>
      <c r="BP239" s="100">
        <v>469181</v>
      </c>
      <c r="BQ239" s="100">
        <v>150862</v>
      </c>
      <c r="BR239" s="100">
        <v>268572.64857911115</v>
      </c>
      <c r="BS239" s="100">
        <v>-1211.545421818339</v>
      </c>
      <c r="BT239" s="100">
        <v>-61896.044330555313</v>
      </c>
      <c r="BU239" s="100">
        <v>43681.111768832081</v>
      </c>
      <c r="BV239" s="100">
        <v>308848.1520468308</v>
      </c>
      <c r="BW239" s="100">
        <v>486273.20829363336</v>
      </c>
      <c r="BX239" s="100">
        <v>135083.05323816193</v>
      </c>
      <c r="BY239" s="100">
        <v>223668.66650105477</v>
      </c>
      <c r="BZ239" s="257"/>
      <c r="CA239" s="100"/>
      <c r="CB239" s="257"/>
      <c r="CC239" s="257"/>
      <c r="CD239" s="257"/>
      <c r="CE239" s="100">
        <v>271732.95967045997</v>
      </c>
      <c r="CF239" s="100">
        <v>187919.20177332303</v>
      </c>
      <c r="CG239" s="100">
        <v>195618.31894074765</v>
      </c>
      <c r="CH239" s="100">
        <v>868897.16991338076</v>
      </c>
      <c r="CI239" s="257"/>
      <c r="CJ239" s="437">
        <v>-16214.597533682334</v>
      </c>
      <c r="CK239" s="404">
        <v>-1659080</v>
      </c>
      <c r="CL239" s="404"/>
      <c r="CM239" s="437">
        <v>-978847.54050000012</v>
      </c>
      <c r="CO239" s="434">
        <v>945133.31312106608</v>
      </c>
      <c r="CP239" s="437">
        <v>1038727.8126682282</v>
      </c>
      <c r="CQ239" s="437">
        <v>-562451.71172993141</v>
      </c>
      <c r="CR239" s="437">
        <v>215711.58507527906</v>
      </c>
      <c r="CS239" s="257"/>
    </row>
    <row r="240" spans="1:97" x14ac:dyDescent="0.2">
      <c r="A240" s="100">
        <v>758</v>
      </c>
      <c r="B240" s="100" t="s">
        <v>548</v>
      </c>
      <c r="C240" s="100">
        <v>8134</v>
      </c>
      <c r="D240" s="257"/>
      <c r="E240" s="257"/>
      <c r="F240" s="257"/>
      <c r="G240" s="257"/>
      <c r="H240" s="325"/>
      <c r="I240" s="257"/>
      <c r="J240" s="257"/>
      <c r="K240" s="257"/>
      <c r="L240" s="257"/>
      <c r="M240" s="257"/>
      <c r="N240" s="257"/>
      <c r="O240" s="257"/>
      <c r="P240" s="257"/>
      <c r="Q240" s="100">
        <v>344</v>
      </c>
      <c r="R240" s="100">
        <v>73</v>
      </c>
      <c r="S240" s="100">
        <v>506</v>
      </c>
      <c r="T240" s="100">
        <v>252</v>
      </c>
      <c r="U240" s="100">
        <v>6959</v>
      </c>
      <c r="V240" s="100"/>
      <c r="W240" s="100"/>
      <c r="X240" s="100"/>
      <c r="Y240" s="100"/>
      <c r="Z240" s="257"/>
      <c r="AA240" s="257"/>
      <c r="AB240" s="257"/>
      <c r="AC240" s="257"/>
      <c r="AD240" s="257"/>
      <c r="AE240" s="258">
        <v>0.95729225487765979</v>
      </c>
      <c r="AG240" s="441">
        <v>260.75</v>
      </c>
      <c r="AH240" s="443">
        <v>3923</v>
      </c>
      <c r="AJ240" s="88">
        <v>164</v>
      </c>
      <c r="AM240" s="88">
        <v>0</v>
      </c>
      <c r="AN240" s="88">
        <v>16</v>
      </c>
      <c r="AP240" s="88">
        <v>0</v>
      </c>
      <c r="AQ240" s="399">
        <v>0</v>
      </c>
      <c r="AR240" s="88">
        <v>11692.98</v>
      </c>
      <c r="AU240" s="399">
        <v>241</v>
      </c>
      <c r="AV240" s="399">
        <v>2282</v>
      </c>
      <c r="AY240" s="88">
        <v>1.4546833333333333</v>
      </c>
      <c r="AZ240" s="432">
        <v>3723</v>
      </c>
      <c r="BA240" s="440">
        <v>3555</v>
      </c>
      <c r="BC240" s="439">
        <v>0</v>
      </c>
      <c r="BD240" s="88">
        <v>1</v>
      </c>
      <c r="BE240" s="88">
        <v>131</v>
      </c>
      <c r="BF240" s="434">
        <v>-173586.4675</v>
      </c>
      <c r="BG240" s="100">
        <v>-158789.86000000002</v>
      </c>
      <c r="BH240" s="257"/>
      <c r="BI240" s="100"/>
      <c r="BJ240" s="257"/>
      <c r="BK240" s="100"/>
      <c r="BL240" s="100"/>
      <c r="BM240" s="100"/>
      <c r="BN240" s="257"/>
      <c r="BO240" s="100"/>
      <c r="BP240" s="100">
        <v>693231</v>
      </c>
      <c r="BQ240" s="100">
        <v>237883</v>
      </c>
      <c r="BR240" s="100">
        <v>592945.92068910704</v>
      </c>
      <c r="BS240" s="100">
        <v>31524.228177903762</v>
      </c>
      <c r="BT240" s="100">
        <v>91412.209749286209</v>
      </c>
      <c r="BU240" s="100">
        <v>255352.79170192839</v>
      </c>
      <c r="BV240" s="100">
        <v>455936.67366463167</v>
      </c>
      <c r="BW240" s="100">
        <v>690645.54116537608</v>
      </c>
      <c r="BX240" s="100">
        <v>222010.79883570335</v>
      </c>
      <c r="BY240" s="100">
        <v>375931.65217117127</v>
      </c>
      <c r="BZ240" s="257"/>
      <c r="CA240" s="100"/>
      <c r="CB240" s="257"/>
      <c r="CC240" s="257"/>
      <c r="CD240" s="257"/>
      <c r="CE240" s="100">
        <v>501945.49251708045</v>
      </c>
      <c r="CF240" s="100">
        <v>286371.69034745643</v>
      </c>
      <c r="CG240" s="100">
        <v>290625.18802589842</v>
      </c>
      <c r="CH240" s="100">
        <v>1511507.9409612808</v>
      </c>
      <c r="CI240" s="257"/>
      <c r="CJ240" s="437">
        <v>608424.11334587587</v>
      </c>
      <c r="CK240" s="404">
        <v>-907313</v>
      </c>
      <c r="CL240" s="404"/>
      <c r="CM240" s="437">
        <v>-108979.64250000002</v>
      </c>
      <c r="CO240" s="434">
        <v>-2319847.9731967202</v>
      </c>
      <c r="CP240" s="437">
        <v>-874781.46777197486</v>
      </c>
      <c r="CQ240" s="437">
        <v>-735882.61592589063</v>
      </c>
      <c r="CR240" s="437">
        <v>282225.83770344534</v>
      </c>
      <c r="CS240" s="257"/>
    </row>
    <row r="241" spans="1:97" x14ac:dyDescent="0.2">
      <c r="A241" s="100">
        <v>759</v>
      </c>
      <c r="B241" s="100" t="s">
        <v>549</v>
      </c>
      <c r="C241" s="100">
        <v>1942</v>
      </c>
      <c r="D241" s="257"/>
      <c r="E241" s="257"/>
      <c r="F241" s="257"/>
      <c r="G241" s="257"/>
      <c r="H241" s="325"/>
      <c r="I241" s="257"/>
      <c r="J241" s="257"/>
      <c r="K241" s="257"/>
      <c r="L241" s="257"/>
      <c r="M241" s="257"/>
      <c r="N241" s="257"/>
      <c r="O241" s="257"/>
      <c r="P241" s="257"/>
      <c r="Q241" s="100">
        <v>97</v>
      </c>
      <c r="R241" s="100">
        <v>23</v>
      </c>
      <c r="S241" s="100">
        <v>157</v>
      </c>
      <c r="T241" s="100">
        <v>59</v>
      </c>
      <c r="U241" s="100">
        <v>1606</v>
      </c>
      <c r="V241" s="100"/>
      <c r="W241" s="100"/>
      <c r="X241" s="100"/>
      <c r="Y241" s="100"/>
      <c r="Z241" s="257"/>
      <c r="AA241" s="257"/>
      <c r="AB241" s="257"/>
      <c r="AC241" s="257"/>
      <c r="AD241" s="257"/>
      <c r="AE241" s="258">
        <v>0.78232405741444921</v>
      </c>
      <c r="AG241" s="441">
        <v>50</v>
      </c>
      <c r="AH241" s="443">
        <v>800</v>
      </c>
      <c r="AJ241" s="88">
        <v>27</v>
      </c>
      <c r="AM241" s="88">
        <v>0</v>
      </c>
      <c r="AN241" s="88">
        <v>2</v>
      </c>
      <c r="AP241" s="88">
        <v>0</v>
      </c>
      <c r="AQ241" s="399">
        <v>0</v>
      </c>
      <c r="AR241" s="88">
        <v>551.95000000000005</v>
      </c>
      <c r="AU241" s="399">
        <v>59</v>
      </c>
      <c r="AV241" s="399">
        <v>447</v>
      </c>
      <c r="AY241" s="88">
        <v>1.1890000000000001</v>
      </c>
      <c r="AZ241" s="432">
        <v>699</v>
      </c>
      <c r="BA241" s="440">
        <v>703</v>
      </c>
      <c r="BC241" s="439">
        <v>0</v>
      </c>
      <c r="BD241" s="88">
        <v>0</v>
      </c>
      <c r="BE241" s="88">
        <v>0</v>
      </c>
      <c r="BF241" s="434">
        <v>-61087.48</v>
      </c>
      <c r="BG241" s="100">
        <v>-38554.47</v>
      </c>
      <c r="BH241" s="257"/>
      <c r="BI241" s="100"/>
      <c r="BJ241" s="257"/>
      <c r="BK241" s="100"/>
      <c r="BL241" s="100"/>
      <c r="BM241" s="100"/>
      <c r="BN241" s="257"/>
      <c r="BO241" s="100"/>
      <c r="BP241" s="100">
        <v>262591</v>
      </c>
      <c r="BQ241" s="100">
        <v>74315</v>
      </c>
      <c r="BR241" s="100">
        <v>200718.70552327146</v>
      </c>
      <c r="BS241" s="100">
        <v>11886.434532257832</v>
      </c>
      <c r="BT241" s="100">
        <v>31400.727928979493</v>
      </c>
      <c r="BU241" s="100">
        <v>102409.69369838842</v>
      </c>
      <c r="BV241" s="100">
        <v>132599.55168831081</v>
      </c>
      <c r="BW241" s="100">
        <v>196220.17433588332</v>
      </c>
      <c r="BX241" s="100">
        <v>57387.529556417321</v>
      </c>
      <c r="BY241" s="100">
        <v>105689.84633192497</v>
      </c>
      <c r="BZ241" s="257"/>
      <c r="CA241" s="100"/>
      <c r="CB241" s="257"/>
      <c r="CC241" s="257"/>
      <c r="CD241" s="257"/>
      <c r="CE241" s="100">
        <v>148077.48197313579</v>
      </c>
      <c r="CF241" s="100">
        <v>80650.576855135063</v>
      </c>
      <c r="CG241" s="100">
        <v>77553.081640015196</v>
      </c>
      <c r="CH241" s="100">
        <v>486972.1783051081</v>
      </c>
      <c r="CI241" s="257"/>
      <c r="CJ241" s="437">
        <v>904178.12308113603</v>
      </c>
      <c r="CK241" s="404">
        <v>-506187</v>
      </c>
      <c r="CL241" s="404"/>
      <c r="CM241" s="437">
        <v>496786.05000000005</v>
      </c>
      <c r="CO241" s="434">
        <v>82689.313753813854</v>
      </c>
      <c r="CP241" s="437">
        <v>-131176.10161982421</v>
      </c>
      <c r="CQ241" s="437">
        <v>-175692.65307697069</v>
      </c>
      <c r="CR241" s="437">
        <v>67381.678979603006</v>
      </c>
      <c r="CS241" s="257"/>
    </row>
    <row r="242" spans="1:97" x14ac:dyDescent="0.2">
      <c r="A242" s="100">
        <v>761</v>
      </c>
      <c r="B242" s="100" t="s">
        <v>550</v>
      </c>
      <c r="C242" s="100">
        <v>8426</v>
      </c>
      <c r="D242" s="257"/>
      <c r="E242" s="257"/>
      <c r="F242" s="257"/>
      <c r="G242" s="257"/>
      <c r="H242" s="325"/>
      <c r="I242" s="257"/>
      <c r="J242" s="257"/>
      <c r="K242" s="257"/>
      <c r="L242" s="257"/>
      <c r="M242" s="257"/>
      <c r="N242" s="257"/>
      <c r="O242" s="257"/>
      <c r="P242" s="257"/>
      <c r="Q242" s="100">
        <v>331</v>
      </c>
      <c r="R242" s="100">
        <v>69</v>
      </c>
      <c r="S242" s="100">
        <v>508</v>
      </c>
      <c r="T242" s="100">
        <v>258</v>
      </c>
      <c r="U242" s="100">
        <v>7260</v>
      </c>
      <c r="V242" s="100"/>
      <c r="W242" s="100"/>
      <c r="X242" s="100"/>
      <c r="Y242" s="100"/>
      <c r="Z242" s="257"/>
      <c r="AA242" s="257"/>
      <c r="AB242" s="257"/>
      <c r="AC242" s="257"/>
      <c r="AD242" s="257"/>
      <c r="AE242" s="258">
        <v>0.86464116774558719</v>
      </c>
      <c r="AG242" s="441">
        <v>251.75</v>
      </c>
      <c r="AH242" s="443">
        <v>3534</v>
      </c>
      <c r="AJ242" s="88">
        <v>317</v>
      </c>
      <c r="AM242" s="88">
        <v>0</v>
      </c>
      <c r="AN242" s="88">
        <v>44</v>
      </c>
      <c r="AP242" s="88">
        <v>0</v>
      </c>
      <c r="AQ242" s="399">
        <v>0</v>
      </c>
      <c r="AR242" s="88">
        <v>668.05</v>
      </c>
      <c r="AU242" s="399">
        <v>370</v>
      </c>
      <c r="AV242" s="399">
        <v>2199</v>
      </c>
      <c r="AY242" s="88">
        <v>0</v>
      </c>
      <c r="AZ242" s="432">
        <v>2685</v>
      </c>
      <c r="BA242" s="440">
        <v>3255</v>
      </c>
      <c r="BC242" s="439">
        <v>0</v>
      </c>
      <c r="BD242" s="88">
        <v>0</v>
      </c>
      <c r="BE242" s="88">
        <v>0</v>
      </c>
      <c r="BF242" s="434">
        <v>-268769.79499999998</v>
      </c>
      <c r="BG242" s="100">
        <v>-166089.66</v>
      </c>
      <c r="BH242" s="257"/>
      <c r="BI242" s="100"/>
      <c r="BJ242" s="257"/>
      <c r="BK242" s="100"/>
      <c r="BL242" s="100"/>
      <c r="BM242" s="100"/>
      <c r="BN242" s="257"/>
      <c r="BO242" s="100"/>
      <c r="BP242" s="100">
        <v>887508</v>
      </c>
      <c r="BQ242" s="100">
        <v>278652</v>
      </c>
      <c r="BR242" s="100">
        <v>659966.23779958359</v>
      </c>
      <c r="BS242" s="100">
        <v>34333.411406190833</v>
      </c>
      <c r="BT242" s="100">
        <v>121275.90096974367</v>
      </c>
      <c r="BU242" s="100">
        <v>306245.27359969832</v>
      </c>
      <c r="BV242" s="100">
        <v>520045.11059440649</v>
      </c>
      <c r="BW242" s="100">
        <v>867204.30643390794</v>
      </c>
      <c r="BX242" s="100">
        <v>244868.48851961794</v>
      </c>
      <c r="BY242" s="100">
        <v>419506.10338592128</v>
      </c>
      <c r="BZ242" s="257"/>
      <c r="CA242" s="100"/>
      <c r="CB242" s="257"/>
      <c r="CC242" s="257"/>
      <c r="CD242" s="257"/>
      <c r="CE242" s="100">
        <v>584535.85648770502</v>
      </c>
      <c r="CF242" s="100">
        <v>333155.28624807973</v>
      </c>
      <c r="CG242" s="100">
        <v>323167.44276076223</v>
      </c>
      <c r="CH242" s="100">
        <v>1825932.6538719828</v>
      </c>
      <c r="CI242" s="257"/>
      <c r="CJ242" s="437">
        <v>3966365.6546373293</v>
      </c>
      <c r="CK242" s="404">
        <v>620575</v>
      </c>
      <c r="CL242" s="404"/>
      <c r="CM242" s="437">
        <v>476989.20049999998</v>
      </c>
      <c r="CO242" s="434">
        <v>1182988.9008408741</v>
      </c>
      <c r="CP242" s="437">
        <v>686492.1597042036</v>
      </c>
      <c r="CQ242" s="437">
        <v>-762299.8428561046</v>
      </c>
      <c r="CR242" s="437">
        <v>292357.37748822605</v>
      </c>
      <c r="CS242" s="257"/>
    </row>
    <row r="243" spans="1:97" x14ac:dyDescent="0.2">
      <c r="A243" s="100">
        <v>762</v>
      </c>
      <c r="B243" s="100" t="s">
        <v>551</v>
      </c>
      <c r="C243" s="100">
        <v>3672</v>
      </c>
      <c r="D243" s="257"/>
      <c r="E243" s="257"/>
      <c r="F243" s="257"/>
      <c r="G243" s="257"/>
      <c r="H243" s="325"/>
      <c r="I243" s="257"/>
      <c r="J243" s="257"/>
      <c r="K243" s="257"/>
      <c r="L243" s="257"/>
      <c r="M243" s="257"/>
      <c r="N243" s="257"/>
      <c r="O243" s="257"/>
      <c r="P243" s="257"/>
      <c r="Q243" s="100">
        <v>128</v>
      </c>
      <c r="R243" s="100">
        <v>32</v>
      </c>
      <c r="S243" s="100">
        <v>193</v>
      </c>
      <c r="T243" s="100">
        <v>109</v>
      </c>
      <c r="U243" s="100">
        <v>3210</v>
      </c>
      <c r="V243" s="100"/>
      <c r="W243" s="100"/>
      <c r="X243" s="100"/>
      <c r="Y243" s="100"/>
      <c r="Z243" s="257"/>
      <c r="AA243" s="257"/>
      <c r="AB243" s="257"/>
      <c r="AC243" s="257"/>
      <c r="AD243" s="257"/>
      <c r="AE243" s="258">
        <v>0.94356667436864883</v>
      </c>
      <c r="AG243" s="441">
        <v>153.91666666666666</v>
      </c>
      <c r="AH243" s="443">
        <v>1547</v>
      </c>
      <c r="AJ243" s="88">
        <v>34</v>
      </c>
      <c r="AM243" s="88">
        <v>0</v>
      </c>
      <c r="AN243" s="88">
        <v>3</v>
      </c>
      <c r="AP243" s="88">
        <v>0</v>
      </c>
      <c r="AQ243" s="399">
        <v>0</v>
      </c>
      <c r="AR243" s="88">
        <v>1465.93</v>
      </c>
      <c r="AU243" s="399">
        <v>119</v>
      </c>
      <c r="AV243" s="399">
        <v>866</v>
      </c>
      <c r="AY243" s="88">
        <v>1.0705166666666668</v>
      </c>
      <c r="AZ243" s="432">
        <v>1082</v>
      </c>
      <c r="BA243" s="440">
        <v>1303</v>
      </c>
      <c r="BC243" s="439">
        <v>0</v>
      </c>
      <c r="BD243" s="88">
        <v>0</v>
      </c>
      <c r="BE243" s="88">
        <v>0</v>
      </c>
      <c r="BF243" s="434">
        <v>-114385.185</v>
      </c>
      <c r="BG243" s="100">
        <v>-73785.61</v>
      </c>
      <c r="BH243" s="257"/>
      <c r="BI243" s="100"/>
      <c r="BJ243" s="257"/>
      <c r="BK243" s="100"/>
      <c r="BL243" s="100"/>
      <c r="BM243" s="100"/>
      <c r="BN243" s="257"/>
      <c r="BO243" s="100"/>
      <c r="BP243" s="100">
        <v>462495</v>
      </c>
      <c r="BQ243" s="100">
        <v>137719</v>
      </c>
      <c r="BR243" s="100">
        <v>362954.37370615371</v>
      </c>
      <c r="BS243" s="100">
        <v>19428.27120983442</v>
      </c>
      <c r="BT243" s="100">
        <v>53100.472844893891</v>
      </c>
      <c r="BU243" s="100">
        <v>169435.35904417702</v>
      </c>
      <c r="BV243" s="100">
        <v>237698.85287035187</v>
      </c>
      <c r="BW243" s="100">
        <v>367781.046506204</v>
      </c>
      <c r="BX243" s="100">
        <v>113100.70898919602</v>
      </c>
      <c r="BY243" s="100">
        <v>198358.18347274623</v>
      </c>
      <c r="BZ243" s="257"/>
      <c r="CA243" s="100"/>
      <c r="CB243" s="257"/>
      <c r="CC243" s="257"/>
      <c r="CD243" s="257"/>
      <c r="CE243" s="100">
        <v>273236.67400300078</v>
      </c>
      <c r="CF243" s="100">
        <v>147393.2735660153</v>
      </c>
      <c r="CG243" s="100">
        <v>143816.94708662789</v>
      </c>
      <c r="CH243" s="100">
        <v>885231.54954171623</v>
      </c>
      <c r="CI243" s="257"/>
      <c r="CJ243" s="437">
        <v>1286418.507842063</v>
      </c>
      <c r="CK243" s="404">
        <v>-61058</v>
      </c>
      <c r="CL243" s="404"/>
      <c r="CM243" s="437">
        <v>3699.7880000000005</v>
      </c>
      <c r="CO243" s="434">
        <v>1132761.1895712006</v>
      </c>
      <c r="CP243" s="437">
        <v>594446.36913737422</v>
      </c>
      <c r="CQ243" s="437">
        <v>-332205.67564296414</v>
      </c>
      <c r="CR243" s="437">
        <v>127407.58249902278</v>
      </c>
      <c r="CS243" s="257"/>
    </row>
    <row r="244" spans="1:97" x14ac:dyDescent="0.2">
      <c r="A244" s="100">
        <v>765</v>
      </c>
      <c r="B244" s="100" t="s">
        <v>552</v>
      </c>
      <c r="C244" s="100">
        <v>10354</v>
      </c>
      <c r="D244" s="257"/>
      <c r="E244" s="257"/>
      <c r="F244" s="257"/>
      <c r="G244" s="257"/>
      <c r="H244" s="325"/>
      <c r="I244" s="257"/>
      <c r="J244" s="257"/>
      <c r="K244" s="257"/>
      <c r="L244" s="257"/>
      <c r="M244" s="257"/>
      <c r="N244" s="257"/>
      <c r="O244" s="257"/>
      <c r="P244" s="257"/>
      <c r="Q244" s="100">
        <v>495</v>
      </c>
      <c r="R244" s="100">
        <v>103</v>
      </c>
      <c r="S244" s="100">
        <v>698</v>
      </c>
      <c r="T244" s="100">
        <v>350</v>
      </c>
      <c r="U244" s="100">
        <v>8708</v>
      </c>
      <c r="V244" s="100"/>
      <c r="W244" s="100"/>
      <c r="X244" s="100"/>
      <c r="Y244" s="100"/>
      <c r="Z244" s="257"/>
      <c r="AA244" s="257"/>
      <c r="AB244" s="257"/>
      <c r="AC244" s="257"/>
      <c r="AD244" s="257"/>
      <c r="AE244" s="258">
        <v>0.97907943765636951</v>
      </c>
      <c r="AG244" s="441">
        <v>260.66666666666669</v>
      </c>
      <c r="AH244" s="443">
        <v>4649</v>
      </c>
      <c r="AJ244" s="88">
        <v>444</v>
      </c>
      <c r="AM244" s="88">
        <v>0</v>
      </c>
      <c r="AN244" s="88">
        <v>18</v>
      </c>
      <c r="AP244" s="88">
        <v>0</v>
      </c>
      <c r="AQ244" s="399">
        <v>0</v>
      </c>
      <c r="AR244" s="88">
        <v>2648.88</v>
      </c>
      <c r="AU244" s="399">
        <v>331</v>
      </c>
      <c r="AV244" s="399">
        <v>3014</v>
      </c>
      <c r="AY244" s="88">
        <v>0.59563333333333335</v>
      </c>
      <c r="AZ244" s="432">
        <v>4595</v>
      </c>
      <c r="BA244" s="440">
        <v>4399</v>
      </c>
      <c r="BC244" s="439">
        <v>0.06</v>
      </c>
      <c r="BD244" s="88">
        <v>0</v>
      </c>
      <c r="BE244" s="88">
        <v>0</v>
      </c>
      <c r="BF244" s="434">
        <v>-233141.005</v>
      </c>
      <c r="BG244" s="100">
        <v>-197882.21000000002</v>
      </c>
      <c r="BH244" s="257"/>
      <c r="BI244" s="100"/>
      <c r="BJ244" s="257"/>
      <c r="BK244" s="100"/>
      <c r="BL244" s="100"/>
      <c r="BM244" s="100"/>
      <c r="BN244" s="257"/>
      <c r="BO244" s="100"/>
      <c r="BP244" s="100">
        <v>912888</v>
      </c>
      <c r="BQ244" s="100">
        <v>295616</v>
      </c>
      <c r="BR244" s="100">
        <v>660849.7534606402</v>
      </c>
      <c r="BS244" s="100">
        <v>27703.440061382953</v>
      </c>
      <c r="BT244" s="100">
        <v>87037.297892098242</v>
      </c>
      <c r="BU244" s="100">
        <v>309699.47772212129</v>
      </c>
      <c r="BV244" s="100">
        <v>562001.14004101092</v>
      </c>
      <c r="BW244" s="100">
        <v>866031.84698191471</v>
      </c>
      <c r="BX244" s="100">
        <v>266946.10668236495</v>
      </c>
      <c r="BY244" s="100">
        <v>472543.7359615906</v>
      </c>
      <c r="BZ244" s="257"/>
      <c r="CA244" s="100"/>
      <c r="CB244" s="257"/>
      <c r="CC244" s="257"/>
      <c r="CD244" s="257"/>
      <c r="CE244" s="100">
        <v>639254.891639248</v>
      </c>
      <c r="CF244" s="100">
        <v>366333.79235027201</v>
      </c>
      <c r="CG244" s="100">
        <v>359424.24234500347</v>
      </c>
      <c r="CH244" s="100">
        <v>1862384.0320725932</v>
      </c>
      <c r="CI244" s="257"/>
      <c r="CJ244" s="437">
        <v>1769185.3447409282</v>
      </c>
      <c r="CK244" s="404">
        <v>604513</v>
      </c>
      <c r="CL244" s="404"/>
      <c r="CM244" s="437">
        <v>-20214.567500000034</v>
      </c>
      <c r="CO244" s="434">
        <v>-1045315.3510259792</v>
      </c>
      <c r="CP244" s="437">
        <v>5090.9212425721453</v>
      </c>
      <c r="CQ244" s="437">
        <v>-936725.91655970877</v>
      </c>
      <c r="CR244" s="437">
        <v>359253.29771102447</v>
      </c>
      <c r="CS244" s="257"/>
    </row>
    <row r="245" spans="1:97" x14ac:dyDescent="0.2">
      <c r="A245" s="100">
        <v>768</v>
      </c>
      <c r="B245" s="100" t="s">
        <v>553</v>
      </c>
      <c r="C245" s="100">
        <v>2375</v>
      </c>
      <c r="D245" s="257"/>
      <c r="E245" s="257"/>
      <c r="F245" s="257"/>
      <c r="G245" s="257"/>
      <c r="H245" s="325"/>
      <c r="I245" s="257"/>
      <c r="J245" s="257"/>
      <c r="K245" s="257"/>
      <c r="L245" s="257"/>
      <c r="M245" s="257"/>
      <c r="N245" s="257"/>
      <c r="O245" s="257"/>
      <c r="P245" s="257"/>
      <c r="Q245" s="100">
        <v>68</v>
      </c>
      <c r="R245" s="100">
        <v>19</v>
      </c>
      <c r="S245" s="100">
        <v>96</v>
      </c>
      <c r="T245" s="100">
        <v>35</v>
      </c>
      <c r="U245" s="100">
        <v>2157</v>
      </c>
      <c r="V245" s="100"/>
      <c r="W245" s="100"/>
      <c r="X245" s="100"/>
      <c r="Y245" s="100"/>
      <c r="Z245" s="257"/>
      <c r="AA245" s="257"/>
      <c r="AB245" s="257"/>
      <c r="AC245" s="257"/>
      <c r="AD245" s="257"/>
      <c r="AE245" s="258">
        <v>0.67832383138463481</v>
      </c>
      <c r="AG245" s="441">
        <v>78.916666666666671</v>
      </c>
      <c r="AH245" s="443">
        <v>956</v>
      </c>
      <c r="AJ245" s="88">
        <v>76</v>
      </c>
      <c r="AM245" s="88">
        <v>0</v>
      </c>
      <c r="AN245" s="88">
        <v>4</v>
      </c>
      <c r="AP245" s="88">
        <v>1</v>
      </c>
      <c r="AQ245" s="399">
        <v>0</v>
      </c>
      <c r="AR245" s="88">
        <v>584.41999999999996</v>
      </c>
      <c r="AU245" s="399">
        <v>62</v>
      </c>
      <c r="AV245" s="399">
        <v>510</v>
      </c>
      <c r="AY245" s="88">
        <v>1.2305166666666667</v>
      </c>
      <c r="AZ245" s="432">
        <v>758</v>
      </c>
      <c r="BA245" s="440">
        <v>806</v>
      </c>
      <c r="BC245" s="439">
        <v>0</v>
      </c>
      <c r="BD245" s="88">
        <v>0</v>
      </c>
      <c r="BE245" s="88">
        <v>0</v>
      </c>
      <c r="BF245" s="434">
        <v>-123614.935</v>
      </c>
      <c r="BG245" s="100">
        <v>-47679.22</v>
      </c>
      <c r="BH245" s="257"/>
      <c r="BI245" s="100"/>
      <c r="BJ245" s="257"/>
      <c r="BK245" s="100"/>
      <c r="BL245" s="100"/>
      <c r="BM245" s="100"/>
      <c r="BN245" s="257"/>
      <c r="BO245" s="100"/>
      <c r="BP245" s="100">
        <v>318438</v>
      </c>
      <c r="BQ245" s="100">
        <v>93179</v>
      </c>
      <c r="BR245" s="100">
        <v>245802.51333843436</v>
      </c>
      <c r="BS245" s="100">
        <v>13843.474499437989</v>
      </c>
      <c r="BT245" s="100">
        <v>41836.608499868562</v>
      </c>
      <c r="BU245" s="100">
        <v>124518.57130691377</v>
      </c>
      <c r="BV245" s="100">
        <v>153944.94648687728</v>
      </c>
      <c r="BW245" s="100">
        <v>236716.76625517706</v>
      </c>
      <c r="BX245" s="100">
        <v>78152.098492803139</v>
      </c>
      <c r="BY245" s="100">
        <v>132344.63119688578</v>
      </c>
      <c r="BZ245" s="257"/>
      <c r="CA245" s="100"/>
      <c r="CB245" s="257"/>
      <c r="CC245" s="257"/>
      <c r="CD245" s="257"/>
      <c r="CE245" s="100">
        <v>173909.10714909717</v>
      </c>
      <c r="CF245" s="100">
        <v>95428.611294203554</v>
      </c>
      <c r="CG245" s="100">
        <v>89981.914265743966</v>
      </c>
      <c r="CH245" s="100">
        <v>567352.11782793526</v>
      </c>
      <c r="CI245" s="257"/>
      <c r="CJ245" s="437">
        <v>763322.17471850431</v>
      </c>
      <c r="CK245" s="404">
        <v>240245</v>
      </c>
      <c r="CL245" s="404"/>
      <c r="CM245" s="437">
        <v>59674</v>
      </c>
      <c r="CO245" s="434">
        <v>355766.72625020688</v>
      </c>
      <c r="CP245" s="437">
        <v>580837.77300998324</v>
      </c>
      <c r="CQ245" s="437">
        <v>-214866.14369608928</v>
      </c>
      <c r="CR245" s="437">
        <v>82405.503386486685</v>
      </c>
      <c r="CS245" s="257"/>
    </row>
    <row r="246" spans="1:97" x14ac:dyDescent="0.2">
      <c r="A246" s="100">
        <v>777</v>
      </c>
      <c r="B246" s="100" t="s">
        <v>554</v>
      </c>
      <c r="C246" s="100">
        <v>7367</v>
      </c>
      <c r="D246" s="257"/>
      <c r="E246" s="257"/>
      <c r="F246" s="257"/>
      <c r="G246" s="257"/>
      <c r="H246" s="325"/>
      <c r="I246" s="257"/>
      <c r="J246" s="257"/>
      <c r="K246" s="257"/>
      <c r="L246" s="257"/>
      <c r="M246" s="257"/>
      <c r="N246" s="257"/>
      <c r="O246" s="257"/>
      <c r="P246" s="257"/>
      <c r="Q246" s="100">
        <v>216</v>
      </c>
      <c r="R246" s="100">
        <v>47</v>
      </c>
      <c r="S246" s="100">
        <v>341</v>
      </c>
      <c r="T246" s="100">
        <v>186</v>
      </c>
      <c r="U246" s="100">
        <v>6577</v>
      </c>
      <c r="V246" s="100"/>
      <c r="W246" s="100"/>
      <c r="X246" s="100"/>
      <c r="Y246" s="100"/>
      <c r="Z246" s="257"/>
      <c r="AA246" s="257"/>
      <c r="AB246" s="257"/>
      <c r="AC246" s="257"/>
      <c r="AD246" s="257"/>
      <c r="AE246" s="258">
        <v>0.91362009419403423</v>
      </c>
      <c r="AG246" s="441">
        <v>315.5</v>
      </c>
      <c r="AH246" s="443">
        <v>2925</v>
      </c>
      <c r="AJ246" s="88">
        <v>245</v>
      </c>
      <c r="AM246" s="88">
        <v>0</v>
      </c>
      <c r="AN246" s="88">
        <v>6</v>
      </c>
      <c r="AP246" s="88">
        <v>0</v>
      </c>
      <c r="AQ246" s="399">
        <v>0</v>
      </c>
      <c r="AR246" s="88">
        <v>5270.33</v>
      </c>
      <c r="AU246" s="399">
        <v>215</v>
      </c>
      <c r="AV246" s="399">
        <v>1679</v>
      </c>
      <c r="AY246" s="88">
        <v>1.4814499999999999</v>
      </c>
      <c r="AZ246" s="432">
        <v>2221</v>
      </c>
      <c r="BA246" s="440">
        <v>2474</v>
      </c>
      <c r="BC246" s="439">
        <v>0</v>
      </c>
      <c r="BD246" s="88">
        <v>0</v>
      </c>
      <c r="BE246" s="88">
        <v>0</v>
      </c>
      <c r="BF246" s="434">
        <v>-206833.55499999999</v>
      </c>
      <c r="BG246" s="100">
        <v>-145880.74000000002</v>
      </c>
      <c r="BH246" s="257"/>
      <c r="BI246" s="100"/>
      <c r="BJ246" s="257"/>
      <c r="BK246" s="100"/>
      <c r="BL246" s="100"/>
      <c r="BM246" s="100"/>
      <c r="BN246" s="257"/>
      <c r="BO246" s="100"/>
      <c r="BP246" s="100">
        <v>806106</v>
      </c>
      <c r="BQ246" s="100">
        <v>248854</v>
      </c>
      <c r="BR246" s="100">
        <v>595489.95350036549</v>
      </c>
      <c r="BS246" s="100">
        <v>36314.848463378417</v>
      </c>
      <c r="BT246" s="100">
        <v>101867.12397049421</v>
      </c>
      <c r="BU246" s="100">
        <v>342837.98978718405</v>
      </c>
      <c r="BV246" s="100">
        <v>442690.38575004897</v>
      </c>
      <c r="BW246" s="100">
        <v>683870.58512396296</v>
      </c>
      <c r="BX246" s="100">
        <v>216263.91625462237</v>
      </c>
      <c r="BY246" s="100">
        <v>378861.3041038285</v>
      </c>
      <c r="BZ246" s="257"/>
      <c r="CA246" s="100"/>
      <c r="CB246" s="257"/>
      <c r="CC246" s="257"/>
      <c r="CD246" s="257"/>
      <c r="CE246" s="100">
        <v>511573.23044655041</v>
      </c>
      <c r="CF246" s="100">
        <v>274714.97375611542</v>
      </c>
      <c r="CG246" s="100">
        <v>272330.94740299194</v>
      </c>
      <c r="CH246" s="100">
        <v>1559321.824338343</v>
      </c>
      <c r="CI246" s="257"/>
      <c r="CJ246" s="437">
        <v>3070203.8262551795</v>
      </c>
      <c r="CK246" s="404">
        <v>-164594</v>
      </c>
      <c r="CL246" s="404"/>
      <c r="CM246" s="437">
        <v>-5251.3119999999908</v>
      </c>
      <c r="CO246" s="434">
        <v>298171.42792355263</v>
      </c>
      <c r="CP246" s="437">
        <v>561220.16880010057</v>
      </c>
      <c r="CQ246" s="437">
        <v>-666492.1602564588</v>
      </c>
      <c r="CR246" s="437">
        <v>255613.19724136734</v>
      </c>
      <c r="CS246" s="257"/>
    </row>
    <row r="247" spans="1:97" x14ac:dyDescent="0.2">
      <c r="A247" s="100">
        <v>778</v>
      </c>
      <c r="B247" s="100" t="s">
        <v>555</v>
      </c>
      <c r="C247" s="100">
        <v>6763</v>
      </c>
      <c r="D247" s="257"/>
      <c r="E247" s="257"/>
      <c r="F247" s="257"/>
      <c r="G247" s="257"/>
      <c r="H247" s="325"/>
      <c r="I247" s="257"/>
      <c r="J247" s="257"/>
      <c r="K247" s="257"/>
      <c r="L247" s="257"/>
      <c r="M247" s="257"/>
      <c r="N247" s="257"/>
      <c r="O247" s="257"/>
      <c r="P247" s="257"/>
      <c r="Q247" s="100">
        <v>262</v>
      </c>
      <c r="R247" s="100">
        <v>66</v>
      </c>
      <c r="S247" s="100">
        <v>406</v>
      </c>
      <c r="T247" s="100">
        <v>210</v>
      </c>
      <c r="U247" s="100">
        <v>5819</v>
      </c>
      <c r="V247" s="100"/>
      <c r="W247" s="100"/>
      <c r="X247" s="100"/>
      <c r="Y247" s="100"/>
      <c r="Z247" s="257"/>
      <c r="AA247" s="257"/>
      <c r="AB247" s="257"/>
      <c r="AC247" s="257"/>
      <c r="AD247" s="257"/>
      <c r="AE247" s="258">
        <v>0.9193863133334611</v>
      </c>
      <c r="AG247" s="441">
        <v>206.25</v>
      </c>
      <c r="AH247" s="443">
        <v>2855</v>
      </c>
      <c r="AJ247" s="88">
        <v>159</v>
      </c>
      <c r="AM247" s="88">
        <v>0</v>
      </c>
      <c r="AN247" s="88">
        <v>6</v>
      </c>
      <c r="AP247" s="88">
        <v>0</v>
      </c>
      <c r="AQ247" s="399">
        <v>0</v>
      </c>
      <c r="AR247" s="88">
        <v>713.56</v>
      </c>
      <c r="AU247" s="399">
        <v>236</v>
      </c>
      <c r="AV247" s="399">
        <v>1835</v>
      </c>
      <c r="AY247" s="88">
        <v>0.39226666666666665</v>
      </c>
      <c r="AZ247" s="432">
        <v>2402</v>
      </c>
      <c r="BA247" s="440">
        <v>2591</v>
      </c>
      <c r="BC247" s="439">
        <v>0</v>
      </c>
      <c r="BD247" s="88">
        <v>0</v>
      </c>
      <c r="BE247" s="88">
        <v>0</v>
      </c>
      <c r="BF247" s="434">
        <v>-307360.81</v>
      </c>
      <c r="BG247" s="100">
        <v>-133144.51</v>
      </c>
      <c r="BH247" s="257"/>
      <c r="BI247" s="100"/>
      <c r="BJ247" s="257"/>
      <c r="BK247" s="100"/>
      <c r="BL247" s="100"/>
      <c r="BM247" s="100"/>
      <c r="BN247" s="257"/>
      <c r="BO247" s="100"/>
      <c r="BP247" s="100">
        <v>704270</v>
      </c>
      <c r="BQ247" s="100">
        <v>209751</v>
      </c>
      <c r="BR247" s="100">
        <v>485287.28783944261</v>
      </c>
      <c r="BS247" s="100">
        <v>25695.22304491622</v>
      </c>
      <c r="BT247" s="100">
        <v>43720.77733674577</v>
      </c>
      <c r="BU247" s="100">
        <v>273033.9694706407</v>
      </c>
      <c r="BV247" s="100">
        <v>378602.89766573207</v>
      </c>
      <c r="BW247" s="100">
        <v>648137.33818796277</v>
      </c>
      <c r="BX247" s="100">
        <v>173244.28450334622</v>
      </c>
      <c r="BY247" s="100">
        <v>334603.79920547735</v>
      </c>
      <c r="BZ247" s="257"/>
      <c r="CA247" s="100"/>
      <c r="CB247" s="257"/>
      <c r="CC247" s="257"/>
      <c r="CD247" s="257"/>
      <c r="CE247" s="100">
        <v>462446.25096460932</v>
      </c>
      <c r="CF247" s="100">
        <v>251961.58877170851</v>
      </c>
      <c r="CG247" s="100">
        <v>236382.17693076044</v>
      </c>
      <c r="CH247" s="100">
        <v>1359137.6177347938</v>
      </c>
      <c r="CI247" s="257"/>
      <c r="CJ247" s="437">
        <v>3229453.7454785225</v>
      </c>
      <c r="CK247" s="404">
        <v>136578</v>
      </c>
      <c r="CL247" s="404"/>
      <c r="CM247" s="437">
        <v>138403.40005</v>
      </c>
      <c r="CO247" s="434">
        <v>734074.98658735526</v>
      </c>
      <c r="CP247" s="437">
        <v>223339.17060215434</v>
      </c>
      <c r="CQ247" s="437">
        <v>-611848.3072912218</v>
      </c>
      <c r="CR247" s="437">
        <v>234656.17659065663</v>
      </c>
      <c r="CS247" s="257"/>
    </row>
    <row r="248" spans="1:97" x14ac:dyDescent="0.2">
      <c r="A248" s="100">
        <v>781</v>
      </c>
      <c r="B248" s="100" t="s">
        <v>556</v>
      </c>
      <c r="C248" s="100">
        <v>3504</v>
      </c>
      <c r="D248" s="257"/>
      <c r="E248" s="257"/>
      <c r="F248" s="257"/>
      <c r="G248" s="257"/>
      <c r="H248" s="325"/>
      <c r="I248" s="257"/>
      <c r="J248" s="257"/>
      <c r="K248" s="257"/>
      <c r="L248" s="257"/>
      <c r="M248" s="257"/>
      <c r="N248" s="257"/>
      <c r="O248" s="257"/>
      <c r="P248" s="257"/>
      <c r="Q248" s="100">
        <v>86</v>
      </c>
      <c r="R248" s="100">
        <v>18</v>
      </c>
      <c r="S248" s="100">
        <v>132</v>
      </c>
      <c r="T248" s="100">
        <v>69</v>
      </c>
      <c r="U248" s="100">
        <v>3199</v>
      </c>
      <c r="V248" s="100"/>
      <c r="W248" s="100"/>
      <c r="X248" s="100"/>
      <c r="Y248" s="100"/>
      <c r="Z248" s="257"/>
      <c r="AA248" s="257"/>
      <c r="AB248" s="257"/>
      <c r="AC248" s="257"/>
      <c r="AD248" s="257"/>
      <c r="AE248" s="258">
        <v>0.91848580797743107</v>
      </c>
      <c r="AG248" s="441">
        <v>126.33333333333333</v>
      </c>
      <c r="AH248" s="443">
        <v>1310</v>
      </c>
      <c r="AJ248" s="88">
        <v>92</v>
      </c>
      <c r="AM248" s="88">
        <v>0</v>
      </c>
      <c r="AN248" s="88">
        <v>7</v>
      </c>
      <c r="AP248" s="88">
        <v>0</v>
      </c>
      <c r="AQ248" s="399">
        <v>0</v>
      </c>
      <c r="AR248" s="88">
        <v>666.76</v>
      </c>
      <c r="AU248" s="399">
        <v>114</v>
      </c>
      <c r="AV248" s="399">
        <v>699</v>
      </c>
      <c r="AY248" s="88">
        <v>1.0842833333333333</v>
      </c>
      <c r="AZ248" s="432">
        <v>981</v>
      </c>
      <c r="BA248" s="440">
        <v>1129</v>
      </c>
      <c r="BC248" s="439">
        <v>0</v>
      </c>
      <c r="BD248" s="88">
        <v>0</v>
      </c>
      <c r="BE248" s="88">
        <v>1</v>
      </c>
      <c r="BF248" s="434">
        <v>-108913.65</v>
      </c>
      <c r="BG248" s="100">
        <v>-69751.510000000009</v>
      </c>
      <c r="BH248" s="257"/>
      <c r="BI248" s="100"/>
      <c r="BJ248" s="257"/>
      <c r="BK248" s="100"/>
      <c r="BL248" s="100"/>
      <c r="BM248" s="100"/>
      <c r="BN248" s="257"/>
      <c r="BO248" s="100"/>
      <c r="BP248" s="100">
        <v>463075</v>
      </c>
      <c r="BQ248" s="100">
        <v>135088</v>
      </c>
      <c r="BR248" s="100">
        <v>329559.86847875454</v>
      </c>
      <c r="BS248" s="100">
        <v>18974.214570919707</v>
      </c>
      <c r="BT248" s="100">
        <v>37232.079455625353</v>
      </c>
      <c r="BU248" s="100">
        <v>167524.88728627606</v>
      </c>
      <c r="BV248" s="100">
        <v>215960.85217767209</v>
      </c>
      <c r="BW248" s="100">
        <v>346788.14192586951</v>
      </c>
      <c r="BX248" s="100">
        <v>111657.66664430997</v>
      </c>
      <c r="BY248" s="100">
        <v>184995.47928799695</v>
      </c>
      <c r="BZ248" s="257"/>
      <c r="CA248" s="100"/>
      <c r="CB248" s="257"/>
      <c r="CC248" s="257"/>
      <c r="CD248" s="257"/>
      <c r="CE248" s="100">
        <v>260927.82515779132</v>
      </c>
      <c r="CF248" s="100">
        <v>138168.93814396282</v>
      </c>
      <c r="CG248" s="100">
        <v>134901.32202744126</v>
      </c>
      <c r="CH248" s="100">
        <v>802150.07737273281</v>
      </c>
      <c r="CI248" s="257"/>
      <c r="CJ248" s="437">
        <v>756295.74786122574</v>
      </c>
      <c r="CK248" s="404">
        <v>-333289</v>
      </c>
      <c r="CL248" s="404"/>
      <c r="CM248" s="437">
        <v>-33864.99500000001</v>
      </c>
      <c r="CO248" s="434">
        <v>1783490.0112421836</v>
      </c>
      <c r="CP248" s="437">
        <v>1595198.4690263134</v>
      </c>
      <c r="CQ248" s="437">
        <v>-317006.72316256707</v>
      </c>
      <c r="CR248" s="437">
        <v>121578.47741736815</v>
      </c>
      <c r="CS248" s="257"/>
    </row>
    <row r="249" spans="1:97" x14ac:dyDescent="0.2">
      <c r="A249" s="100">
        <v>783</v>
      </c>
      <c r="B249" s="100" t="s">
        <v>557</v>
      </c>
      <c r="C249" s="100">
        <v>6419</v>
      </c>
      <c r="D249" s="257"/>
      <c r="E249" s="257"/>
      <c r="F249" s="257"/>
      <c r="G249" s="257"/>
      <c r="H249" s="325"/>
      <c r="I249" s="257"/>
      <c r="J249" s="257"/>
      <c r="K249" s="257"/>
      <c r="L249" s="257"/>
      <c r="M249" s="257"/>
      <c r="N249" s="257"/>
      <c r="O249" s="257"/>
      <c r="P249" s="257"/>
      <c r="Q249" s="100">
        <v>246</v>
      </c>
      <c r="R249" s="100">
        <v>61</v>
      </c>
      <c r="S249" s="100">
        <v>364</v>
      </c>
      <c r="T249" s="100">
        <v>216</v>
      </c>
      <c r="U249" s="100">
        <v>5532</v>
      </c>
      <c r="V249" s="100"/>
      <c r="W249" s="100"/>
      <c r="X249" s="100"/>
      <c r="Y249" s="100"/>
      <c r="Z249" s="257"/>
      <c r="AA249" s="257"/>
      <c r="AB249" s="257"/>
      <c r="AC249" s="257"/>
      <c r="AD249" s="257"/>
      <c r="AE249" s="258">
        <v>0.79368221960007512</v>
      </c>
      <c r="AG249" s="441">
        <v>174.41666666666666</v>
      </c>
      <c r="AH249" s="443">
        <v>2937</v>
      </c>
      <c r="AJ249" s="88">
        <v>211</v>
      </c>
      <c r="AM249" s="88">
        <v>0</v>
      </c>
      <c r="AN249" s="88">
        <v>18</v>
      </c>
      <c r="AP249" s="88">
        <v>0</v>
      </c>
      <c r="AQ249" s="399">
        <v>0</v>
      </c>
      <c r="AR249" s="88">
        <v>406.85</v>
      </c>
      <c r="AU249" s="399">
        <v>266</v>
      </c>
      <c r="AV249" s="399">
        <v>1712</v>
      </c>
      <c r="AY249" s="88">
        <v>0</v>
      </c>
      <c r="AZ249" s="432">
        <v>3091</v>
      </c>
      <c r="BA249" s="440">
        <v>2653</v>
      </c>
      <c r="BC249" s="439">
        <v>0</v>
      </c>
      <c r="BD249" s="88">
        <v>0</v>
      </c>
      <c r="BE249" s="88">
        <v>0</v>
      </c>
      <c r="BF249" s="434">
        <v>-154080.995</v>
      </c>
      <c r="BG249" s="100">
        <v>-127669.66</v>
      </c>
      <c r="BH249" s="257"/>
      <c r="BI249" s="100"/>
      <c r="BJ249" s="257"/>
      <c r="BK249" s="100"/>
      <c r="BL249" s="100"/>
      <c r="BM249" s="100"/>
      <c r="BN249" s="257"/>
      <c r="BO249" s="100"/>
      <c r="BP249" s="100">
        <v>571140</v>
      </c>
      <c r="BQ249" s="100">
        <v>198708</v>
      </c>
      <c r="BR249" s="100">
        <v>465544.32727273158</v>
      </c>
      <c r="BS249" s="100">
        <v>22979.346619931279</v>
      </c>
      <c r="BT249" s="100">
        <v>42267.127537644687</v>
      </c>
      <c r="BU249" s="100">
        <v>197526.7378012822</v>
      </c>
      <c r="BV249" s="100">
        <v>364442.36358220922</v>
      </c>
      <c r="BW249" s="100">
        <v>669948.55723107071</v>
      </c>
      <c r="BX249" s="100">
        <v>180015.7879197041</v>
      </c>
      <c r="BY249" s="100">
        <v>299742.67337186687</v>
      </c>
      <c r="BZ249" s="257"/>
      <c r="CA249" s="100"/>
      <c r="CB249" s="257"/>
      <c r="CC249" s="257"/>
      <c r="CD249" s="257"/>
      <c r="CE249" s="100">
        <v>374575.50437390519</v>
      </c>
      <c r="CF249" s="100">
        <v>235039.4751385627</v>
      </c>
      <c r="CG249" s="100">
        <v>233185.68134761861</v>
      </c>
      <c r="CH249" s="100">
        <v>1238613.8229683826</v>
      </c>
      <c r="CI249" s="257"/>
      <c r="CJ249" s="437">
        <v>1560564.6471283075</v>
      </c>
      <c r="CK249" s="404">
        <v>-37767</v>
      </c>
      <c r="CL249" s="404"/>
      <c r="CM249" s="437">
        <v>-98790.306999999972</v>
      </c>
      <c r="CO249" s="434">
        <v>-116359.82610327042</v>
      </c>
      <c r="CP249" s="437">
        <v>-25278.264911026919</v>
      </c>
      <c r="CQ249" s="437">
        <v>-580726.64268850407</v>
      </c>
      <c r="CR249" s="437">
        <v>222720.38999488761</v>
      </c>
      <c r="CS249" s="257"/>
    </row>
    <row r="250" spans="1:97" x14ac:dyDescent="0.2">
      <c r="A250" s="100">
        <v>831</v>
      </c>
      <c r="B250" s="100" t="s">
        <v>561</v>
      </c>
      <c r="C250" s="100">
        <v>4559</v>
      </c>
      <c r="D250" s="257"/>
      <c r="E250" s="257"/>
      <c r="F250" s="257"/>
      <c r="G250" s="257"/>
      <c r="H250" s="325"/>
      <c r="I250" s="257"/>
      <c r="J250" s="257"/>
      <c r="K250" s="257"/>
      <c r="L250" s="257"/>
      <c r="M250" s="257"/>
      <c r="N250" s="257"/>
      <c r="O250" s="257"/>
      <c r="P250" s="257"/>
      <c r="Q250" s="100">
        <v>210</v>
      </c>
      <c r="R250" s="100">
        <v>32</v>
      </c>
      <c r="S250" s="100">
        <v>321</v>
      </c>
      <c r="T250" s="100">
        <v>154</v>
      </c>
      <c r="U250" s="100">
        <v>3842</v>
      </c>
      <c r="V250" s="100"/>
      <c r="W250" s="100"/>
      <c r="X250" s="100"/>
      <c r="Y250" s="100"/>
      <c r="Z250" s="257"/>
      <c r="AA250" s="257"/>
      <c r="AB250" s="257"/>
      <c r="AC250" s="257"/>
      <c r="AD250" s="257"/>
      <c r="AE250" s="258">
        <v>0.88773796693145879</v>
      </c>
      <c r="AG250" s="441">
        <v>172.25</v>
      </c>
      <c r="AH250" s="443">
        <v>2137</v>
      </c>
      <c r="AJ250" s="88">
        <v>223</v>
      </c>
      <c r="AM250" s="88">
        <v>0</v>
      </c>
      <c r="AN250" s="88">
        <v>8</v>
      </c>
      <c r="AP250" s="88">
        <v>3</v>
      </c>
      <c r="AQ250" s="399">
        <v>2066</v>
      </c>
      <c r="AR250" s="88">
        <v>344.69</v>
      </c>
      <c r="AU250" s="399">
        <v>98</v>
      </c>
      <c r="AV250" s="399">
        <v>1323</v>
      </c>
      <c r="AY250" s="88">
        <v>0</v>
      </c>
      <c r="AZ250" s="432">
        <v>809</v>
      </c>
      <c r="BA250" s="440">
        <v>1866</v>
      </c>
      <c r="BC250" s="439">
        <v>0</v>
      </c>
      <c r="BD250" s="88">
        <v>0</v>
      </c>
      <c r="BE250" s="88">
        <v>0</v>
      </c>
      <c r="BF250" s="434">
        <v>-113876.245</v>
      </c>
      <c r="BG250" s="100">
        <v>-88903.88</v>
      </c>
      <c r="BH250" s="257"/>
      <c r="BI250" s="100"/>
      <c r="BJ250" s="257"/>
      <c r="BK250" s="100"/>
      <c r="BL250" s="100"/>
      <c r="BM250" s="100"/>
      <c r="BN250" s="257"/>
      <c r="BO250" s="100"/>
      <c r="BP250" s="100">
        <v>361432</v>
      </c>
      <c r="BQ250" s="100">
        <v>117092</v>
      </c>
      <c r="BR250" s="100">
        <v>229111.41606475139</v>
      </c>
      <c r="BS250" s="100">
        <v>6495.4385852512132</v>
      </c>
      <c r="BT250" s="100">
        <v>6379.8410513415447</v>
      </c>
      <c r="BU250" s="100">
        <v>104989.19278325992</v>
      </c>
      <c r="BV250" s="100">
        <v>209440.9620708233</v>
      </c>
      <c r="BW250" s="100">
        <v>352663.03044384293</v>
      </c>
      <c r="BX250" s="100">
        <v>97291.300304959339</v>
      </c>
      <c r="BY250" s="100">
        <v>174429.34441103344</v>
      </c>
      <c r="BZ250" s="257"/>
      <c r="CA250" s="100"/>
      <c r="CB250" s="257"/>
      <c r="CC250" s="257"/>
      <c r="CD250" s="257"/>
      <c r="CE250" s="100">
        <v>222735.04784467214</v>
      </c>
      <c r="CF250" s="100">
        <v>138668.3123108444</v>
      </c>
      <c r="CG250" s="100">
        <v>138520.35997071469</v>
      </c>
      <c r="CH250" s="100">
        <v>676809.12581157265</v>
      </c>
      <c r="CI250" s="257"/>
      <c r="CJ250" s="437">
        <v>843893.27278682333</v>
      </c>
      <c r="CK250" s="404">
        <v>-853032</v>
      </c>
      <c r="CL250" s="404"/>
      <c r="CM250" s="437">
        <v>-78560.821000000025</v>
      </c>
      <c r="CO250" s="434">
        <v>146229.83535057845</v>
      </c>
      <c r="CP250" s="437">
        <v>220701.3986286635</v>
      </c>
      <c r="CQ250" s="437">
        <v>-412452.52594125096</v>
      </c>
      <c r="CR250" s="437">
        <v>158183.86944799699</v>
      </c>
      <c r="CS250" s="257"/>
    </row>
    <row r="251" spans="1:97" x14ac:dyDescent="0.2">
      <c r="A251" s="100">
        <v>832</v>
      </c>
      <c r="B251" s="100" t="s">
        <v>562</v>
      </c>
      <c r="C251" s="100">
        <v>3825</v>
      </c>
      <c r="D251" s="257"/>
      <c r="E251" s="257"/>
      <c r="F251" s="257"/>
      <c r="G251" s="257"/>
      <c r="H251" s="325"/>
      <c r="I251" s="257"/>
      <c r="J251" s="257"/>
      <c r="K251" s="257"/>
      <c r="L251" s="257"/>
      <c r="M251" s="257"/>
      <c r="N251" s="257"/>
      <c r="O251" s="257"/>
      <c r="P251" s="257"/>
      <c r="Q251" s="100">
        <v>184</v>
      </c>
      <c r="R251" s="100">
        <v>25</v>
      </c>
      <c r="S251" s="100">
        <v>242</v>
      </c>
      <c r="T251" s="100">
        <v>147</v>
      </c>
      <c r="U251" s="100">
        <v>3227</v>
      </c>
      <c r="V251" s="100"/>
      <c r="W251" s="100"/>
      <c r="X251" s="100"/>
      <c r="Y251" s="100"/>
      <c r="Z251" s="257"/>
      <c r="AA251" s="257"/>
      <c r="AB251" s="257"/>
      <c r="AC251" s="257"/>
      <c r="AD251" s="257"/>
      <c r="AE251" s="258">
        <v>0.82501205655039622</v>
      </c>
      <c r="AG251" s="441">
        <v>179.5</v>
      </c>
      <c r="AH251" s="443">
        <v>1587</v>
      </c>
      <c r="AJ251" s="88">
        <v>86</v>
      </c>
      <c r="AM251" s="88">
        <v>0</v>
      </c>
      <c r="AN251" s="88">
        <v>3</v>
      </c>
      <c r="AP251" s="88">
        <v>0</v>
      </c>
      <c r="AQ251" s="399">
        <v>0</v>
      </c>
      <c r="AR251" s="88">
        <v>2438.21</v>
      </c>
      <c r="AU251" s="399">
        <v>112</v>
      </c>
      <c r="AV251" s="399">
        <v>911</v>
      </c>
      <c r="AY251" s="88">
        <v>1.7243499999999998</v>
      </c>
      <c r="AZ251" s="432">
        <v>1294</v>
      </c>
      <c r="BA251" s="440">
        <v>1391</v>
      </c>
      <c r="BC251" s="439">
        <v>0</v>
      </c>
      <c r="BD251" s="88">
        <v>0</v>
      </c>
      <c r="BE251" s="88">
        <v>0</v>
      </c>
      <c r="BF251" s="434">
        <v>-85354.22</v>
      </c>
      <c r="BG251" s="100">
        <v>-75226.36</v>
      </c>
      <c r="BH251" s="257"/>
      <c r="BI251" s="100"/>
      <c r="BJ251" s="257"/>
      <c r="BK251" s="100"/>
      <c r="BL251" s="100"/>
      <c r="BM251" s="100"/>
      <c r="BN251" s="257"/>
      <c r="BO251" s="100"/>
      <c r="BP251" s="100">
        <v>361995</v>
      </c>
      <c r="BQ251" s="100">
        <v>112886</v>
      </c>
      <c r="BR251" s="100">
        <v>324994.34134308848</v>
      </c>
      <c r="BS251" s="100">
        <v>18626.552320533414</v>
      </c>
      <c r="BT251" s="100">
        <v>62107.238000014331</v>
      </c>
      <c r="BU251" s="100">
        <v>165073.91156183698</v>
      </c>
      <c r="BV251" s="100">
        <v>235712.06253475058</v>
      </c>
      <c r="BW251" s="100">
        <v>331160.83617917163</v>
      </c>
      <c r="BX251" s="100">
        <v>110252.77328683966</v>
      </c>
      <c r="BY251" s="100">
        <v>194718.31910601925</v>
      </c>
      <c r="BZ251" s="257"/>
      <c r="CA251" s="100"/>
      <c r="CB251" s="257"/>
      <c r="CC251" s="257"/>
      <c r="CD251" s="257"/>
      <c r="CE251" s="100">
        <v>241677.06167460204</v>
      </c>
      <c r="CF251" s="100">
        <v>138281.75948154519</v>
      </c>
      <c r="CG251" s="100">
        <v>142353.61153087081</v>
      </c>
      <c r="CH251" s="100">
        <v>765441.80607375619</v>
      </c>
      <c r="CI251" s="257"/>
      <c r="CJ251" s="437">
        <v>1837642.6592332195</v>
      </c>
      <c r="CK251" s="404">
        <v>-250961</v>
      </c>
      <c r="CL251" s="404"/>
      <c r="CM251" s="437">
        <v>-17902.200000000012</v>
      </c>
      <c r="CO251" s="434">
        <v>1613351.2719726204</v>
      </c>
      <c r="CP251" s="437">
        <v>992036.78746154194</v>
      </c>
      <c r="CQ251" s="437">
        <v>-346047.57879475434</v>
      </c>
      <c r="CR251" s="437">
        <v>132716.23176981541</v>
      </c>
      <c r="CS251" s="257"/>
    </row>
    <row r="252" spans="1:97" x14ac:dyDescent="0.2">
      <c r="A252" s="100">
        <v>833</v>
      </c>
      <c r="B252" s="100" t="s">
        <v>563</v>
      </c>
      <c r="C252" s="100">
        <v>1691</v>
      </c>
      <c r="D252" s="257"/>
      <c r="E252" s="257"/>
      <c r="F252" s="257"/>
      <c r="G252" s="257"/>
      <c r="H252" s="325"/>
      <c r="I252" s="257"/>
      <c r="J252" s="257"/>
      <c r="K252" s="257"/>
      <c r="L252" s="257"/>
      <c r="M252" s="257"/>
      <c r="N252" s="257"/>
      <c r="O252" s="257"/>
      <c r="P252" s="257"/>
      <c r="Q252" s="100">
        <v>77</v>
      </c>
      <c r="R252" s="100">
        <v>14</v>
      </c>
      <c r="S252" s="100">
        <v>96</v>
      </c>
      <c r="T252" s="100">
        <v>45</v>
      </c>
      <c r="U252" s="100">
        <v>1459</v>
      </c>
      <c r="V252" s="100"/>
      <c r="W252" s="100"/>
      <c r="X252" s="100"/>
      <c r="Y252" s="100"/>
      <c r="Z252" s="257"/>
      <c r="AA252" s="257"/>
      <c r="AB252" s="257"/>
      <c r="AC252" s="257"/>
      <c r="AD252" s="257"/>
      <c r="AE252" s="258">
        <v>0.60863072896126358</v>
      </c>
      <c r="AG252" s="441">
        <v>55.833333333333336</v>
      </c>
      <c r="AH252" s="443">
        <v>698</v>
      </c>
      <c r="AJ252" s="88">
        <v>101</v>
      </c>
      <c r="AM252" s="88">
        <v>0</v>
      </c>
      <c r="AN252" s="88">
        <v>13</v>
      </c>
      <c r="AP252" s="88">
        <v>3</v>
      </c>
      <c r="AQ252" s="399">
        <v>189</v>
      </c>
      <c r="AR252" s="88">
        <v>140.33000000000001</v>
      </c>
      <c r="AU252" s="399">
        <v>85</v>
      </c>
      <c r="AV252" s="399">
        <v>452</v>
      </c>
      <c r="AY252" s="88">
        <v>0.48993333333333333</v>
      </c>
      <c r="AZ252" s="432">
        <v>459</v>
      </c>
      <c r="BA252" s="440">
        <v>636</v>
      </c>
      <c r="BC252" s="439">
        <v>1.05</v>
      </c>
      <c r="BD252" s="88">
        <v>0</v>
      </c>
      <c r="BE252" s="88">
        <v>0</v>
      </c>
      <c r="BF252" s="434">
        <v>-38789.51</v>
      </c>
      <c r="BG252" s="100">
        <v>-31869.390000000003</v>
      </c>
      <c r="BH252" s="257"/>
      <c r="BI252" s="100"/>
      <c r="BJ252" s="257"/>
      <c r="BK252" s="100"/>
      <c r="BL252" s="100"/>
      <c r="BM252" s="100"/>
      <c r="BN252" s="257"/>
      <c r="BO252" s="100"/>
      <c r="BP252" s="100">
        <v>179163</v>
      </c>
      <c r="BQ252" s="100">
        <v>58959</v>
      </c>
      <c r="BR252" s="100">
        <v>133706.72651570296</v>
      </c>
      <c r="BS252" s="100">
        <v>7469.8677134647514</v>
      </c>
      <c r="BT252" s="100">
        <v>-41419.511783329872</v>
      </c>
      <c r="BU252" s="100">
        <v>51137.76790523142</v>
      </c>
      <c r="BV252" s="100">
        <v>93433.400225188845</v>
      </c>
      <c r="BW252" s="100">
        <v>177756.64269015155</v>
      </c>
      <c r="BX252" s="100">
        <v>50812.746481371672</v>
      </c>
      <c r="BY252" s="100">
        <v>79672.920883547995</v>
      </c>
      <c r="BZ252" s="257"/>
      <c r="CA252" s="100"/>
      <c r="CB252" s="257"/>
      <c r="CC252" s="257"/>
      <c r="CD252" s="257"/>
      <c r="CE252" s="100">
        <v>106192.5947882616</v>
      </c>
      <c r="CF252" s="100">
        <v>61372.949885688409</v>
      </c>
      <c r="CG252" s="100">
        <v>62827.070200061062</v>
      </c>
      <c r="CH252" s="100">
        <v>335096.1111613845</v>
      </c>
      <c r="CI252" s="257"/>
      <c r="CJ252" s="437">
        <v>376592.34515492304</v>
      </c>
      <c r="CK252" s="404">
        <v>-282618</v>
      </c>
      <c r="CL252" s="404"/>
      <c r="CM252" s="437">
        <v>229744.90000000002</v>
      </c>
      <c r="CO252" s="434">
        <v>445836.51748107228</v>
      </c>
      <c r="CP252" s="437">
        <v>567660.44715549506</v>
      </c>
      <c r="CQ252" s="437">
        <v>-152984.69431161557</v>
      </c>
      <c r="CR252" s="437">
        <v>58672.718411178525</v>
      </c>
      <c r="CS252" s="257"/>
    </row>
    <row r="253" spans="1:97" x14ac:dyDescent="0.2">
      <c r="A253" s="100">
        <v>834</v>
      </c>
      <c r="B253" s="100" t="s">
        <v>564</v>
      </c>
      <c r="C253" s="100">
        <v>5879</v>
      </c>
      <c r="D253" s="257"/>
      <c r="E253" s="257"/>
      <c r="F253" s="257"/>
      <c r="G253" s="257"/>
      <c r="H253" s="325"/>
      <c r="I253" s="257"/>
      <c r="J253" s="257"/>
      <c r="K253" s="257"/>
      <c r="L253" s="257"/>
      <c r="M253" s="257"/>
      <c r="N253" s="257"/>
      <c r="O253" s="257"/>
      <c r="P253" s="257"/>
      <c r="Q253" s="100">
        <v>261</v>
      </c>
      <c r="R253" s="100">
        <v>56</v>
      </c>
      <c r="S253" s="100">
        <v>350</v>
      </c>
      <c r="T253" s="100">
        <v>218</v>
      </c>
      <c r="U253" s="100">
        <v>4994</v>
      </c>
      <c r="V253" s="100"/>
      <c r="W253" s="100"/>
      <c r="X253" s="100"/>
      <c r="Y253" s="100"/>
      <c r="Z253" s="257"/>
      <c r="AA253" s="257"/>
      <c r="AB253" s="257"/>
      <c r="AC253" s="257"/>
      <c r="AD253" s="257"/>
      <c r="AE253" s="258">
        <v>0.83372213243639859</v>
      </c>
      <c r="AG253" s="441">
        <v>181.25</v>
      </c>
      <c r="AH253" s="443">
        <v>2722</v>
      </c>
      <c r="AJ253" s="88">
        <v>145</v>
      </c>
      <c r="AM253" s="88">
        <v>0</v>
      </c>
      <c r="AN253" s="88">
        <v>13</v>
      </c>
      <c r="AP253" s="88">
        <v>0</v>
      </c>
      <c r="AQ253" s="399">
        <v>0</v>
      </c>
      <c r="AR253" s="88">
        <v>640.59</v>
      </c>
      <c r="AU253" s="399">
        <v>212</v>
      </c>
      <c r="AV253" s="399">
        <v>1641</v>
      </c>
      <c r="AY253" s="88">
        <v>0</v>
      </c>
      <c r="AZ253" s="432">
        <v>1641</v>
      </c>
      <c r="BA253" s="440">
        <v>2509</v>
      </c>
      <c r="BC253" s="439">
        <v>0</v>
      </c>
      <c r="BD253" s="88">
        <v>0</v>
      </c>
      <c r="BE253" s="88">
        <v>0</v>
      </c>
      <c r="BF253" s="434">
        <v>-152451.88500000001</v>
      </c>
      <c r="BG253" s="100">
        <v>-115567.36</v>
      </c>
      <c r="BH253" s="257"/>
      <c r="BI253" s="100"/>
      <c r="BJ253" s="257"/>
      <c r="BK253" s="100"/>
      <c r="BL253" s="100"/>
      <c r="BM253" s="100"/>
      <c r="BN253" s="257"/>
      <c r="BO253" s="100"/>
      <c r="BP253" s="100">
        <v>558257</v>
      </c>
      <c r="BQ253" s="100">
        <v>177901</v>
      </c>
      <c r="BR253" s="100">
        <v>413684.24193292833</v>
      </c>
      <c r="BS253" s="100">
        <v>17550.324334889014</v>
      </c>
      <c r="BT253" s="100">
        <v>43093.958357685297</v>
      </c>
      <c r="BU253" s="100">
        <v>174923.79531469161</v>
      </c>
      <c r="BV253" s="100">
        <v>338841.11797299766</v>
      </c>
      <c r="BW253" s="100">
        <v>514769.599567066</v>
      </c>
      <c r="BX253" s="100">
        <v>156363.00208356997</v>
      </c>
      <c r="BY253" s="100">
        <v>274141.72661984514</v>
      </c>
      <c r="BZ253" s="257"/>
      <c r="CA253" s="100"/>
      <c r="CB253" s="257"/>
      <c r="CC253" s="257"/>
      <c r="CD253" s="257"/>
      <c r="CE253" s="100">
        <v>360291.89384720428</v>
      </c>
      <c r="CF253" s="100">
        <v>209819.56429018817</v>
      </c>
      <c r="CG253" s="100">
        <v>213060.15939976121</v>
      </c>
      <c r="CH253" s="100">
        <v>1089004.4694244643</v>
      </c>
      <c r="CI253" s="257"/>
      <c r="CJ253" s="437">
        <v>1595625.0040446012</v>
      </c>
      <c r="CK253" s="404">
        <v>-1538924</v>
      </c>
      <c r="CL253" s="404"/>
      <c r="CM253" s="437">
        <v>-414092.80450000003</v>
      </c>
      <c r="CO253" s="434">
        <v>1624338.8403982143</v>
      </c>
      <c r="CP253" s="437">
        <v>937233.52468924189</v>
      </c>
      <c r="CQ253" s="437">
        <v>-531872.8668586564</v>
      </c>
      <c r="CR253" s="437">
        <v>203983.98080385485</v>
      </c>
      <c r="CS253" s="257"/>
    </row>
    <row r="254" spans="1:97" x14ac:dyDescent="0.2">
      <c r="A254" s="100">
        <v>837</v>
      </c>
      <c r="B254" s="100" t="s">
        <v>565</v>
      </c>
      <c r="C254" s="100">
        <v>249009</v>
      </c>
      <c r="D254" s="257"/>
      <c r="E254" s="257"/>
      <c r="F254" s="257"/>
      <c r="G254" s="257"/>
      <c r="H254" s="325"/>
      <c r="I254" s="257"/>
      <c r="J254" s="257"/>
      <c r="K254" s="257"/>
      <c r="L254" s="257"/>
      <c r="M254" s="257"/>
      <c r="N254" s="257"/>
      <c r="O254" s="257"/>
      <c r="P254" s="257"/>
      <c r="Q254" s="100">
        <v>12042</v>
      </c>
      <c r="R254" s="100">
        <v>2069</v>
      </c>
      <c r="S254" s="100">
        <v>13429</v>
      </c>
      <c r="T254" s="100">
        <v>6496</v>
      </c>
      <c r="U254" s="100">
        <v>214973</v>
      </c>
      <c r="V254" s="100"/>
      <c r="W254" s="100"/>
      <c r="X254" s="100"/>
      <c r="Y254" s="100"/>
      <c r="Z254" s="257"/>
      <c r="AA254" s="257"/>
      <c r="AB254" s="257"/>
      <c r="AC254" s="257"/>
      <c r="AD254" s="257"/>
      <c r="AE254" s="258">
        <v>1.1266886903519928</v>
      </c>
      <c r="AG254" s="441">
        <v>12325.25</v>
      </c>
      <c r="AH254" s="443">
        <v>121466</v>
      </c>
      <c r="AJ254" s="88">
        <v>23391</v>
      </c>
      <c r="AM254" s="88">
        <v>0</v>
      </c>
      <c r="AN254" s="88">
        <v>1333</v>
      </c>
      <c r="AP254" s="88">
        <v>0</v>
      </c>
      <c r="AQ254" s="399">
        <v>0</v>
      </c>
      <c r="AR254" s="88">
        <v>524.89</v>
      </c>
      <c r="AU254" s="399">
        <v>9793</v>
      </c>
      <c r="AV254" s="399">
        <v>81477</v>
      </c>
      <c r="AY254" s="88">
        <v>0</v>
      </c>
      <c r="AZ254" s="432">
        <v>131385</v>
      </c>
      <c r="BA254" s="440">
        <v>110431</v>
      </c>
      <c r="BC254" s="439">
        <v>1.5</v>
      </c>
      <c r="BD254" s="88">
        <v>0</v>
      </c>
      <c r="BE254" s="88">
        <v>19</v>
      </c>
      <c r="BF254" s="434">
        <v>-23073490.6305</v>
      </c>
      <c r="BG254" s="100">
        <v>-4629782.8900000006</v>
      </c>
      <c r="BH254" s="257"/>
      <c r="BI254" s="100"/>
      <c r="BJ254" s="257"/>
      <c r="BK254" s="100"/>
      <c r="BL254" s="100"/>
      <c r="BM254" s="100"/>
      <c r="BN254" s="257"/>
      <c r="BO254" s="100"/>
      <c r="BP254" s="100">
        <v>13723734</v>
      </c>
      <c r="BQ254" s="100">
        <v>5251644</v>
      </c>
      <c r="BR254" s="100">
        <v>13128326.768248945</v>
      </c>
      <c r="BS254" s="100">
        <v>597364.14532184741</v>
      </c>
      <c r="BT254" s="100">
        <v>244723.63482833534</v>
      </c>
      <c r="BU254" s="100">
        <v>5254837.7257619742</v>
      </c>
      <c r="BV254" s="100">
        <v>11750199.094894685</v>
      </c>
      <c r="BW254" s="100">
        <v>15523180.842289694</v>
      </c>
      <c r="BX254" s="100">
        <v>6514338.4020276591</v>
      </c>
      <c r="BY254" s="100">
        <v>10327022.863926157</v>
      </c>
      <c r="BZ254" s="257"/>
      <c r="CA254" s="100"/>
      <c r="CB254" s="257"/>
      <c r="CC254" s="257"/>
      <c r="CD254" s="257"/>
      <c r="CE254" s="100">
        <v>13531107.236368081</v>
      </c>
      <c r="CF254" s="100">
        <v>8488137.8888618555</v>
      </c>
      <c r="CG254" s="100">
        <v>8248268.7444584332</v>
      </c>
      <c r="CH254" s="100">
        <v>36720100.380104199</v>
      </c>
      <c r="CI254" s="257"/>
      <c r="CJ254" s="437">
        <v>1235695.6416559145</v>
      </c>
      <c r="CK254" s="404">
        <v>83379370</v>
      </c>
      <c r="CL254" s="404"/>
      <c r="CM254" s="437">
        <v>-11967413.33285002</v>
      </c>
      <c r="CO254" s="434">
        <v>-34970250.491503917</v>
      </c>
      <c r="CP254" s="437">
        <v>-2561673.0241984576</v>
      </c>
      <c r="CQ254" s="437">
        <v>-22527833.084471367</v>
      </c>
      <c r="CR254" s="437">
        <v>8639878.7337960694</v>
      </c>
      <c r="CS254" s="257"/>
    </row>
    <row r="255" spans="1:97" x14ac:dyDescent="0.2">
      <c r="A255" s="100">
        <v>844</v>
      </c>
      <c r="B255" s="100" t="s">
        <v>566</v>
      </c>
      <c r="C255" s="100">
        <v>1441</v>
      </c>
      <c r="D255" s="257"/>
      <c r="E255" s="257"/>
      <c r="F255" s="257"/>
      <c r="G255" s="257"/>
      <c r="H255" s="325"/>
      <c r="I255" s="257"/>
      <c r="J255" s="257"/>
      <c r="K255" s="257"/>
      <c r="L255" s="257"/>
      <c r="M255" s="257"/>
      <c r="N255" s="257"/>
      <c r="O255" s="257"/>
      <c r="P255" s="257"/>
      <c r="Q255" s="100">
        <v>38</v>
      </c>
      <c r="R255" s="100">
        <v>9</v>
      </c>
      <c r="S255" s="100">
        <v>70</v>
      </c>
      <c r="T255" s="100">
        <v>19</v>
      </c>
      <c r="U255" s="100">
        <v>1305</v>
      </c>
      <c r="V255" s="100"/>
      <c r="W255" s="100"/>
      <c r="X255" s="100"/>
      <c r="Y255" s="100"/>
      <c r="Z255" s="257"/>
      <c r="AA255" s="257"/>
      <c r="AB255" s="257"/>
      <c r="AC255" s="257"/>
      <c r="AD255" s="257"/>
      <c r="AE255" s="258">
        <v>0.69469358411778492</v>
      </c>
      <c r="AG255" s="441">
        <v>61.416666666666664</v>
      </c>
      <c r="AH255" s="443">
        <v>612</v>
      </c>
      <c r="AJ255" s="88">
        <v>28</v>
      </c>
      <c r="AM255" s="88">
        <v>0</v>
      </c>
      <c r="AN255" s="88">
        <v>2</v>
      </c>
      <c r="AP255" s="88">
        <v>3</v>
      </c>
      <c r="AQ255" s="399">
        <v>169</v>
      </c>
      <c r="AR255" s="88">
        <v>347.75</v>
      </c>
      <c r="AU255" s="399">
        <v>47</v>
      </c>
      <c r="AV255" s="399">
        <v>335</v>
      </c>
      <c r="AY255" s="88">
        <v>1.4789666666666665</v>
      </c>
      <c r="AZ255" s="432">
        <v>375</v>
      </c>
      <c r="BA255" s="440">
        <v>520</v>
      </c>
      <c r="BC255" s="439">
        <v>0</v>
      </c>
      <c r="BD255" s="88">
        <v>0</v>
      </c>
      <c r="BE255" s="88">
        <v>0</v>
      </c>
      <c r="BF255" s="434">
        <v>-38141.425000000003</v>
      </c>
      <c r="BG255" s="100">
        <v>-28872.63</v>
      </c>
      <c r="BH255" s="257"/>
      <c r="BI255" s="100"/>
      <c r="BJ255" s="257"/>
      <c r="BK255" s="100"/>
      <c r="BL255" s="100"/>
      <c r="BM255" s="100"/>
      <c r="BN255" s="257"/>
      <c r="BO255" s="100"/>
      <c r="BP255" s="100">
        <v>196111</v>
      </c>
      <c r="BQ255" s="100">
        <v>61656</v>
      </c>
      <c r="BR255" s="100">
        <v>159282.21211564902</v>
      </c>
      <c r="BS255" s="100">
        <v>9219.4933806493464</v>
      </c>
      <c r="BT255" s="100">
        <v>30583.410181686584</v>
      </c>
      <c r="BU255" s="100">
        <v>62866.855840530829</v>
      </c>
      <c r="BV255" s="100">
        <v>102437.71402169217</v>
      </c>
      <c r="BW255" s="100">
        <v>138290.75944714711</v>
      </c>
      <c r="BX255" s="100">
        <v>50346.874339769623</v>
      </c>
      <c r="BY255" s="100">
        <v>83779.511600385042</v>
      </c>
      <c r="BZ255" s="257"/>
      <c r="CA255" s="100"/>
      <c r="CB255" s="257"/>
      <c r="CC255" s="257"/>
      <c r="CD255" s="257"/>
      <c r="CE255" s="100">
        <v>114209.05125423992</v>
      </c>
      <c r="CF255" s="100">
        <v>61334.316286049107</v>
      </c>
      <c r="CG255" s="100">
        <v>59620.168105461322</v>
      </c>
      <c r="CH255" s="100">
        <v>358454.45312555594</v>
      </c>
      <c r="CI255" s="257"/>
      <c r="CJ255" s="437">
        <v>751697.50509584288</v>
      </c>
      <c r="CK255" s="404">
        <v>-361040</v>
      </c>
      <c r="CL255" s="404"/>
      <c r="CM255" s="437">
        <v>-34312.550000000003</v>
      </c>
      <c r="CO255" s="434">
        <v>155520.80933478233</v>
      </c>
      <c r="CP255" s="437">
        <v>-22482.085641238325</v>
      </c>
      <c r="CQ255" s="437">
        <v>-130367.20550150091</v>
      </c>
      <c r="CR255" s="437">
        <v>49998.454896811505</v>
      </c>
      <c r="CS255" s="257"/>
    </row>
    <row r="256" spans="1:97" x14ac:dyDescent="0.2">
      <c r="A256" s="100">
        <v>845</v>
      </c>
      <c r="B256" s="100" t="s">
        <v>567</v>
      </c>
      <c r="C256" s="100">
        <v>2863</v>
      </c>
      <c r="D256" s="257"/>
      <c r="E256" s="257"/>
      <c r="F256" s="257"/>
      <c r="G256" s="257"/>
      <c r="H256" s="325"/>
      <c r="I256" s="257"/>
      <c r="J256" s="257"/>
      <c r="K256" s="257"/>
      <c r="L256" s="257"/>
      <c r="M256" s="257"/>
      <c r="N256" s="257"/>
      <c r="O256" s="257"/>
      <c r="P256" s="257"/>
      <c r="Q256" s="100">
        <v>151</v>
      </c>
      <c r="R256" s="100">
        <v>27</v>
      </c>
      <c r="S256" s="100">
        <v>202</v>
      </c>
      <c r="T256" s="100">
        <v>103</v>
      </c>
      <c r="U256" s="100">
        <v>2380</v>
      </c>
      <c r="V256" s="100"/>
      <c r="W256" s="100"/>
      <c r="X256" s="100"/>
      <c r="Y256" s="100"/>
      <c r="Z256" s="257"/>
      <c r="AA256" s="257"/>
      <c r="AB256" s="257"/>
      <c r="AC256" s="257"/>
      <c r="AD256" s="257"/>
      <c r="AE256" s="258">
        <v>0.71793884555867127</v>
      </c>
      <c r="AG256" s="441">
        <v>122.5</v>
      </c>
      <c r="AH256" s="443">
        <v>1226</v>
      </c>
      <c r="AJ256" s="88">
        <v>85</v>
      </c>
      <c r="AM256" s="88">
        <v>0</v>
      </c>
      <c r="AN256" s="88">
        <v>4</v>
      </c>
      <c r="AP256" s="88">
        <v>0</v>
      </c>
      <c r="AQ256" s="399">
        <v>0</v>
      </c>
      <c r="AR256" s="88">
        <v>1559.72</v>
      </c>
      <c r="AU256" s="399">
        <v>104</v>
      </c>
      <c r="AV256" s="399">
        <v>701</v>
      </c>
      <c r="AY256" s="88">
        <v>1.3779666666666666</v>
      </c>
      <c r="AZ256" s="432">
        <v>1004</v>
      </c>
      <c r="BA256" s="440">
        <v>1082</v>
      </c>
      <c r="BC256" s="439">
        <v>0</v>
      </c>
      <c r="BD256" s="88">
        <v>0</v>
      </c>
      <c r="BE256" s="88">
        <v>1</v>
      </c>
      <c r="BF256" s="434">
        <v>-60049.1</v>
      </c>
      <c r="BG256" s="100">
        <v>-56189.25</v>
      </c>
      <c r="BH256" s="257"/>
      <c r="BI256" s="100"/>
      <c r="BJ256" s="257"/>
      <c r="BK256" s="100"/>
      <c r="BL256" s="100"/>
      <c r="BM256" s="100"/>
      <c r="BN256" s="257"/>
      <c r="BO256" s="100"/>
      <c r="BP256" s="100">
        <v>301511</v>
      </c>
      <c r="BQ256" s="100">
        <v>94788</v>
      </c>
      <c r="BR256" s="100">
        <v>235943.08993165064</v>
      </c>
      <c r="BS256" s="100">
        <v>13005.778783737596</v>
      </c>
      <c r="BT256" s="100">
        <v>42326.729787976459</v>
      </c>
      <c r="BU256" s="100">
        <v>107710.18747200553</v>
      </c>
      <c r="BV256" s="100">
        <v>159813.91595180737</v>
      </c>
      <c r="BW256" s="100">
        <v>251861.84748376219</v>
      </c>
      <c r="BX256" s="100">
        <v>69629.616093293807</v>
      </c>
      <c r="BY256" s="100">
        <v>122234.69291125509</v>
      </c>
      <c r="BZ256" s="257"/>
      <c r="CA256" s="100"/>
      <c r="CB256" s="257"/>
      <c r="CC256" s="257"/>
      <c r="CD256" s="257"/>
      <c r="CE256" s="100">
        <v>169781.64477668764</v>
      </c>
      <c r="CF256" s="100">
        <v>100291.51295642542</v>
      </c>
      <c r="CG256" s="100">
        <v>97721.412502125284</v>
      </c>
      <c r="CH256" s="100">
        <v>589827.92928421777</v>
      </c>
      <c r="CI256" s="257"/>
      <c r="CJ256" s="437">
        <v>1255008.2280608944</v>
      </c>
      <c r="CK256" s="404">
        <v>-13652</v>
      </c>
      <c r="CL256" s="404"/>
      <c r="CM256" s="437">
        <v>-13426.650000000001</v>
      </c>
      <c r="CO256" s="434">
        <v>211359.29737736387</v>
      </c>
      <c r="CP256" s="437">
        <v>7700.3723754299472</v>
      </c>
      <c r="CQ256" s="437">
        <v>-259015.4818534331</v>
      </c>
      <c r="CR256" s="437">
        <v>99337.665766531107</v>
      </c>
      <c r="CS256" s="257"/>
    </row>
    <row r="257" spans="1:97" x14ac:dyDescent="0.2">
      <c r="A257" s="100">
        <v>846</v>
      </c>
      <c r="B257" s="100" t="s">
        <v>568</v>
      </c>
      <c r="C257" s="100">
        <v>4862</v>
      </c>
      <c r="D257" s="257"/>
      <c r="E257" s="257"/>
      <c r="F257" s="257"/>
      <c r="G257" s="257"/>
      <c r="H257" s="325"/>
      <c r="I257" s="257"/>
      <c r="J257" s="257"/>
      <c r="K257" s="257"/>
      <c r="L257" s="257"/>
      <c r="M257" s="257"/>
      <c r="N257" s="257"/>
      <c r="O257" s="257"/>
      <c r="P257" s="257"/>
      <c r="Q257" s="100">
        <v>210</v>
      </c>
      <c r="R257" s="100">
        <v>48</v>
      </c>
      <c r="S257" s="100">
        <v>308</v>
      </c>
      <c r="T257" s="100">
        <v>173</v>
      </c>
      <c r="U257" s="100">
        <v>4123</v>
      </c>
      <c r="V257" s="100"/>
      <c r="W257" s="100"/>
      <c r="X257" s="100"/>
      <c r="Y257" s="100"/>
      <c r="Z257" s="257"/>
      <c r="AA257" s="257"/>
      <c r="AB257" s="257"/>
      <c r="AC257" s="257"/>
      <c r="AD257" s="257"/>
      <c r="AE257" s="258">
        <v>1.0497454892971103</v>
      </c>
      <c r="AG257" s="441">
        <v>150.58333333333334</v>
      </c>
      <c r="AH257" s="443">
        <v>2003</v>
      </c>
      <c r="AJ257" s="88">
        <v>96</v>
      </c>
      <c r="AM257" s="88">
        <v>0</v>
      </c>
      <c r="AN257" s="88">
        <v>41</v>
      </c>
      <c r="AP257" s="88">
        <v>0</v>
      </c>
      <c r="AQ257" s="399">
        <v>0</v>
      </c>
      <c r="AR257" s="88">
        <v>554.73</v>
      </c>
      <c r="AU257" s="399">
        <v>173</v>
      </c>
      <c r="AV257" s="399">
        <v>1155</v>
      </c>
      <c r="AY257" s="88">
        <v>0.17711666666666667</v>
      </c>
      <c r="AZ257" s="432">
        <v>1622</v>
      </c>
      <c r="BA257" s="440">
        <v>1805</v>
      </c>
      <c r="BC257" s="439">
        <v>0</v>
      </c>
      <c r="BD257" s="88">
        <v>0</v>
      </c>
      <c r="BE257" s="88">
        <v>0</v>
      </c>
      <c r="BF257" s="434">
        <v>-105155.4</v>
      </c>
      <c r="BG257" s="100">
        <v>-95934.74</v>
      </c>
      <c r="BH257" s="257"/>
      <c r="BI257" s="100"/>
      <c r="BJ257" s="257"/>
      <c r="BK257" s="100"/>
      <c r="BL257" s="100"/>
      <c r="BM257" s="100"/>
      <c r="BN257" s="257"/>
      <c r="BO257" s="100"/>
      <c r="BP257" s="100">
        <v>576996</v>
      </c>
      <c r="BQ257" s="100">
        <v>180373</v>
      </c>
      <c r="BR257" s="100">
        <v>473410.92240475229</v>
      </c>
      <c r="BS257" s="100">
        <v>25183.388047769105</v>
      </c>
      <c r="BT257" s="100">
        <v>43857.318722701071</v>
      </c>
      <c r="BU257" s="100">
        <v>222955.8629928093</v>
      </c>
      <c r="BV257" s="100">
        <v>317312.53966913937</v>
      </c>
      <c r="BW257" s="100">
        <v>515527.25299315219</v>
      </c>
      <c r="BX257" s="100">
        <v>144626.51011057411</v>
      </c>
      <c r="BY257" s="100">
        <v>273798.9291505118</v>
      </c>
      <c r="BZ257" s="257"/>
      <c r="CA257" s="100"/>
      <c r="CB257" s="257"/>
      <c r="CC257" s="257"/>
      <c r="CD257" s="257"/>
      <c r="CE257" s="100">
        <v>377557.97528388398</v>
      </c>
      <c r="CF257" s="100">
        <v>198869.4112700792</v>
      </c>
      <c r="CG257" s="100">
        <v>190073.52813930894</v>
      </c>
      <c r="CH257" s="100">
        <v>1138178.2460818195</v>
      </c>
      <c r="CI257" s="257"/>
      <c r="CJ257" s="437">
        <v>2846111.3497847915</v>
      </c>
      <c r="CK257" s="404">
        <v>-386638</v>
      </c>
      <c r="CL257" s="404"/>
      <c r="CM257" s="437">
        <v>35953.584999999992</v>
      </c>
      <c r="CO257" s="434">
        <v>1311189.9940146105</v>
      </c>
      <c r="CP257" s="437">
        <v>337656.72067008395</v>
      </c>
      <c r="CQ257" s="437">
        <v>-439864.92237910995</v>
      </c>
      <c r="CR257" s="437">
        <v>168697.07682740979</v>
      </c>
      <c r="CS257" s="257"/>
    </row>
    <row r="258" spans="1:97" x14ac:dyDescent="0.2">
      <c r="A258" s="100">
        <v>848</v>
      </c>
      <c r="B258" s="100" t="s">
        <v>569</v>
      </c>
      <c r="C258" s="100">
        <v>4160</v>
      </c>
      <c r="D258" s="257"/>
      <c r="E258" s="257"/>
      <c r="F258" s="257"/>
      <c r="G258" s="257"/>
      <c r="H258" s="325"/>
      <c r="I258" s="257"/>
      <c r="J258" s="257"/>
      <c r="K258" s="257"/>
      <c r="L258" s="257"/>
      <c r="M258" s="257"/>
      <c r="N258" s="257"/>
      <c r="O258" s="257"/>
      <c r="P258" s="257"/>
      <c r="Q258" s="100">
        <v>142</v>
      </c>
      <c r="R258" s="100">
        <v>40</v>
      </c>
      <c r="S258" s="100">
        <v>257</v>
      </c>
      <c r="T258" s="100">
        <v>122</v>
      </c>
      <c r="U258" s="100">
        <v>3599</v>
      </c>
      <c r="V258" s="100"/>
      <c r="W258" s="100"/>
      <c r="X258" s="100"/>
      <c r="Y258" s="100"/>
      <c r="Z258" s="257"/>
      <c r="AA258" s="257"/>
      <c r="AB258" s="257"/>
      <c r="AC258" s="257"/>
      <c r="AD258" s="257"/>
      <c r="AE258" s="258">
        <v>0.71397515671782563</v>
      </c>
      <c r="AG258" s="441">
        <v>258.83333333333331</v>
      </c>
      <c r="AH258" s="443">
        <v>1749</v>
      </c>
      <c r="AJ258" s="88">
        <v>222</v>
      </c>
      <c r="AM258" s="88">
        <v>0</v>
      </c>
      <c r="AN258" s="88">
        <v>9</v>
      </c>
      <c r="AP258" s="88">
        <v>0</v>
      </c>
      <c r="AQ258" s="399">
        <v>0</v>
      </c>
      <c r="AR258" s="88">
        <v>837.82</v>
      </c>
      <c r="AU258" s="399">
        <v>153</v>
      </c>
      <c r="AV258" s="399">
        <v>1055</v>
      </c>
      <c r="AY258" s="88">
        <v>0.92721666666666658</v>
      </c>
      <c r="AZ258" s="432">
        <v>1212</v>
      </c>
      <c r="BA258" s="440">
        <v>1453</v>
      </c>
      <c r="BC258" s="439">
        <v>0</v>
      </c>
      <c r="BD258" s="88">
        <v>0</v>
      </c>
      <c r="BE258" s="88">
        <v>1</v>
      </c>
      <c r="BF258" s="434">
        <v>-110035.25</v>
      </c>
      <c r="BG258" s="100">
        <v>-82737.47</v>
      </c>
      <c r="BH258" s="257"/>
      <c r="BI258" s="100"/>
      <c r="BJ258" s="257"/>
      <c r="BK258" s="100"/>
      <c r="BL258" s="100"/>
      <c r="BM258" s="100"/>
      <c r="BN258" s="257"/>
      <c r="BO258" s="100"/>
      <c r="BP258" s="100">
        <v>488924</v>
      </c>
      <c r="BQ258" s="100">
        <v>151458</v>
      </c>
      <c r="BR258" s="100">
        <v>407823.27488089685</v>
      </c>
      <c r="BS258" s="100">
        <v>23600.248029461156</v>
      </c>
      <c r="BT258" s="100">
        <v>70179.897376886685</v>
      </c>
      <c r="BU258" s="100">
        <v>178361.87821368751</v>
      </c>
      <c r="BV258" s="100">
        <v>258633.18425387493</v>
      </c>
      <c r="BW258" s="100">
        <v>426043.25547438674</v>
      </c>
      <c r="BX258" s="100">
        <v>124023.69196412733</v>
      </c>
      <c r="BY258" s="100">
        <v>230735.16298174483</v>
      </c>
      <c r="BZ258" s="257"/>
      <c r="CA258" s="100"/>
      <c r="CB258" s="257"/>
      <c r="CC258" s="257"/>
      <c r="CD258" s="257"/>
      <c r="CE258" s="100">
        <v>316051.99236465659</v>
      </c>
      <c r="CF258" s="100">
        <v>164166.54059831458</v>
      </c>
      <c r="CG258" s="100">
        <v>160604.88814193234</v>
      </c>
      <c r="CH258" s="100">
        <v>976850.07326114131</v>
      </c>
      <c r="CI258" s="257"/>
      <c r="CJ258" s="437">
        <v>2556266.1640898176</v>
      </c>
      <c r="CK258" s="404">
        <v>607337</v>
      </c>
      <c r="CL258" s="404"/>
      <c r="CM258" s="437">
        <v>-1566.4425000000047</v>
      </c>
      <c r="CO258" s="434">
        <v>37651.562379231356</v>
      </c>
      <c r="CP258" s="437">
        <v>142865.37758447084</v>
      </c>
      <c r="CQ258" s="437">
        <v>-376355.01380030799</v>
      </c>
      <c r="CR258" s="437">
        <v>144339.74487906721</v>
      </c>
      <c r="CS258" s="257"/>
    </row>
    <row r="259" spans="1:97" x14ac:dyDescent="0.2">
      <c r="A259" s="100">
        <v>849</v>
      </c>
      <c r="B259" s="100" t="s">
        <v>570</v>
      </c>
      <c r="C259" s="100">
        <v>2903</v>
      </c>
      <c r="D259" s="257"/>
      <c r="E259" s="257"/>
      <c r="F259" s="257"/>
      <c r="G259" s="257"/>
      <c r="H259" s="325"/>
      <c r="I259" s="257"/>
      <c r="J259" s="257"/>
      <c r="K259" s="257"/>
      <c r="L259" s="257"/>
      <c r="M259" s="257"/>
      <c r="N259" s="257"/>
      <c r="O259" s="257"/>
      <c r="P259" s="257"/>
      <c r="Q259" s="100">
        <v>153</v>
      </c>
      <c r="R259" s="100">
        <v>32</v>
      </c>
      <c r="S259" s="100">
        <v>244</v>
      </c>
      <c r="T259" s="100">
        <v>135</v>
      </c>
      <c r="U259" s="100">
        <v>2339</v>
      </c>
      <c r="V259" s="100"/>
      <c r="W259" s="100"/>
      <c r="X259" s="100"/>
      <c r="Y259" s="100"/>
      <c r="Z259" s="257"/>
      <c r="AA259" s="257"/>
      <c r="AB259" s="257"/>
      <c r="AC259" s="257"/>
      <c r="AD259" s="257"/>
      <c r="AE259" s="258">
        <v>0.84610521662181415</v>
      </c>
      <c r="AG259" s="441">
        <v>73.416666666666671</v>
      </c>
      <c r="AH259" s="443">
        <v>1190</v>
      </c>
      <c r="AJ259" s="88">
        <v>57</v>
      </c>
      <c r="AM259" s="88">
        <v>0</v>
      </c>
      <c r="AN259" s="88">
        <v>5</v>
      </c>
      <c r="AP259" s="88">
        <v>0</v>
      </c>
      <c r="AQ259" s="399">
        <v>0</v>
      </c>
      <c r="AR259" s="88">
        <v>609.16</v>
      </c>
      <c r="AU259" s="399">
        <v>92</v>
      </c>
      <c r="AV259" s="399">
        <v>711</v>
      </c>
      <c r="AY259" s="88">
        <v>0.86536666666666673</v>
      </c>
      <c r="AZ259" s="432">
        <v>1010</v>
      </c>
      <c r="BA259" s="440">
        <v>1068</v>
      </c>
      <c r="BC259" s="439">
        <v>0</v>
      </c>
      <c r="BD259" s="88">
        <v>0</v>
      </c>
      <c r="BE259" s="88">
        <v>0</v>
      </c>
      <c r="BF259" s="434">
        <v>-78475.054999999993</v>
      </c>
      <c r="BG259" s="100">
        <v>-56976.86</v>
      </c>
      <c r="BH259" s="257"/>
      <c r="BI259" s="100"/>
      <c r="BJ259" s="257"/>
      <c r="BK259" s="100"/>
      <c r="BL259" s="100"/>
      <c r="BM259" s="100"/>
      <c r="BN259" s="257"/>
      <c r="BO259" s="100"/>
      <c r="BP259" s="100">
        <v>314226</v>
      </c>
      <c r="BQ259" s="100">
        <v>100168</v>
      </c>
      <c r="BR259" s="100">
        <v>257451.31468654651</v>
      </c>
      <c r="BS259" s="100">
        <v>12554.810613471816</v>
      </c>
      <c r="BT259" s="100">
        <v>41698.335300340557</v>
      </c>
      <c r="BU259" s="100">
        <v>129523.2545463595</v>
      </c>
      <c r="BV259" s="100">
        <v>173125.70093132294</v>
      </c>
      <c r="BW259" s="100">
        <v>339131.47494841396</v>
      </c>
      <c r="BX259" s="100">
        <v>83990.13880289915</v>
      </c>
      <c r="BY259" s="100">
        <v>153250.83389795406</v>
      </c>
      <c r="BZ259" s="257"/>
      <c r="CA259" s="100"/>
      <c r="CB259" s="257"/>
      <c r="CC259" s="257"/>
      <c r="CD259" s="257"/>
      <c r="CE259" s="100">
        <v>233364.93913772432</v>
      </c>
      <c r="CF259" s="100">
        <v>118854.40025056378</v>
      </c>
      <c r="CG259" s="100">
        <v>114035.08789432005</v>
      </c>
      <c r="CH259" s="100">
        <v>697004.74121979531</v>
      </c>
      <c r="CI259" s="257"/>
      <c r="CJ259" s="437">
        <v>1619605.710605596</v>
      </c>
      <c r="CK259" s="404">
        <v>211050</v>
      </c>
      <c r="CL259" s="404"/>
      <c r="CM259" s="437">
        <v>276141.43500000006</v>
      </c>
      <c r="CO259" s="434">
        <v>699056.30052997847</v>
      </c>
      <c r="CP259" s="437">
        <v>131131.26064495582</v>
      </c>
      <c r="CQ259" s="437">
        <v>-262634.28006305144</v>
      </c>
      <c r="CR259" s="437">
        <v>100725.54792882984</v>
      </c>
      <c r="CS259" s="257"/>
    </row>
    <row r="260" spans="1:97" x14ac:dyDescent="0.2">
      <c r="A260" s="100">
        <v>850</v>
      </c>
      <c r="B260" s="100" t="s">
        <v>571</v>
      </c>
      <c r="C260" s="100">
        <v>2407</v>
      </c>
      <c r="D260" s="257"/>
      <c r="E260" s="257"/>
      <c r="F260" s="257"/>
      <c r="G260" s="257"/>
      <c r="H260" s="325"/>
      <c r="I260" s="257"/>
      <c r="J260" s="257"/>
      <c r="K260" s="257"/>
      <c r="L260" s="257"/>
      <c r="M260" s="257"/>
      <c r="N260" s="257"/>
      <c r="O260" s="257"/>
      <c r="P260" s="257"/>
      <c r="Q260" s="100">
        <v>123</v>
      </c>
      <c r="R260" s="100">
        <v>23</v>
      </c>
      <c r="S260" s="100">
        <v>205</v>
      </c>
      <c r="T260" s="100">
        <v>99</v>
      </c>
      <c r="U260" s="100">
        <v>1957</v>
      </c>
      <c r="V260" s="100"/>
      <c r="W260" s="100"/>
      <c r="X260" s="100"/>
      <c r="Y260" s="100"/>
      <c r="Z260" s="257"/>
      <c r="AA260" s="257"/>
      <c r="AB260" s="257"/>
      <c r="AC260" s="257"/>
      <c r="AD260" s="257"/>
      <c r="AE260" s="258">
        <v>0.64971166495108978</v>
      </c>
      <c r="AG260" s="441">
        <v>81.5</v>
      </c>
      <c r="AH260" s="443">
        <v>1005</v>
      </c>
      <c r="AJ260" s="88">
        <v>32</v>
      </c>
      <c r="AM260" s="88">
        <v>0</v>
      </c>
      <c r="AN260" s="88">
        <v>1</v>
      </c>
      <c r="AP260" s="88">
        <v>0</v>
      </c>
      <c r="AQ260" s="399">
        <v>0</v>
      </c>
      <c r="AR260" s="88">
        <v>361.46</v>
      </c>
      <c r="AU260" s="399">
        <v>68</v>
      </c>
      <c r="AV260" s="399">
        <v>698</v>
      </c>
      <c r="AY260" s="88">
        <v>0.21193333333333333</v>
      </c>
      <c r="AZ260" s="432">
        <v>550</v>
      </c>
      <c r="BA260" s="440">
        <v>901</v>
      </c>
      <c r="BC260" s="439">
        <v>0.27</v>
      </c>
      <c r="BD260" s="88">
        <v>0</v>
      </c>
      <c r="BE260" s="88">
        <v>0</v>
      </c>
      <c r="BF260" s="434">
        <v>-49368.525000000001</v>
      </c>
      <c r="BG260" s="100">
        <v>-46123.21</v>
      </c>
      <c r="BH260" s="257"/>
      <c r="BI260" s="100"/>
      <c r="BJ260" s="257"/>
      <c r="BK260" s="100"/>
      <c r="BL260" s="100"/>
      <c r="BM260" s="100"/>
      <c r="BN260" s="257"/>
      <c r="BO260" s="100"/>
      <c r="BP260" s="100">
        <v>217595</v>
      </c>
      <c r="BQ260" s="100">
        <v>70121</v>
      </c>
      <c r="BR260" s="100">
        <v>157566.65010776315</v>
      </c>
      <c r="BS260" s="100">
        <v>6018.4220331636425</v>
      </c>
      <c r="BT260" s="100">
        <v>16014.904402014883</v>
      </c>
      <c r="BU260" s="100">
        <v>71238.978805835344</v>
      </c>
      <c r="BV260" s="100">
        <v>131906.43722749897</v>
      </c>
      <c r="BW260" s="100">
        <v>199318.96465986373</v>
      </c>
      <c r="BX260" s="100">
        <v>52076.235371586336</v>
      </c>
      <c r="BY260" s="100">
        <v>106125.74955900428</v>
      </c>
      <c r="BZ260" s="257"/>
      <c r="CA260" s="100"/>
      <c r="CB260" s="257"/>
      <c r="CC260" s="257"/>
      <c r="CD260" s="257"/>
      <c r="CE260" s="100">
        <v>123292.86229175363</v>
      </c>
      <c r="CF260" s="100">
        <v>80249.693188657402</v>
      </c>
      <c r="CG260" s="100">
        <v>77851.214470979801</v>
      </c>
      <c r="CH260" s="100">
        <v>403611.06843806518</v>
      </c>
      <c r="CI260" s="257"/>
      <c r="CJ260" s="437">
        <v>912818.68791179231</v>
      </c>
      <c r="CK260" s="404">
        <v>-515128</v>
      </c>
      <c r="CL260" s="404"/>
      <c r="CM260" s="437">
        <v>219824.09750000003</v>
      </c>
      <c r="CO260" s="434">
        <v>253877.37413404483</v>
      </c>
      <c r="CP260" s="437">
        <v>227410.78904301883</v>
      </c>
      <c r="CQ260" s="437">
        <v>-217761.18226378397</v>
      </c>
      <c r="CR260" s="437">
        <v>83515.809116325661</v>
      </c>
      <c r="CS260" s="257"/>
    </row>
    <row r="261" spans="1:97" x14ac:dyDescent="0.2">
      <c r="A261" s="100">
        <v>851</v>
      </c>
      <c r="B261" s="100" t="s">
        <v>572</v>
      </c>
      <c r="C261" s="100">
        <v>21227</v>
      </c>
      <c r="D261" s="257"/>
      <c r="E261" s="257"/>
      <c r="F261" s="257"/>
      <c r="G261" s="257"/>
      <c r="H261" s="325"/>
      <c r="I261" s="257"/>
      <c r="J261" s="257"/>
      <c r="K261" s="257"/>
      <c r="L261" s="257"/>
      <c r="M261" s="257"/>
      <c r="N261" s="257"/>
      <c r="O261" s="257"/>
      <c r="P261" s="257"/>
      <c r="Q261" s="100">
        <v>1152</v>
      </c>
      <c r="R261" s="100">
        <v>225</v>
      </c>
      <c r="S261" s="100">
        <v>1555</v>
      </c>
      <c r="T261" s="100">
        <v>822</v>
      </c>
      <c r="U261" s="100">
        <v>17473</v>
      </c>
      <c r="V261" s="100"/>
      <c r="W261" s="100"/>
      <c r="X261" s="100"/>
      <c r="Y261" s="100"/>
      <c r="Z261" s="257"/>
      <c r="AA261" s="257"/>
      <c r="AB261" s="257"/>
      <c r="AC261" s="257"/>
      <c r="AD261" s="257"/>
      <c r="AE261" s="258">
        <v>0.81286847641508142</v>
      </c>
      <c r="AG261" s="441">
        <v>841.66666666666663</v>
      </c>
      <c r="AH261" s="443">
        <v>9679</v>
      </c>
      <c r="AJ261" s="88">
        <v>633</v>
      </c>
      <c r="AM261" s="88">
        <v>0</v>
      </c>
      <c r="AN261" s="88">
        <v>104</v>
      </c>
      <c r="AP261" s="88">
        <v>0</v>
      </c>
      <c r="AQ261" s="399">
        <v>0</v>
      </c>
      <c r="AR261" s="88">
        <v>1188.71</v>
      </c>
      <c r="AU261" s="399">
        <v>691</v>
      </c>
      <c r="AV261" s="399">
        <v>6145</v>
      </c>
      <c r="AY261" s="88">
        <v>0.14405000000000001</v>
      </c>
      <c r="AZ261" s="432">
        <v>8704</v>
      </c>
      <c r="BA261" s="440">
        <v>8563</v>
      </c>
      <c r="BC261" s="439">
        <v>0</v>
      </c>
      <c r="BD261" s="88">
        <v>0</v>
      </c>
      <c r="BE261" s="88">
        <v>13</v>
      </c>
      <c r="BF261" s="434">
        <v>-849553.87450000003</v>
      </c>
      <c r="BG261" s="100">
        <v>-412381.07</v>
      </c>
      <c r="BH261" s="257"/>
      <c r="BI261" s="100"/>
      <c r="BJ261" s="257"/>
      <c r="BK261" s="100"/>
      <c r="BL261" s="100"/>
      <c r="BM261" s="100"/>
      <c r="BN261" s="257"/>
      <c r="BO261" s="100"/>
      <c r="BP261" s="100">
        <v>1689783</v>
      </c>
      <c r="BQ261" s="100">
        <v>512361</v>
      </c>
      <c r="BR261" s="100">
        <v>1252194.124183459</v>
      </c>
      <c r="BS261" s="100">
        <v>40707.485807017249</v>
      </c>
      <c r="BT261" s="100">
        <v>63350.426891838411</v>
      </c>
      <c r="BU261" s="100">
        <v>564846.76750505914</v>
      </c>
      <c r="BV261" s="100">
        <v>986831.87846677739</v>
      </c>
      <c r="BW261" s="100">
        <v>1548331.791137923</v>
      </c>
      <c r="BX261" s="100">
        <v>440767.03542465175</v>
      </c>
      <c r="BY261" s="100">
        <v>832994.80378773704</v>
      </c>
      <c r="BZ261" s="257"/>
      <c r="CA261" s="100"/>
      <c r="CB261" s="257"/>
      <c r="CC261" s="257"/>
      <c r="CD261" s="257"/>
      <c r="CE261" s="100">
        <v>1076653.2994578972</v>
      </c>
      <c r="CF261" s="100">
        <v>647992.94354103843</v>
      </c>
      <c r="CG261" s="100">
        <v>645172.50268318271</v>
      </c>
      <c r="CH261" s="100">
        <v>3273624.5307257581</v>
      </c>
      <c r="CI261" s="257"/>
      <c r="CJ261" s="437">
        <v>6002030.3831444001</v>
      </c>
      <c r="CK261" s="404">
        <v>-461896</v>
      </c>
      <c r="CL261" s="404"/>
      <c r="CM261" s="437">
        <v>-119825.39200000002</v>
      </c>
      <c r="CO261" s="434">
        <v>-3439851.7611409817</v>
      </c>
      <c r="CP261" s="437">
        <v>-2354537.301723551</v>
      </c>
      <c r="CQ261" s="437">
        <v>-1920405.7398892157</v>
      </c>
      <c r="CR261" s="437">
        <v>736514.36647787492</v>
      </c>
      <c r="CS261" s="257"/>
    </row>
    <row r="262" spans="1:97" x14ac:dyDescent="0.2">
      <c r="A262" s="100">
        <v>853</v>
      </c>
      <c r="B262" s="100" t="s">
        <v>573</v>
      </c>
      <c r="C262" s="100">
        <v>197900</v>
      </c>
      <c r="D262" s="257"/>
      <c r="E262" s="257"/>
      <c r="F262" s="257"/>
      <c r="G262" s="257"/>
      <c r="H262" s="325"/>
      <c r="I262" s="257"/>
      <c r="J262" s="257"/>
      <c r="K262" s="257"/>
      <c r="L262" s="257"/>
      <c r="M262" s="257"/>
      <c r="N262" s="257"/>
      <c r="O262" s="257"/>
      <c r="P262" s="257"/>
      <c r="Q262" s="100">
        <v>9439</v>
      </c>
      <c r="R262" s="100">
        <v>1641</v>
      </c>
      <c r="S262" s="100">
        <v>10104</v>
      </c>
      <c r="T262" s="100">
        <v>4897</v>
      </c>
      <c r="U262" s="100">
        <v>171819</v>
      </c>
      <c r="V262" s="100"/>
      <c r="W262" s="100"/>
      <c r="X262" s="100"/>
      <c r="Y262" s="100"/>
      <c r="Z262" s="257"/>
      <c r="AA262" s="257"/>
      <c r="AB262" s="257"/>
      <c r="AC262" s="257"/>
      <c r="AD262" s="257"/>
      <c r="AE262" s="258">
        <v>1.0177106252962991</v>
      </c>
      <c r="AG262" s="441">
        <v>11825.083333333334</v>
      </c>
      <c r="AH262" s="443">
        <v>96049</v>
      </c>
      <c r="AJ262" s="88">
        <v>27307</v>
      </c>
      <c r="AM262" s="88">
        <v>1</v>
      </c>
      <c r="AN262" s="88">
        <v>10854</v>
      </c>
      <c r="AP262" s="88">
        <v>0</v>
      </c>
      <c r="AQ262" s="399">
        <v>0</v>
      </c>
      <c r="AR262" s="88">
        <v>245.63</v>
      </c>
      <c r="AU262" s="399">
        <v>10177</v>
      </c>
      <c r="AV262" s="399">
        <v>62421</v>
      </c>
      <c r="AY262" s="88">
        <v>0</v>
      </c>
      <c r="AZ262" s="432">
        <v>104982</v>
      </c>
      <c r="BA262" s="440">
        <v>85122</v>
      </c>
      <c r="BC262" s="439">
        <v>0.85</v>
      </c>
      <c r="BD262" s="88">
        <v>0</v>
      </c>
      <c r="BE262" s="88">
        <v>13</v>
      </c>
      <c r="BF262" s="434">
        <v>-14246654.4089</v>
      </c>
      <c r="BG262" s="100">
        <v>-3734251.1100000003</v>
      </c>
      <c r="BH262" s="257"/>
      <c r="BI262" s="100"/>
      <c r="BJ262" s="257"/>
      <c r="BK262" s="100"/>
      <c r="BL262" s="100"/>
      <c r="BM262" s="100"/>
      <c r="BN262" s="257"/>
      <c r="BO262" s="100"/>
      <c r="BP262" s="100">
        <v>12023956</v>
      </c>
      <c r="BQ262" s="100">
        <v>4740530</v>
      </c>
      <c r="BR262" s="100">
        <v>11427222.350982357</v>
      </c>
      <c r="BS262" s="100">
        <v>564913.72354156873</v>
      </c>
      <c r="BT262" s="100">
        <v>366930.12714489934</v>
      </c>
      <c r="BU262" s="100">
        <v>4587595.6474295668</v>
      </c>
      <c r="BV262" s="100">
        <v>9653934.2228655722</v>
      </c>
      <c r="BW262" s="100">
        <v>13341231.3378736</v>
      </c>
      <c r="BX262" s="100">
        <v>5854496.7159642829</v>
      </c>
      <c r="BY262" s="100">
        <v>9081982.0337993596</v>
      </c>
      <c r="BZ262" s="257"/>
      <c r="CA262" s="100"/>
      <c r="CB262" s="257"/>
      <c r="CC262" s="257"/>
      <c r="CD262" s="257"/>
      <c r="CE262" s="100">
        <v>11413161.413686223</v>
      </c>
      <c r="CF262" s="100">
        <v>7215064.8567572953</v>
      </c>
      <c r="CG262" s="100">
        <v>7295948.5618213667</v>
      </c>
      <c r="CH262" s="100">
        <v>31715140.840591531</v>
      </c>
      <c r="CI262" s="257"/>
      <c r="CJ262" s="437">
        <v>-3011722.7297873786</v>
      </c>
      <c r="CK262" s="404">
        <v>44612378</v>
      </c>
      <c r="CL262" s="404"/>
      <c r="CM262" s="437">
        <v>-2704801.6261999998</v>
      </c>
      <c r="CO262" s="434">
        <v>-21182231.453536332</v>
      </c>
      <c r="CP262" s="437">
        <v>97304.743471607842</v>
      </c>
      <c r="CQ262" s="437">
        <v>-17904004.142086767</v>
      </c>
      <c r="CR262" s="437">
        <v>6866546.9979729326</v>
      </c>
      <c r="CS262" s="257"/>
    </row>
    <row r="263" spans="1:97" x14ac:dyDescent="0.2">
      <c r="A263" s="100">
        <v>857</v>
      </c>
      <c r="B263" s="100" t="s">
        <v>575</v>
      </c>
      <c r="C263" s="100">
        <v>2394</v>
      </c>
      <c r="D263" s="257"/>
      <c r="E263" s="257"/>
      <c r="F263" s="257"/>
      <c r="G263" s="257"/>
      <c r="H263" s="325"/>
      <c r="I263" s="257"/>
      <c r="J263" s="257"/>
      <c r="K263" s="257"/>
      <c r="L263" s="257"/>
      <c r="M263" s="257"/>
      <c r="N263" s="257"/>
      <c r="O263" s="257"/>
      <c r="P263" s="257"/>
      <c r="Q263" s="100">
        <v>65</v>
      </c>
      <c r="R263" s="100">
        <v>12</v>
      </c>
      <c r="S263" s="100">
        <v>112</v>
      </c>
      <c r="T263" s="100">
        <v>64</v>
      </c>
      <c r="U263" s="100">
        <v>2141</v>
      </c>
      <c r="V263" s="100"/>
      <c r="W263" s="100"/>
      <c r="X263" s="100"/>
      <c r="Y263" s="100"/>
      <c r="Z263" s="257"/>
      <c r="AA263" s="257"/>
      <c r="AB263" s="257"/>
      <c r="AC263" s="257"/>
      <c r="AD263" s="257"/>
      <c r="AE263" s="258">
        <v>0.85795343104640387</v>
      </c>
      <c r="AG263" s="441">
        <v>105</v>
      </c>
      <c r="AH263" s="443">
        <v>899</v>
      </c>
      <c r="AJ263" s="88">
        <v>52</v>
      </c>
      <c r="AM263" s="88">
        <v>0</v>
      </c>
      <c r="AN263" s="88">
        <v>3</v>
      </c>
      <c r="AP263" s="88">
        <v>0</v>
      </c>
      <c r="AQ263" s="399">
        <v>0</v>
      </c>
      <c r="AR263" s="88">
        <v>543.17999999999995</v>
      </c>
      <c r="AU263" s="399">
        <v>97</v>
      </c>
      <c r="AV263" s="399">
        <v>555</v>
      </c>
      <c r="AY263" s="88">
        <v>1.1848333333333332</v>
      </c>
      <c r="AZ263" s="432">
        <v>606</v>
      </c>
      <c r="BA263" s="440">
        <v>758</v>
      </c>
      <c r="BC263" s="439">
        <v>0</v>
      </c>
      <c r="BD263" s="88">
        <v>0</v>
      </c>
      <c r="BE263" s="88">
        <v>1</v>
      </c>
      <c r="BF263" s="434">
        <v>-93487.735000000001</v>
      </c>
      <c r="BG263" s="100">
        <v>-46737.93</v>
      </c>
      <c r="BH263" s="257"/>
      <c r="BI263" s="100"/>
      <c r="BJ263" s="257"/>
      <c r="BK263" s="100"/>
      <c r="BL263" s="100"/>
      <c r="BM263" s="100"/>
      <c r="BN263" s="257"/>
      <c r="BO263" s="100"/>
      <c r="BP263" s="100">
        <v>300356</v>
      </c>
      <c r="BQ263" s="100">
        <v>87021</v>
      </c>
      <c r="BR263" s="100">
        <v>228750.0569633556</v>
      </c>
      <c r="BS263" s="100">
        <v>10969.57630153163</v>
      </c>
      <c r="BT263" s="100">
        <v>17385.613345586495</v>
      </c>
      <c r="BU263" s="100">
        <v>111786.84419278541</v>
      </c>
      <c r="BV263" s="100">
        <v>148155.05428529167</v>
      </c>
      <c r="BW263" s="100">
        <v>234119.64364674693</v>
      </c>
      <c r="BX263" s="100">
        <v>62099.270575895694</v>
      </c>
      <c r="BY263" s="100">
        <v>126183.83449558614</v>
      </c>
      <c r="BZ263" s="257"/>
      <c r="CA263" s="100"/>
      <c r="CB263" s="257"/>
      <c r="CC263" s="257"/>
      <c r="CD263" s="257"/>
      <c r="CE263" s="100">
        <v>179387.14097000952</v>
      </c>
      <c r="CF263" s="100">
        <v>92668.338216930744</v>
      </c>
      <c r="CG263" s="100">
        <v>82620.528892882954</v>
      </c>
      <c r="CH263" s="100">
        <v>518548.33069202688</v>
      </c>
      <c r="CI263" s="257"/>
      <c r="CJ263" s="437">
        <v>1126098.5572708424</v>
      </c>
      <c r="CK263" s="404">
        <v>186097</v>
      </c>
      <c r="CL263" s="404"/>
      <c r="CM263" s="437">
        <v>767631.41750000021</v>
      </c>
      <c r="CO263" s="434">
        <v>-1022661.4713674095</v>
      </c>
      <c r="CP263" s="437">
        <v>-666436.06470098614</v>
      </c>
      <c r="CQ263" s="437">
        <v>-216585.072845658</v>
      </c>
      <c r="CR263" s="437">
        <v>83064.747413578589</v>
      </c>
      <c r="CS263" s="257"/>
    </row>
    <row r="264" spans="1:97" x14ac:dyDescent="0.2">
      <c r="A264" s="100">
        <v>858</v>
      </c>
      <c r="B264" s="100" t="s">
        <v>576</v>
      </c>
      <c r="C264" s="100">
        <v>40384</v>
      </c>
      <c r="D264" s="257"/>
      <c r="E264" s="257"/>
      <c r="F264" s="257"/>
      <c r="G264" s="257"/>
      <c r="H264" s="325"/>
      <c r="I264" s="257"/>
      <c r="J264" s="257"/>
      <c r="K264" s="257"/>
      <c r="L264" s="257"/>
      <c r="M264" s="257"/>
      <c r="N264" s="257"/>
      <c r="O264" s="257"/>
      <c r="P264" s="257"/>
      <c r="Q264" s="100">
        <v>2330</v>
      </c>
      <c r="R264" s="100">
        <v>448</v>
      </c>
      <c r="S264" s="100">
        <v>3166</v>
      </c>
      <c r="T264" s="100">
        <v>1743</v>
      </c>
      <c r="U264" s="100">
        <v>32697</v>
      </c>
      <c r="V264" s="100"/>
      <c r="W264" s="100"/>
      <c r="X264" s="100"/>
      <c r="Y264" s="100"/>
      <c r="Z264" s="257"/>
      <c r="AA264" s="257"/>
      <c r="AB264" s="257"/>
      <c r="AC264" s="257"/>
      <c r="AD264" s="257"/>
      <c r="AE264" s="258">
        <v>1.0645785204396181</v>
      </c>
      <c r="AG264" s="441">
        <v>1306.6666666666667</v>
      </c>
      <c r="AH264" s="443">
        <v>19703</v>
      </c>
      <c r="AJ264" s="88">
        <v>2913</v>
      </c>
      <c r="AM264" s="88">
        <v>0</v>
      </c>
      <c r="AN264" s="88">
        <v>577</v>
      </c>
      <c r="AP264" s="88">
        <v>0</v>
      </c>
      <c r="AQ264" s="399">
        <v>0</v>
      </c>
      <c r="AR264" s="88">
        <v>219.53</v>
      </c>
      <c r="AU264" s="399">
        <v>2056</v>
      </c>
      <c r="AV264" s="399">
        <v>14112</v>
      </c>
      <c r="AY264" s="88">
        <v>0</v>
      </c>
      <c r="AZ264" s="432">
        <v>14429</v>
      </c>
      <c r="BA264" s="440">
        <v>18998</v>
      </c>
      <c r="BC264" s="439">
        <v>1.52</v>
      </c>
      <c r="BD264" s="88">
        <v>0</v>
      </c>
      <c r="BE264" s="88">
        <v>2</v>
      </c>
      <c r="BF264" s="434">
        <v>-1407513.5181</v>
      </c>
      <c r="BG264" s="100">
        <v>-745021.43</v>
      </c>
      <c r="BH264" s="257"/>
      <c r="BI264" s="100"/>
      <c r="BJ264" s="257"/>
      <c r="BK264" s="100"/>
      <c r="BL264" s="100"/>
      <c r="BM264" s="100"/>
      <c r="BN264" s="257"/>
      <c r="BO264" s="100"/>
      <c r="BP264" s="100">
        <v>2156396</v>
      </c>
      <c r="BQ264" s="100">
        <v>706861</v>
      </c>
      <c r="BR264" s="100">
        <v>1272093.3355424232</v>
      </c>
      <c r="BS264" s="100">
        <v>-2336.5735773642828</v>
      </c>
      <c r="BT264" s="100">
        <v>-229590.69808561419</v>
      </c>
      <c r="BU264" s="100">
        <v>469797.26575049601</v>
      </c>
      <c r="BV264" s="100">
        <v>1509083.9554884597</v>
      </c>
      <c r="BW264" s="100">
        <v>2468625.2045464953</v>
      </c>
      <c r="BX264" s="100">
        <v>720069.40345867618</v>
      </c>
      <c r="BY264" s="100">
        <v>1223552.7957060828</v>
      </c>
      <c r="BZ264" s="257"/>
      <c r="CA264" s="100"/>
      <c r="CB264" s="257"/>
      <c r="CC264" s="257"/>
      <c r="CD264" s="257"/>
      <c r="CE264" s="100">
        <v>1381577.1134986852</v>
      </c>
      <c r="CF264" s="100">
        <v>1050930.9416858195</v>
      </c>
      <c r="CG264" s="100">
        <v>1052341.8109928642</v>
      </c>
      <c r="CH264" s="100">
        <v>4523017.9727779003</v>
      </c>
      <c r="CI264" s="257"/>
      <c r="CJ264" s="437">
        <v>-900341.69438742392</v>
      </c>
      <c r="CK264" s="404">
        <v>-3683263</v>
      </c>
      <c r="CL264" s="404"/>
      <c r="CM264" s="437">
        <v>2345798.3666500007</v>
      </c>
      <c r="CO264" s="434">
        <v>6577390.6436152803</v>
      </c>
      <c r="CP264" s="437">
        <v>2789946.0774370567</v>
      </c>
      <c r="CQ264" s="437">
        <v>-3653538.672430682</v>
      </c>
      <c r="CR264" s="437">
        <v>1401205.8310567909</v>
      </c>
      <c r="CS264" s="257"/>
    </row>
    <row r="265" spans="1:97" x14ac:dyDescent="0.2">
      <c r="A265" s="100">
        <v>859</v>
      </c>
      <c r="B265" s="100" t="s">
        <v>577</v>
      </c>
      <c r="C265" s="100">
        <v>6562</v>
      </c>
      <c r="D265" s="257"/>
      <c r="E265" s="257"/>
      <c r="F265" s="257"/>
      <c r="G265" s="257"/>
      <c r="H265" s="325"/>
      <c r="I265" s="257"/>
      <c r="J265" s="257"/>
      <c r="K265" s="257"/>
      <c r="L265" s="257"/>
      <c r="M265" s="257"/>
      <c r="N265" s="257"/>
      <c r="O265" s="257"/>
      <c r="P265" s="257"/>
      <c r="Q265" s="100">
        <v>607</v>
      </c>
      <c r="R265" s="100">
        <v>121</v>
      </c>
      <c r="S265" s="100">
        <v>894</v>
      </c>
      <c r="T265" s="100">
        <v>460</v>
      </c>
      <c r="U265" s="100">
        <v>4480</v>
      </c>
      <c r="V265" s="100"/>
      <c r="W265" s="100"/>
      <c r="X265" s="100"/>
      <c r="Y265" s="100"/>
      <c r="Z265" s="257"/>
      <c r="AA265" s="257"/>
      <c r="AB265" s="257"/>
      <c r="AC265" s="257"/>
      <c r="AD265" s="257"/>
      <c r="AE265" s="258">
        <v>0.8962215842055129</v>
      </c>
      <c r="AG265" s="441">
        <v>183.91666666666666</v>
      </c>
      <c r="AH265" s="443">
        <v>2829</v>
      </c>
      <c r="AJ265" s="88">
        <v>55</v>
      </c>
      <c r="AM265" s="88">
        <v>0</v>
      </c>
      <c r="AN265" s="88">
        <v>17</v>
      </c>
      <c r="AP265" s="88">
        <v>0</v>
      </c>
      <c r="AQ265" s="399">
        <v>0</v>
      </c>
      <c r="AR265" s="88">
        <v>491.82</v>
      </c>
      <c r="AU265" s="399">
        <v>141</v>
      </c>
      <c r="AV265" s="399">
        <v>1956</v>
      </c>
      <c r="AY265" s="88">
        <v>0</v>
      </c>
      <c r="AZ265" s="432">
        <v>1441</v>
      </c>
      <c r="BA265" s="440">
        <v>2585</v>
      </c>
      <c r="BC265" s="439">
        <v>0</v>
      </c>
      <c r="BD265" s="88">
        <v>0</v>
      </c>
      <c r="BE265" s="88">
        <v>0</v>
      </c>
      <c r="BF265" s="434">
        <v>-97017.09</v>
      </c>
      <c r="BG265" s="100">
        <v>-126843.63</v>
      </c>
      <c r="BH265" s="257"/>
      <c r="BI265" s="100"/>
      <c r="BJ265" s="257"/>
      <c r="BK265" s="100"/>
      <c r="BL265" s="100"/>
      <c r="BM265" s="100"/>
      <c r="BN265" s="257"/>
      <c r="BO265" s="100"/>
      <c r="BP265" s="100">
        <v>489868</v>
      </c>
      <c r="BQ265" s="100">
        <v>141649</v>
      </c>
      <c r="BR265" s="100">
        <v>325883.5747392184</v>
      </c>
      <c r="BS265" s="100">
        <v>7037.6679659602141</v>
      </c>
      <c r="BT265" s="100">
        <v>-6387.8710831327271</v>
      </c>
      <c r="BU265" s="100">
        <v>174419.49186866794</v>
      </c>
      <c r="BV265" s="100">
        <v>324994.10975018487</v>
      </c>
      <c r="BW265" s="100">
        <v>462236.31468592345</v>
      </c>
      <c r="BX265" s="100">
        <v>96271.697368199952</v>
      </c>
      <c r="BY265" s="100">
        <v>248500.20910079058</v>
      </c>
      <c r="BZ265" s="257"/>
      <c r="CA265" s="100"/>
      <c r="CB265" s="257"/>
      <c r="CC265" s="257"/>
      <c r="CD265" s="257"/>
      <c r="CE265" s="100">
        <v>336167.96369529911</v>
      </c>
      <c r="CF265" s="100">
        <v>210277.09483203545</v>
      </c>
      <c r="CG265" s="100">
        <v>203899.70192123498</v>
      </c>
      <c r="CH265" s="100">
        <v>943994.37421462615</v>
      </c>
      <c r="CI265" s="257"/>
      <c r="CJ265" s="437">
        <v>4622365.8680947442</v>
      </c>
      <c r="CK265" s="404">
        <v>-1027920</v>
      </c>
      <c r="CL265" s="404"/>
      <c r="CM265" s="437">
        <v>43472.50900000002</v>
      </c>
      <c r="CO265" s="434">
        <v>-1587516.0981961247</v>
      </c>
      <c r="CP265" s="437">
        <v>-1742905.1000900699</v>
      </c>
      <c r="CQ265" s="437">
        <v>-593663.84628788964</v>
      </c>
      <c r="CR265" s="437">
        <v>227682.06872510555</v>
      </c>
      <c r="CS265" s="257"/>
    </row>
    <row r="266" spans="1:97" x14ac:dyDescent="0.2">
      <c r="A266" s="100">
        <v>886</v>
      </c>
      <c r="B266" s="100" t="s">
        <v>578</v>
      </c>
      <c r="C266" s="100">
        <v>12599</v>
      </c>
      <c r="D266" s="257"/>
      <c r="E266" s="257"/>
      <c r="F266" s="257"/>
      <c r="G266" s="257"/>
      <c r="H266" s="325"/>
      <c r="I266" s="257"/>
      <c r="J266" s="257"/>
      <c r="K266" s="257"/>
      <c r="L266" s="257"/>
      <c r="M266" s="257"/>
      <c r="N266" s="257"/>
      <c r="O266" s="257"/>
      <c r="P266" s="257"/>
      <c r="Q266" s="100">
        <v>643</v>
      </c>
      <c r="R266" s="100">
        <v>137</v>
      </c>
      <c r="S266" s="100">
        <v>942</v>
      </c>
      <c r="T266" s="100">
        <v>490</v>
      </c>
      <c r="U266" s="100">
        <v>10387</v>
      </c>
      <c r="V266" s="100"/>
      <c r="W266" s="100"/>
      <c r="X266" s="100"/>
      <c r="Y266" s="100"/>
      <c r="Z266" s="257"/>
      <c r="AA266" s="257"/>
      <c r="AB266" s="257"/>
      <c r="AC266" s="257"/>
      <c r="AD266" s="257"/>
      <c r="AE266" s="258">
        <v>0.95984253922197615</v>
      </c>
      <c r="AG266" s="441">
        <v>423.16666666666669</v>
      </c>
      <c r="AH266" s="443">
        <v>5714</v>
      </c>
      <c r="AJ266" s="88">
        <v>276</v>
      </c>
      <c r="AM266" s="88">
        <v>0</v>
      </c>
      <c r="AN266" s="88">
        <v>37</v>
      </c>
      <c r="AP266" s="88">
        <v>0</v>
      </c>
      <c r="AQ266" s="399">
        <v>0</v>
      </c>
      <c r="AR266" s="88">
        <v>400.82</v>
      </c>
      <c r="AU266" s="399">
        <v>333</v>
      </c>
      <c r="AV266" s="399">
        <v>3778</v>
      </c>
      <c r="AY266" s="88">
        <v>0</v>
      </c>
      <c r="AZ266" s="432">
        <v>3889</v>
      </c>
      <c r="BA266" s="440">
        <v>5224</v>
      </c>
      <c r="BC266" s="439">
        <v>0</v>
      </c>
      <c r="BD266" s="88">
        <v>0</v>
      </c>
      <c r="BE266" s="88">
        <v>1</v>
      </c>
      <c r="BF266" s="434">
        <v>-433815.60249999998</v>
      </c>
      <c r="BG266" s="100">
        <v>-244639.35</v>
      </c>
      <c r="BH266" s="257"/>
      <c r="BI266" s="100"/>
      <c r="BJ266" s="257"/>
      <c r="BK266" s="100"/>
      <c r="BL266" s="100"/>
      <c r="BM266" s="100"/>
      <c r="BN266" s="257"/>
      <c r="BO266" s="100"/>
      <c r="BP266" s="100">
        <v>922593</v>
      </c>
      <c r="BQ266" s="100">
        <v>300996</v>
      </c>
      <c r="BR266" s="100">
        <v>649118.29121900233</v>
      </c>
      <c r="BS266" s="100">
        <v>22538.759750654543</v>
      </c>
      <c r="BT266" s="100">
        <v>21797.099511807362</v>
      </c>
      <c r="BU266" s="100">
        <v>348972.57152508094</v>
      </c>
      <c r="BV266" s="100">
        <v>597647.84598076215</v>
      </c>
      <c r="BW266" s="100">
        <v>1026851.5923281434</v>
      </c>
      <c r="BX266" s="100">
        <v>254610.18774152501</v>
      </c>
      <c r="BY266" s="100">
        <v>505369.26222574525</v>
      </c>
      <c r="BZ266" s="257"/>
      <c r="CA266" s="100"/>
      <c r="CB266" s="257"/>
      <c r="CC266" s="257"/>
      <c r="CD266" s="257"/>
      <c r="CE266" s="100">
        <v>649038.97053195955</v>
      </c>
      <c r="CF266" s="100">
        <v>398335.93234782724</v>
      </c>
      <c r="CG266" s="100">
        <v>383750.45532769326</v>
      </c>
      <c r="CH266" s="100">
        <v>1907243.906523976</v>
      </c>
      <c r="CI266" s="257"/>
      <c r="CJ266" s="437">
        <v>3618175.395542888</v>
      </c>
      <c r="CK266" s="404">
        <v>-233527</v>
      </c>
      <c r="CL266" s="404"/>
      <c r="CM266" s="437">
        <v>28518.204599999823</v>
      </c>
      <c r="CO266" s="434">
        <v>-568353.06672287127</v>
      </c>
      <c r="CP266" s="437">
        <v>-713009.78457298933</v>
      </c>
      <c r="CQ266" s="437">
        <v>-1139830.9660745384</v>
      </c>
      <c r="CR266" s="437">
        <v>437148.18407004036</v>
      </c>
      <c r="CS266" s="257"/>
    </row>
    <row r="267" spans="1:97" x14ac:dyDescent="0.2">
      <c r="A267" s="100">
        <v>887</v>
      </c>
      <c r="B267" s="100" t="s">
        <v>579</v>
      </c>
      <c r="C267" s="100">
        <v>4569</v>
      </c>
      <c r="D267" s="257"/>
      <c r="E267" s="257"/>
      <c r="F267" s="257"/>
      <c r="G267" s="257"/>
      <c r="H267" s="325"/>
      <c r="I267" s="257"/>
      <c r="J267" s="257"/>
      <c r="K267" s="257"/>
      <c r="L267" s="257"/>
      <c r="M267" s="257"/>
      <c r="N267" s="257"/>
      <c r="O267" s="257"/>
      <c r="P267" s="257"/>
      <c r="Q267" s="100">
        <v>178</v>
      </c>
      <c r="R267" s="100">
        <v>39</v>
      </c>
      <c r="S267" s="100">
        <v>265</v>
      </c>
      <c r="T267" s="100">
        <v>137</v>
      </c>
      <c r="U267" s="100">
        <v>3950</v>
      </c>
      <c r="V267" s="100"/>
      <c r="W267" s="100"/>
      <c r="X267" s="100"/>
      <c r="Y267" s="100"/>
      <c r="Z267" s="257"/>
      <c r="AA267" s="257"/>
      <c r="AB267" s="257"/>
      <c r="AC267" s="257"/>
      <c r="AD267" s="257"/>
      <c r="AE267" s="258">
        <v>0.87537641085007289</v>
      </c>
      <c r="AG267" s="441">
        <v>183.08333333333334</v>
      </c>
      <c r="AH267" s="443">
        <v>1927</v>
      </c>
      <c r="AJ267" s="88">
        <v>115</v>
      </c>
      <c r="AM267" s="88">
        <v>0</v>
      </c>
      <c r="AN267" s="88">
        <v>12</v>
      </c>
      <c r="AP267" s="88">
        <v>0</v>
      </c>
      <c r="AQ267" s="399">
        <v>0</v>
      </c>
      <c r="AR267" s="88">
        <v>475.53</v>
      </c>
      <c r="AU267" s="399">
        <v>203</v>
      </c>
      <c r="AV267" s="399">
        <v>1269</v>
      </c>
      <c r="AY267" s="88">
        <v>0</v>
      </c>
      <c r="AZ267" s="432">
        <v>1336</v>
      </c>
      <c r="BA267" s="440">
        <v>1698</v>
      </c>
      <c r="BC267" s="439">
        <v>0</v>
      </c>
      <c r="BD267" s="88">
        <v>0</v>
      </c>
      <c r="BE267" s="88">
        <v>0</v>
      </c>
      <c r="BF267" s="434">
        <v>-222004.14499999999</v>
      </c>
      <c r="BG267" s="100">
        <v>-89211.24</v>
      </c>
      <c r="BH267" s="257"/>
      <c r="BI267" s="100"/>
      <c r="BJ267" s="257"/>
      <c r="BK267" s="100"/>
      <c r="BL267" s="100"/>
      <c r="BM267" s="100"/>
      <c r="BN267" s="257"/>
      <c r="BO267" s="100"/>
      <c r="BP267" s="100">
        <v>549175</v>
      </c>
      <c r="BQ267" s="100">
        <v>163385</v>
      </c>
      <c r="BR267" s="100">
        <v>401924.04227693728</v>
      </c>
      <c r="BS267" s="100">
        <v>19645.457703307464</v>
      </c>
      <c r="BT267" s="100">
        <v>75344.327930687621</v>
      </c>
      <c r="BU267" s="100">
        <v>180286.47575446786</v>
      </c>
      <c r="BV267" s="100">
        <v>280776.10271360172</v>
      </c>
      <c r="BW267" s="100">
        <v>474953.86153675884</v>
      </c>
      <c r="BX267" s="100">
        <v>133064.05355624924</v>
      </c>
      <c r="BY267" s="100">
        <v>233376.78067092708</v>
      </c>
      <c r="BZ267" s="257"/>
      <c r="CA267" s="100"/>
      <c r="CB267" s="257"/>
      <c r="CC267" s="257"/>
      <c r="CD267" s="257"/>
      <c r="CE267" s="100">
        <v>330544.07547454222</v>
      </c>
      <c r="CF267" s="100">
        <v>184634.29064513603</v>
      </c>
      <c r="CG267" s="100">
        <v>169601.21184519739</v>
      </c>
      <c r="CH267" s="100">
        <v>1037260.1293238909</v>
      </c>
      <c r="CI267" s="257"/>
      <c r="CJ267" s="437">
        <v>2580192.1882263105</v>
      </c>
      <c r="CK267" s="404">
        <v>-268263</v>
      </c>
      <c r="CL267" s="404"/>
      <c r="CM267" s="437">
        <v>227551.88049999994</v>
      </c>
      <c r="CO267" s="434">
        <v>-585220.67052326992</v>
      </c>
      <c r="CP267" s="437">
        <v>-260224.30220244415</v>
      </c>
      <c r="CQ267" s="437">
        <v>-413357.22549365554</v>
      </c>
      <c r="CR267" s="437">
        <v>158530.83998857165</v>
      </c>
      <c r="CS267" s="257"/>
    </row>
    <row r="268" spans="1:97" x14ac:dyDescent="0.2">
      <c r="A268" s="100">
        <v>889</v>
      </c>
      <c r="B268" s="100" t="s">
        <v>580</v>
      </c>
      <c r="C268" s="100">
        <v>2523</v>
      </c>
      <c r="D268" s="257"/>
      <c r="E268" s="257"/>
      <c r="F268" s="257"/>
      <c r="G268" s="257"/>
      <c r="H268" s="325"/>
      <c r="I268" s="257"/>
      <c r="J268" s="257"/>
      <c r="K268" s="257"/>
      <c r="L268" s="257"/>
      <c r="M268" s="257"/>
      <c r="N268" s="257"/>
      <c r="O268" s="257"/>
      <c r="P268" s="257"/>
      <c r="Q268" s="100">
        <v>110</v>
      </c>
      <c r="R268" s="100">
        <v>21</v>
      </c>
      <c r="S268" s="100">
        <v>179</v>
      </c>
      <c r="T268" s="100">
        <v>79</v>
      </c>
      <c r="U268" s="100">
        <v>2134</v>
      </c>
      <c r="V268" s="100"/>
      <c r="W268" s="100"/>
      <c r="X268" s="100"/>
      <c r="Y268" s="100"/>
      <c r="Z268" s="257"/>
      <c r="AA268" s="257"/>
      <c r="AB268" s="257"/>
      <c r="AC268" s="257"/>
      <c r="AD268" s="257"/>
      <c r="AE268" s="258">
        <v>0.94275502563082036</v>
      </c>
      <c r="AG268" s="441">
        <v>93.5</v>
      </c>
      <c r="AH268" s="443">
        <v>1019</v>
      </c>
      <c r="AJ268" s="88">
        <v>65</v>
      </c>
      <c r="AM268" s="88">
        <v>0</v>
      </c>
      <c r="AN268" s="88">
        <v>0</v>
      </c>
      <c r="AP268" s="88">
        <v>0</v>
      </c>
      <c r="AQ268" s="399">
        <v>0</v>
      </c>
      <c r="AR268" s="88">
        <v>1669.46</v>
      </c>
      <c r="AU268" s="399">
        <v>77</v>
      </c>
      <c r="AV268" s="399">
        <v>576</v>
      </c>
      <c r="AY268" s="88">
        <v>1.3616333333333333</v>
      </c>
      <c r="AZ268" s="432">
        <v>797</v>
      </c>
      <c r="BA268" s="440">
        <v>872</v>
      </c>
      <c r="BC268" s="439">
        <v>0</v>
      </c>
      <c r="BD268" s="88">
        <v>0</v>
      </c>
      <c r="BE268" s="88">
        <v>0</v>
      </c>
      <c r="BF268" s="434">
        <v>-44969.794999999998</v>
      </c>
      <c r="BG268" s="100">
        <v>-50310.990000000005</v>
      </c>
      <c r="BH268" s="257"/>
      <c r="BI268" s="100"/>
      <c r="BJ268" s="257"/>
      <c r="BK268" s="100"/>
      <c r="BL268" s="100"/>
      <c r="BM268" s="100"/>
      <c r="BN268" s="257"/>
      <c r="BO268" s="100"/>
      <c r="BP268" s="100">
        <v>304094</v>
      </c>
      <c r="BQ268" s="100">
        <v>86201</v>
      </c>
      <c r="BR268" s="100">
        <v>209049.50168991182</v>
      </c>
      <c r="BS268" s="100">
        <v>11733.723567627167</v>
      </c>
      <c r="BT268" s="100">
        <v>30010.956593485669</v>
      </c>
      <c r="BU268" s="100">
        <v>107001.43628257842</v>
      </c>
      <c r="BV268" s="100">
        <v>164155.83698869185</v>
      </c>
      <c r="BW268" s="100">
        <v>240348.33304669717</v>
      </c>
      <c r="BX268" s="100">
        <v>59483.150294640654</v>
      </c>
      <c r="BY268" s="100">
        <v>130808.43734629493</v>
      </c>
      <c r="BZ268" s="257"/>
      <c r="CA268" s="100"/>
      <c r="CB268" s="257"/>
      <c r="CC268" s="257"/>
      <c r="CD268" s="257"/>
      <c r="CE268" s="100">
        <v>171836.31249603935</v>
      </c>
      <c r="CF268" s="100">
        <v>93849.404271448555</v>
      </c>
      <c r="CG268" s="100">
        <v>86317.888969768566</v>
      </c>
      <c r="CH268" s="100">
        <v>552984.30280738708</v>
      </c>
      <c r="CI268" s="257"/>
      <c r="CJ268" s="437">
        <v>1145506.5896339284</v>
      </c>
      <c r="CK268" s="404">
        <v>235452</v>
      </c>
      <c r="CL268" s="404"/>
      <c r="CM268" s="437">
        <v>158852.18799999999</v>
      </c>
      <c r="CO268" s="434">
        <v>1056507.5616959352</v>
      </c>
      <c r="CP268" s="437">
        <v>358173.31375832885</v>
      </c>
      <c r="CQ268" s="437">
        <v>-228255.69707167716</v>
      </c>
      <c r="CR268" s="437">
        <v>87540.667386991961</v>
      </c>
      <c r="CS268" s="257"/>
    </row>
    <row r="269" spans="1:97" x14ac:dyDescent="0.2">
      <c r="A269" s="100">
        <v>890</v>
      </c>
      <c r="B269" s="100" t="s">
        <v>581</v>
      </c>
      <c r="C269" s="100">
        <v>1180</v>
      </c>
      <c r="D269" s="257"/>
      <c r="E269" s="257"/>
      <c r="F269" s="257"/>
      <c r="G269" s="257"/>
      <c r="H269" s="325"/>
      <c r="I269" s="257"/>
      <c r="J269" s="257"/>
      <c r="K269" s="257"/>
      <c r="L269" s="257"/>
      <c r="M269" s="257"/>
      <c r="N269" s="257"/>
      <c r="O269" s="257"/>
      <c r="P269" s="257"/>
      <c r="Q269" s="100">
        <v>50</v>
      </c>
      <c r="R269" s="100">
        <v>14</v>
      </c>
      <c r="S269" s="100">
        <v>59</v>
      </c>
      <c r="T269" s="100">
        <v>39</v>
      </c>
      <c r="U269" s="100">
        <v>1018</v>
      </c>
      <c r="V269" s="100"/>
      <c r="W269" s="100"/>
      <c r="X269" s="100"/>
      <c r="Y269" s="100"/>
      <c r="Z269" s="257"/>
      <c r="AA269" s="257"/>
      <c r="AB269" s="257"/>
      <c r="AC269" s="257"/>
      <c r="AD269" s="257"/>
      <c r="AE269" s="258">
        <v>0.68320708847409539</v>
      </c>
      <c r="AG269" s="441">
        <v>47.083333333333336</v>
      </c>
      <c r="AH269" s="443">
        <v>559</v>
      </c>
      <c r="AJ269" s="88">
        <v>52</v>
      </c>
      <c r="AM269" s="88">
        <v>0</v>
      </c>
      <c r="AN269" s="88">
        <v>4</v>
      </c>
      <c r="AP269" s="88">
        <v>0</v>
      </c>
      <c r="AQ269" s="399">
        <v>0</v>
      </c>
      <c r="AR269" s="88">
        <v>5147.16</v>
      </c>
      <c r="AU269" s="399">
        <v>62</v>
      </c>
      <c r="AV269" s="399">
        <v>328</v>
      </c>
      <c r="AY269" s="88">
        <v>1.9536666666666667</v>
      </c>
      <c r="AZ269" s="432">
        <v>462</v>
      </c>
      <c r="BA269" s="440">
        <v>487</v>
      </c>
      <c r="BC269" s="439">
        <v>0</v>
      </c>
      <c r="BD269" s="88">
        <v>1</v>
      </c>
      <c r="BE269" s="88">
        <v>491</v>
      </c>
      <c r="BF269" s="434">
        <v>-22882.46</v>
      </c>
      <c r="BG269" s="100">
        <v>-23416.99</v>
      </c>
      <c r="BH269" s="257"/>
      <c r="BI269" s="100"/>
      <c r="BJ269" s="257"/>
      <c r="BK269" s="100"/>
      <c r="BL269" s="100"/>
      <c r="BM269" s="100"/>
      <c r="BN269" s="257"/>
      <c r="BO269" s="100"/>
      <c r="BP269" s="100">
        <v>114134</v>
      </c>
      <c r="BQ269" s="100">
        <v>37115</v>
      </c>
      <c r="BR269" s="100">
        <v>107131.66346656052</v>
      </c>
      <c r="BS269" s="100">
        <v>5615.0568367583783</v>
      </c>
      <c r="BT269" s="100">
        <v>13408.48778940565</v>
      </c>
      <c r="BU269" s="100">
        <v>38983.781100312008</v>
      </c>
      <c r="BV269" s="100">
        <v>70506.556833763301</v>
      </c>
      <c r="BW269" s="100">
        <v>98486.036770882405</v>
      </c>
      <c r="BX269" s="100">
        <v>37722.664171458739</v>
      </c>
      <c r="BY269" s="100">
        <v>57139.295304500825</v>
      </c>
      <c r="BZ269" s="257"/>
      <c r="CA269" s="100"/>
      <c r="CB269" s="257"/>
      <c r="CC269" s="257"/>
      <c r="CD269" s="257"/>
      <c r="CE269" s="100">
        <v>79861.96357632018</v>
      </c>
      <c r="CF269" s="100">
        <v>40449.217981404268</v>
      </c>
      <c r="CG269" s="100">
        <v>44475.240383549164</v>
      </c>
      <c r="CH269" s="100">
        <v>237723.01733606966</v>
      </c>
      <c r="CI269" s="257"/>
      <c r="CJ269" s="437">
        <v>425286.8428775295</v>
      </c>
      <c r="CK269" s="404">
        <v>432693</v>
      </c>
      <c r="CL269" s="404"/>
      <c r="CM269" s="437">
        <v>31328.850000000006</v>
      </c>
      <c r="CO269" s="434">
        <v>-41058.545710822262</v>
      </c>
      <c r="CP269" s="437">
        <v>447661.05772697419</v>
      </c>
      <c r="CQ269" s="437">
        <v>-106754.5471837412</v>
      </c>
      <c r="CR269" s="437">
        <v>40942.523787812337</v>
      </c>
      <c r="CS269" s="257"/>
    </row>
    <row r="270" spans="1:97" x14ac:dyDescent="0.2">
      <c r="A270" s="100">
        <v>892</v>
      </c>
      <c r="B270" s="100" t="s">
        <v>582</v>
      </c>
      <c r="C270" s="100">
        <v>3592</v>
      </c>
      <c r="D270" s="257"/>
      <c r="E270" s="257"/>
      <c r="F270" s="257"/>
      <c r="G270" s="257"/>
      <c r="H270" s="325"/>
      <c r="I270" s="257"/>
      <c r="J270" s="257"/>
      <c r="K270" s="257"/>
      <c r="L270" s="257"/>
      <c r="M270" s="257"/>
      <c r="N270" s="257"/>
      <c r="O270" s="257"/>
      <c r="P270" s="257"/>
      <c r="Q270" s="100">
        <v>280</v>
      </c>
      <c r="R270" s="100">
        <v>63</v>
      </c>
      <c r="S270" s="100">
        <v>389</v>
      </c>
      <c r="T270" s="100">
        <v>200</v>
      </c>
      <c r="U270" s="100">
        <v>2660</v>
      </c>
      <c r="V270" s="100"/>
      <c r="W270" s="100"/>
      <c r="X270" s="100"/>
      <c r="Y270" s="100"/>
      <c r="Z270" s="257"/>
      <c r="AA270" s="257"/>
      <c r="AB270" s="257"/>
      <c r="AC270" s="257"/>
      <c r="AD270" s="257"/>
      <c r="AE270" s="258">
        <v>1.0726029075158698</v>
      </c>
      <c r="AG270" s="441">
        <v>150.16666666666666</v>
      </c>
      <c r="AH270" s="443">
        <v>1554</v>
      </c>
      <c r="AJ270" s="88">
        <v>44</v>
      </c>
      <c r="AM270" s="88">
        <v>0</v>
      </c>
      <c r="AN270" s="88">
        <v>3</v>
      </c>
      <c r="AP270" s="88">
        <v>0</v>
      </c>
      <c r="AQ270" s="399">
        <v>0</v>
      </c>
      <c r="AR270" s="88">
        <v>347.98</v>
      </c>
      <c r="AU270" s="399">
        <v>100</v>
      </c>
      <c r="AV270" s="399">
        <v>1137</v>
      </c>
      <c r="AY270" s="88">
        <v>0</v>
      </c>
      <c r="AZ270" s="432">
        <v>831</v>
      </c>
      <c r="BA270" s="440">
        <v>1407</v>
      </c>
      <c r="BC270" s="439">
        <v>0</v>
      </c>
      <c r="BD270" s="88">
        <v>0</v>
      </c>
      <c r="BE270" s="88">
        <v>0</v>
      </c>
      <c r="BF270" s="434">
        <v>-75739.235000000001</v>
      </c>
      <c r="BG270" s="100">
        <v>-70039.66</v>
      </c>
      <c r="BH270" s="257"/>
      <c r="BI270" s="100"/>
      <c r="BJ270" s="257"/>
      <c r="BK270" s="100"/>
      <c r="BL270" s="100"/>
      <c r="BM270" s="100"/>
      <c r="BN270" s="257"/>
      <c r="BO270" s="100"/>
      <c r="BP270" s="100">
        <v>285316</v>
      </c>
      <c r="BQ270" s="100">
        <v>92849</v>
      </c>
      <c r="BR270" s="100">
        <v>221767.09672598483</v>
      </c>
      <c r="BS270" s="100">
        <v>8071.5917595402261</v>
      </c>
      <c r="BT270" s="100">
        <v>27328.93024877923</v>
      </c>
      <c r="BU270" s="100">
        <v>100574.92665356949</v>
      </c>
      <c r="BV270" s="100">
        <v>184187.12894500932</v>
      </c>
      <c r="BW270" s="100">
        <v>273073.42582165677</v>
      </c>
      <c r="BX270" s="100">
        <v>69107.016659970206</v>
      </c>
      <c r="BY270" s="100">
        <v>146158.3446623623</v>
      </c>
      <c r="BZ270" s="257"/>
      <c r="CA270" s="100"/>
      <c r="CB270" s="257"/>
      <c r="CC270" s="257"/>
      <c r="CD270" s="257"/>
      <c r="CE270" s="100">
        <v>193114.12923133516</v>
      </c>
      <c r="CF270" s="100">
        <v>121137.91733610042</v>
      </c>
      <c r="CG270" s="100">
        <v>114934.81985626915</v>
      </c>
      <c r="CH270" s="100">
        <v>579322.10097779008</v>
      </c>
      <c r="CI270" s="257"/>
      <c r="CJ270" s="437">
        <v>2094213.03494639</v>
      </c>
      <c r="CK270" s="404">
        <v>-563961</v>
      </c>
      <c r="CL270" s="404"/>
      <c r="CM270" s="437">
        <v>-6743.1620000000112</v>
      </c>
      <c r="CO270" s="434">
        <v>507921.81105808105</v>
      </c>
      <c r="CP270" s="437">
        <v>148623.99669289205</v>
      </c>
      <c r="CQ270" s="437">
        <v>-324968.07922372746</v>
      </c>
      <c r="CR270" s="437">
        <v>124631.81817442534</v>
      </c>
      <c r="CS270" s="257"/>
    </row>
    <row r="271" spans="1:97" x14ac:dyDescent="0.2">
      <c r="A271" s="100">
        <v>893</v>
      </c>
      <c r="B271" s="100" t="s">
        <v>583</v>
      </c>
      <c r="C271" s="100">
        <v>7434</v>
      </c>
      <c r="D271" s="257"/>
      <c r="E271" s="257"/>
      <c r="F271" s="257"/>
      <c r="G271" s="257"/>
      <c r="H271" s="325"/>
      <c r="I271" s="257"/>
      <c r="J271" s="257"/>
      <c r="K271" s="257"/>
      <c r="L271" s="257"/>
      <c r="M271" s="257"/>
      <c r="N271" s="257"/>
      <c r="O271" s="257"/>
      <c r="P271" s="257"/>
      <c r="Q271" s="100">
        <v>432</v>
      </c>
      <c r="R271" s="100">
        <v>92</v>
      </c>
      <c r="S271" s="100">
        <v>575</v>
      </c>
      <c r="T271" s="100">
        <v>321</v>
      </c>
      <c r="U271" s="100">
        <v>6014</v>
      </c>
      <c r="V271" s="100"/>
      <c r="W271" s="100"/>
      <c r="X271" s="100"/>
      <c r="Y271" s="100"/>
      <c r="Z271" s="257"/>
      <c r="AA271" s="257"/>
      <c r="AB271" s="257"/>
      <c r="AC271" s="257"/>
      <c r="AD271" s="257"/>
      <c r="AE271" s="258">
        <v>0.85679399491282049</v>
      </c>
      <c r="AG271" s="441">
        <v>130.25</v>
      </c>
      <c r="AH271" s="443">
        <v>3400</v>
      </c>
      <c r="AJ271" s="88">
        <v>647</v>
      </c>
      <c r="AM271" s="88">
        <v>3</v>
      </c>
      <c r="AN271" s="88">
        <v>6304</v>
      </c>
      <c r="AP271" s="88">
        <v>0</v>
      </c>
      <c r="AQ271" s="399">
        <v>0</v>
      </c>
      <c r="AR271" s="88">
        <v>732.83</v>
      </c>
      <c r="AU271" s="399">
        <v>363</v>
      </c>
      <c r="AV271" s="399">
        <v>2290</v>
      </c>
      <c r="AY271" s="88">
        <v>1.1783333333333333E-2</v>
      </c>
      <c r="AZ271" s="432">
        <v>3254</v>
      </c>
      <c r="BA271" s="440">
        <v>3295</v>
      </c>
      <c r="BC271" s="439">
        <v>0</v>
      </c>
      <c r="BD271" s="88">
        <v>0</v>
      </c>
      <c r="BE271" s="88">
        <v>0</v>
      </c>
      <c r="BF271" s="434">
        <v>-143283.95000000001</v>
      </c>
      <c r="BG271" s="100">
        <v>-143671.59</v>
      </c>
      <c r="BH271" s="257"/>
      <c r="BI271" s="100"/>
      <c r="BJ271" s="257"/>
      <c r="BK271" s="100"/>
      <c r="BL271" s="100"/>
      <c r="BM271" s="100"/>
      <c r="BN271" s="257"/>
      <c r="BO271" s="100"/>
      <c r="BP271" s="100">
        <v>659086</v>
      </c>
      <c r="BQ271" s="100">
        <v>245210</v>
      </c>
      <c r="BR271" s="100">
        <v>624224.09783986362</v>
      </c>
      <c r="BS271" s="100">
        <v>31886.174526036812</v>
      </c>
      <c r="BT271" s="100">
        <v>51936.5584288604</v>
      </c>
      <c r="BU271" s="100">
        <v>220299.48727579231</v>
      </c>
      <c r="BV271" s="100">
        <v>462578.72966419393</v>
      </c>
      <c r="BW271" s="100">
        <v>711571.95515712397</v>
      </c>
      <c r="BX271" s="100">
        <v>227956.08973907831</v>
      </c>
      <c r="BY271" s="100">
        <v>371049.76014390361</v>
      </c>
      <c r="BZ271" s="257"/>
      <c r="CA271" s="100"/>
      <c r="CB271" s="257"/>
      <c r="CC271" s="257"/>
      <c r="CD271" s="257"/>
      <c r="CE271" s="100">
        <v>509650.70393296657</v>
      </c>
      <c r="CF271" s="100">
        <v>290235.61251873686</v>
      </c>
      <c r="CG271" s="100">
        <v>301107.27105141542</v>
      </c>
      <c r="CH271" s="100">
        <v>1516510.5745014292</v>
      </c>
      <c r="CI271" s="257"/>
      <c r="CJ271" s="437">
        <v>2395571.8398203081</v>
      </c>
      <c r="CK271" s="404">
        <v>-25603</v>
      </c>
      <c r="CL271" s="404"/>
      <c r="CM271" s="437">
        <v>74.59250000002794</v>
      </c>
      <c r="CO271" s="434">
        <v>-486611.11480519688</v>
      </c>
      <c r="CP271" s="437">
        <v>-16867.787506536832</v>
      </c>
      <c r="CQ271" s="437">
        <v>-672553.6472575696</v>
      </c>
      <c r="CR271" s="437">
        <v>257937.8998632177</v>
      </c>
      <c r="CS271" s="257"/>
    </row>
    <row r="272" spans="1:97" x14ac:dyDescent="0.2">
      <c r="A272" s="100">
        <v>895</v>
      </c>
      <c r="B272" s="100" t="s">
        <v>584</v>
      </c>
      <c r="C272" s="100">
        <v>15092</v>
      </c>
      <c r="D272" s="257"/>
      <c r="E272" s="257"/>
      <c r="F272" s="257"/>
      <c r="G272" s="257"/>
      <c r="H272" s="325"/>
      <c r="I272" s="257"/>
      <c r="J272" s="257"/>
      <c r="K272" s="257"/>
      <c r="L272" s="257"/>
      <c r="M272" s="257"/>
      <c r="N272" s="257"/>
      <c r="O272" s="257"/>
      <c r="P272" s="257"/>
      <c r="Q272" s="100">
        <v>630</v>
      </c>
      <c r="R272" s="100">
        <v>130</v>
      </c>
      <c r="S272" s="100">
        <v>901</v>
      </c>
      <c r="T272" s="100">
        <v>441</v>
      </c>
      <c r="U272" s="100">
        <v>12990</v>
      </c>
      <c r="V272" s="100"/>
      <c r="W272" s="100"/>
      <c r="X272" s="100"/>
      <c r="Y272" s="100"/>
      <c r="Z272" s="257"/>
      <c r="AA272" s="257"/>
      <c r="AB272" s="257"/>
      <c r="AC272" s="257"/>
      <c r="AD272" s="257"/>
      <c r="AE272" s="258">
        <v>0.96969261567553156</v>
      </c>
      <c r="AG272" s="441">
        <v>596.91666666666663</v>
      </c>
      <c r="AH272" s="443">
        <v>7167</v>
      </c>
      <c r="AJ272" s="88">
        <v>1131</v>
      </c>
      <c r="AM272" s="88">
        <v>0</v>
      </c>
      <c r="AN272" s="88">
        <v>57</v>
      </c>
      <c r="AP272" s="88">
        <v>3</v>
      </c>
      <c r="AQ272" s="399">
        <v>663</v>
      </c>
      <c r="AR272" s="88">
        <v>503.22</v>
      </c>
      <c r="AU272" s="399">
        <v>760</v>
      </c>
      <c r="AV272" s="399">
        <v>4396</v>
      </c>
      <c r="AY272" s="88">
        <v>0</v>
      </c>
      <c r="AZ272" s="432">
        <v>8407</v>
      </c>
      <c r="BA272" s="440">
        <v>6616</v>
      </c>
      <c r="BC272" s="439">
        <v>0</v>
      </c>
      <c r="BD272" s="88">
        <v>0</v>
      </c>
      <c r="BE272" s="88">
        <v>1</v>
      </c>
      <c r="BF272" s="434">
        <v>-451063.15250000003</v>
      </c>
      <c r="BG272" s="100">
        <v>-295411.38</v>
      </c>
      <c r="BH272" s="257"/>
      <c r="BI272" s="100"/>
      <c r="BJ272" s="257"/>
      <c r="BK272" s="100"/>
      <c r="BL272" s="100"/>
      <c r="BM272" s="100"/>
      <c r="BN272" s="257"/>
      <c r="BO272" s="100"/>
      <c r="BP272" s="100">
        <v>1109415</v>
      </c>
      <c r="BQ272" s="100">
        <v>399076</v>
      </c>
      <c r="BR272" s="100">
        <v>905475.30713826104</v>
      </c>
      <c r="BS272" s="100">
        <v>41384.801290704847</v>
      </c>
      <c r="BT272" s="100">
        <v>80168.545066481631</v>
      </c>
      <c r="BU272" s="100">
        <v>432683.95358545834</v>
      </c>
      <c r="BV272" s="100">
        <v>714318.20473059115</v>
      </c>
      <c r="BW272" s="100">
        <v>1333112.8678891251</v>
      </c>
      <c r="BX272" s="100">
        <v>405710.0888038961</v>
      </c>
      <c r="BY272" s="100">
        <v>650287.35670311027</v>
      </c>
      <c r="BZ272" s="257"/>
      <c r="CA272" s="100"/>
      <c r="CB272" s="257"/>
      <c r="CC272" s="257"/>
      <c r="CD272" s="257"/>
      <c r="CE272" s="100">
        <v>850005.01227778569</v>
      </c>
      <c r="CF272" s="100">
        <v>546874.3549347755</v>
      </c>
      <c r="CG272" s="100">
        <v>536102.37395026756</v>
      </c>
      <c r="CH272" s="100">
        <v>2603416.4578149375</v>
      </c>
      <c r="CI272" s="257"/>
      <c r="CJ272" s="437">
        <v>1794596.7273950984</v>
      </c>
      <c r="CK272" s="404">
        <v>-1211559</v>
      </c>
      <c r="CL272" s="404"/>
      <c r="CM272" s="437">
        <v>251302.13249999986</v>
      </c>
      <c r="CO272" s="434">
        <v>676603.38332588936</v>
      </c>
      <c r="CP272" s="437">
        <v>1142681.9362001948</v>
      </c>
      <c r="CQ272" s="437">
        <v>-1365372.5644890019</v>
      </c>
      <c r="CR272" s="437">
        <v>523647.93983530824</v>
      </c>
      <c r="CS272" s="257"/>
    </row>
    <row r="273" spans="1:97" x14ac:dyDescent="0.2">
      <c r="A273" s="100">
        <v>785</v>
      </c>
      <c r="B273" s="100" t="s">
        <v>558</v>
      </c>
      <c r="C273" s="100">
        <v>2626</v>
      </c>
      <c r="D273" s="257"/>
      <c r="E273" s="257"/>
      <c r="F273" s="257"/>
      <c r="G273" s="257"/>
      <c r="H273" s="325"/>
      <c r="I273" s="257"/>
      <c r="J273" s="257"/>
      <c r="K273" s="257"/>
      <c r="L273" s="257"/>
      <c r="M273" s="257"/>
      <c r="N273" s="257"/>
      <c r="O273" s="257"/>
      <c r="P273" s="257"/>
      <c r="Q273" s="100">
        <v>86</v>
      </c>
      <c r="R273" s="100">
        <v>31</v>
      </c>
      <c r="S273" s="100">
        <v>120</v>
      </c>
      <c r="T273" s="100">
        <v>71</v>
      </c>
      <c r="U273" s="100">
        <v>2318</v>
      </c>
      <c r="V273" s="100"/>
      <c r="W273" s="100"/>
      <c r="X273" s="100"/>
      <c r="Y273" s="100"/>
      <c r="Z273" s="257"/>
      <c r="AA273" s="257"/>
      <c r="AB273" s="257"/>
      <c r="AC273" s="257"/>
      <c r="AD273" s="257"/>
      <c r="AE273" s="258">
        <v>0.79132014442876775</v>
      </c>
      <c r="AG273" s="441">
        <v>130.75</v>
      </c>
      <c r="AH273" s="443">
        <v>1035</v>
      </c>
      <c r="AJ273" s="88">
        <v>36</v>
      </c>
      <c r="AM273" s="88">
        <v>0</v>
      </c>
      <c r="AN273" s="88">
        <v>0</v>
      </c>
      <c r="AP273" s="88">
        <v>3</v>
      </c>
      <c r="AQ273" s="399">
        <v>78</v>
      </c>
      <c r="AR273" s="88">
        <v>1302.3699999999999</v>
      </c>
      <c r="AU273" s="399">
        <v>65</v>
      </c>
      <c r="AV273" s="399">
        <v>542</v>
      </c>
      <c r="AY273" s="88">
        <v>1.7081500000000001</v>
      </c>
      <c r="AZ273" s="432">
        <v>838</v>
      </c>
      <c r="BA273" s="440">
        <v>857</v>
      </c>
      <c r="BC273" s="439">
        <v>0</v>
      </c>
      <c r="BD273" s="88">
        <v>0</v>
      </c>
      <c r="BE273" s="88">
        <v>0</v>
      </c>
      <c r="BF273" s="434">
        <v>-82680.08</v>
      </c>
      <c r="BG273" s="100">
        <v>-52577.770000000004</v>
      </c>
      <c r="BH273" s="257"/>
      <c r="BI273" s="100"/>
      <c r="BJ273" s="257"/>
      <c r="BK273" s="100"/>
      <c r="BL273" s="100"/>
      <c r="BM273" s="100"/>
      <c r="BN273" s="257"/>
      <c r="BO273" s="100"/>
      <c r="BP273" s="100">
        <v>310888</v>
      </c>
      <c r="BQ273" s="100">
        <v>92189</v>
      </c>
      <c r="BR273" s="100">
        <v>250966.4378107918</v>
      </c>
      <c r="BS273" s="100">
        <v>15001.394378429974</v>
      </c>
      <c r="BT273" s="100">
        <v>44539.947269726195</v>
      </c>
      <c r="BU273" s="100">
        <v>126757.85397782503</v>
      </c>
      <c r="BV273" s="100">
        <v>154052.91971320764</v>
      </c>
      <c r="BW273" s="100">
        <v>270595.83848855575</v>
      </c>
      <c r="BX273" s="100">
        <v>75512.611945203855</v>
      </c>
      <c r="BY273" s="100">
        <v>145181.52069865639</v>
      </c>
      <c r="BZ273" s="257"/>
      <c r="CA273" s="100"/>
      <c r="CB273" s="257"/>
      <c r="CC273" s="257"/>
      <c r="CD273" s="257"/>
      <c r="CE273" s="100">
        <v>186903.64276719451</v>
      </c>
      <c r="CF273" s="100">
        <v>97959.430992526803</v>
      </c>
      <c r="CG273" s="100">
        <v>93573.094209276824</v>
      </c>
      <c r="CH273" s="100">
        <v>636627.13202352799</v>
      </c>
      <c r="CI273" s="257"/>
      <c r="CJ273" s="437">
        <v>1088501.3999090265</v>
      </c>
      <c r="CK273" s="404">
        <v>108095</v>
      </c>
      <c r="CL273" s="404"/>
      <c r="CM273" s="437">
        <v>48261.347500000011</v>
      </c>
      <c r="CO273" s="434">
        <v>1389340.7288360947</v>
      </c>
      <c r="CP273" s="434">
        <v>998070.29587218177</v>
      </c>
      <c r="CQ273" s="434">
        <v>-237574.10246144442</v>
      </c>
      <c r="CR273" s="434">
        <v>91114.463954911174</v>
      </c>
      <c r="CS273" s="257"/>
    </row>
    <row r="274" spans="1:97" x14ac:dyDescent="0.2">
      <c r="A274" s="100">
        <v>905</v>
      </c>
      <c r="B274" s="100" t="s">
        <v>585</v>
      </c>
      <c r="C274" s="100">
        <v>67988</v>
      </c>
      <c r="D274" s="257"/>
      <c r="E274" s="257"/>
      <c r="F274" s="257"/>
      <c r="G274" s="257"/>
      <c r="H274" s="325"/>
      <c r="I274" s="257"/>
      <c r="J274" s="257"/>
      <c r="K274" s="257"/>
      <c r="L274" s="257"/>
      <c r="M274" s="257"/>
      <c r="N274" s="257"/>
      <c r="O274" s="257"/>
      <c r="P274" s="257"/>
      <c r="Q274" s="100">
        <v>3407</v>
      </c>
      <c r="R274" s="100">
        <v>682</v>
      </c>
      <c r="S274" s="100">
        <v>4279</v>
      </c>
      <c r="T274" s="100">
        <v>2191</v>
      </c>
      <c r="U274" s="100">
        <v>57429</v>
      </c>
      <c r="V274" s="100"/>
      <c r="W274" s="100"/>
      <c r="X274" s="100"/>
      <c r="Y274" s="100"/>
      <c r="Z274" s="257"/>
      <c r="AA274" s="257"/>
      <c r="AB274" s="257"/>
      <c r="AC274" s="257"/>
      <c r="AD274" s="257"/>
      <c r="AE274" s="258">
        <v>1.2071013545247351</v>
      </c>
      <c r="AG274" s="441">
        <v>2336.5833333333335</v>
      </c>
      <c r="AH274" s="443">
        <v>32380</v>
      </c>
      <c r="AJ274" s="88">
        <v>7049</v>
      </c>
      <c r="AM274" s="88">
        <v>1</v>
      </c>
      <c r="AN274" s="88">
        <v>15912</v>
      </c>
      <c r="AP274" s="88">
        <v>0</v>
      </c>
      <c r="AQ274" s="399">
        <v>0</v>
      </c>
      <c r="AR274" s="88">
        <v>364.84</v>
      </c>
      <c r="AU274" s="399">
        <v>2644</v>
      </c>
      <c r="AV274" s="399">
        <v>20753</v>
      </c>
      <c r="AY274" s="88">
        <v>0</v>
      </c>
      <c r="AZ274" s="432">
        <v>37474</v>
      </c>
      <c r="BA274" s="440">
        <v>30144</v>
      </c>
      <c r="BC274" s="439">
        <v>0.17</v>
      </c>
      <c r="BD274" s="88">
        <v>0</v>
      </c>
      <c r="BE274" s="88">
        <v>4</v>
      </c>
      <c r="BF274" s="434">
        <v>-3731310.3083000001</v>
      </c>
      <c r="BG274" s="100">
        <v>-1297654.71</v>
      </c>
      <c r="BH274" s="257"/>
      <c r="BI274" s="100"/>
      <c r="BJ274" s="257"/>
      <c r="BK274" s="100"/>
      <c r="BL274" s="100"/>
      <c r="BM274" s="100"/>
      <c r="BN274" s="257"/>
      <c r="BO274" s="100"/>
      <c r="BP274" s="100">
        <v>4274447</v>
      </c>
      <c r="BQ274" s="100">
        <v>1565331</v>
      </c>
      <c r="BR274" s="100">
        <v>3626619.6572058755</v>
      </c>
      <c r="BS274" s="100">
        <v>138381.79957621533</v>
      </c>
      <c r="BT274" s="100">
        <v>123045.09646081526</v>
      </c>
      <c r="BU274" s="100">
        <v>1613817.4548447337</v>
      </c>
      <c r="BV274" s="100">
        <v>3371237.1497896183</v>
      </c>
      <c r="BW274" s="100">
        <v>4725068.4488909151</v>
      </c>
      <c r="BX274" s="100">
        <v>1837727.4642141988</v>
      </c>
      <c r="BY274" s="100">
        <v>2936288.5129769309</v>
      </c>
      <c r="BZ274" s="257"/>
      <c r="CA274" s="100"/>
      <c r="CB274" s="257"/>
      <c r="CC274" s="257"/>
      <c r="CD274" s="257"/>
      <c r="CE274" s="100">
        <v>3823606.4028757033</v>
      </c>
      <c r="CF274" s="100">
        <v>2350331.8286576266</v>
      </c>
      <c r="CG274" s="100">
        <v>2427586.8992766254</v>
      </c>
      <c r="CH274" s="100">
        <v>10587144.681542942</v>
      </c>
      <c r="CI274" s="257"/>
      <c r="CJ274" s="437">
        <v>3179511.19281467</v>
      </c>
      <c r="CK274" s="404">
        <v>30867026</v>
      </c>
      <c r="CL274" s="404"/>
      <c r="CM274" s="437">
        <v>-5458616.4922999982</v>
      </c>
      <c r="CO274" s="434">
        <v>-14669844.570508882</v>
      </c>
      <c r="CP274" s="437">
        <v>-6556092.3099627569</v>
      </c>
      <c r="CQ274" s="437">
        <v>-6150871.3168883026</v>
      </c>
      <c r="CR274" s="437">
        <v>2358983.3112591398</v>
      </c>
      <c r="CS274" s="257"/>
    </row>
    <row r="275" spans="1:97" x14ac:dyDescent="0.2">
      <c r="A275" s="100">
        <v>908</v>
      </c>
      <c r="B275" s="100" t="s">
        <v>586</v>
      </c>
      <c r="C275" s="100">
        <v>20703</v>
      </c>
      <c r="D275" s="257"/>
      <c r="E275" s="257"/>
      <c r="F275" s="257"/>
      <c r="G275" s="257"/>
      <c r="H275" s="325"/>
      <c r="I275" s="257"/>
      <c r="J275" s="257"/>
      <c r="K275" s="257"/>
      <c r="L275" s="257"/>
      <c r="M275" s="257"/>
      <c r="N275" s="257"/>
      <c r="O275" s="257"/>
      <c r="P275" s="257"/>
      <c r="Q275" s="100">
        <v>963</v>
      </c>
      <c r="R275" s="100">
        <v>190</v>
      </c>
      <c r="S275" s="100">
        <v>1440</v>
      </c>
      <c r="T275" s="100">
        <v>780</v>
      </c>
      <c r="U275" s="100">
        <v>17330</v>
      </c>
      <c r="V275" s="100"/>
      <c r="W275" s="100"/>
      <c r="X275" s="100"/>
      <c r="Y275" s="100"/>
      <c r="Z275" s="257"/>
      <c r="AA275" s="257"/>
      <c r="AB275" s="257"/>
      <c r="AC275" s="257"/>
      <c r="AD275" s="257"/>
      <c r="AE275" s="258">
        <v>0.98803680292265861</v>
      </c>
      <c r="AG275" s="441">
        <v>804.83333333333337</v>
      </c>
      <c r="AH275" s="443">
        <v>9095</v>
      </c>
      <c r="AJ275" s="88">
        <v>845</v>
      </c>
      <c r="AM275" s="88">
        <v>0</v>
      </c>
      <c r="AN275" s="88">
        <v>37</v>
      </c>
      <c r="AP275" s="88">
        <v>0</v>
      </c>
      <c r="AQ275" s="399">
        <v>0</v>
      </c>
      <c r="AR275" s="88">
        <v>272.05</v>
      </c>
      <c r="AU275" s="399">
        <v>645</v>
      </c>
      <c r="AV275" s="399">
        <v>6315</v>
      </c>
      <c r="AY275" s="88">
        <v>0</v>
      </c>
      <c r="AZ275" s="432">
        <v>6632</v>
      </c>
      <c r="BA275" s="440">
        <v>8132</v>
      </c>
      <c r="BC275" s="439">
        <v>0</v>
      </c>
      <c r="BD275" s="88">
        <v>0</v>
      </c>
      <c r="BE275" s="88">
        <v>1</v>
      </c>
      <c r="BF275" s="434">
        <v>-784725.86</v>
      </c>
      <c r="BG275" s="100">
        <v>-398895.65</v>
      </c>
      <c r="BH275" s="257"/>
      <c r="BI275" s="100"/>
      <c r="BJ275" s="257"/>
      <c r="BK275" s="100"/>
      <c r="BL275" s="100"/>
      <c r="BM275" s="100"/>
      <c r="BN275" s="257"/>
      <c r="BO275" s="100"/>
      <c r="BP275" s="100">
        <v>1300662</v>
      </c>
      <c r="BQ275" s="100">
        <v>441444</v>
      </c>
      <c r="BR275" s="100">
        <v>804355.63999164151</v>
      </c>
      <c r="BS275" s="100">
        <v>27221.020783908443</v>
      </c>
      <c r="BT275" s="100">
        <v>143785.43598050371</v>
      </c>
      <c r="BU275" s="100">
        <v>492082.13330480817</v>
      </c>
      <c r="BV275" s="100">
        <v>907246.16303419892</v>
      </c>
      <c r="BW275" s="100">
        <v>1486362.2494838221</v>
      </c>
      <c r="BX275" s="100">
        <v>409666.72623455676</v>
      </c>
      <c r="BY275" s="100">
        <v>765592.40180318756</v>
      </c>
      <c r="BZ275" s="257"/>
      <c r="CA275" s="100"/>
      <c r="CB275" s="257"/>
      <c r="CC275" s="257"/>
      <c r="CD275" s="257"/>
      <c r="CE275" s="100">
        <v>907560.13623735099</v>
      </c>
      <c r="CF275" s="100">
        <v>608028.12032280804</v>
      </c>
      <c r="CG275" s="100">
        <v>610066.72272016108</v>
      </c>
      <c r="CH275" s="100">
        <v>2863396.2832361627</v>
      </c>
      <c r="CI275" s="257"/>
      <c r="CJ275" s="437">
        <v>4281392.3095552186</v>
      </c>
      <c r="CK275" s="404">
        <v>685224</v>
      </c>
      <c r="CL275" s="404"/>
      <c r="CM275" s="437">
        <v>-117781.5575</v>
      </c>
      <c r="CO275" s="434">
        <v>-2369717.6608439772</v>
      </c>
      <c r="CP275" s="437">
        <v>-962141.46045069606</v>
      </c>
      <c r="CQ275" s="437">
        <v>-1872999.4833432154</v>
      </c>
      <c r="CR275" s="437">
        <v>718333.11015176168</v>
      </c>
      <c r="CS275" s="257"/>
    </row>
    <row r="276" spans="1:97" x14ac:dyDescent="0.2">
      <c r="A276" s="100">
        <v>92</v>
      </c>
      <c r="B276" s="100" t="s">
        <v>339</v>
      </c>
      <c r="C276" s="100">
        <v>242819</v>
      </c>
      <c r="D276" s="257"/>
      <c r="E276" s="257"/>
      <c r="F276" s="257"/>
      <c r="G276" s="257"/>
      <c r="H276" s="325"/>
      <c r="I276" s="257"/>
      <c r="J276" s="257"/>
      <c r="K276" s="257"/>
      <c r="L276" s="257"/>
      <c r="M276" s="257"/>
      <c r="N276" s="257"/>
      <c r="O276" s="257"/>
      <c r="P276" s="257"/>
      <c r="Q276" s="100">
        <v>15334</v>
      </c>
      <c r="R276" s="100">
        <v>2669</v>
      </c>
      <c r="S276" s="100">
        <v>16734</v>
      </c>
      <c r="T276" s="100">
        <v>8425</v>
      </c>
      <c r="U276" s="100">
        <v>199657</v>
      </c>
      <c r="V276" s="100"/>
      <c r="W276" s="100"/>
      <c r="X276" s="100"/>
      <c r="Y276" s="100"/>
      <c r="Z276" s="257"/>
      <c r="AA276" s="257"/>
      <c r="AB276" s="257"/>
      <c r="AC276" s="257"/>
      <c r="AD276" s="257"/>
      <c r="AE276" s="258">
        <v>1.0546468722833184</v>
      </c>
      <c r="AG276" s="441">
        <v>14012.333333333334</v>
      </c>
      <c r="AH276" s="443">
        <v>126088</v>
      </c>
      <c r="AJ276" s="88">
        <v>60280</v>
      </c>
      <c r="AM276" s="88">
        <v>1</v>
      </c>
      <c r="AN276" s="88">
        <v>5447</v>
      </c>
      <c r="AP276" s="88">
        <v>0</v>
      </c>
      <c r="AQ276" s="399">
        <v>0</v>
      </c>
      <c r="AR276" s="88">
        <v>238.38</v>
      </c>
      <c r="AU276" s="399">
        <v>22070</v>
      </c>
      <c r="AV276" s="399">
        <v>89907</v>
      </c>
      <c r="AY276" s="88">
        <v>0</v>
      </c>
      <c r="AZ276" s="432">
        <v>118546</v>
      </c>
      <c r="BA276" s="440">
        <v>113300</v>
      </c>
      <c r="BC276" s="439">
        <v>1.27</v>
      </c>
      <c r="BD276" s="88">
        <v>0</v>
      </c>
      <c r="BE276" s="88">
        <v>25</v>
      </c>
      <c r="BF276" s="434">
        <v>-26230717.141350001</v>
      </c>
      <c r="BG276" s="100">
        <v>-4557207.51</v>
      </c>
      <c r="BH276" s="257"/>
      <c r="BI276" s="100"/>
      <c r="BJ276" s="257"/>
      <c r="BK276" s="100"/>
      <c r="BL276" s="100"/>
      <c r="BM276" s="100"/>
      <c r="BN276" s="257"/>
      <c r="BO276" s="100"/>
      <c r="BP276" s="100">
        <v>10598953</v>
      </c>
      <c r="BQ276" s="100">
        <v>4100799</v>
      </c>
      <c r="BR276" s="100">
        <v>9211292.593758624</v>
      </c>
      <c r="BS276" s="100">
        <v>227178.49044565213</v>
      </c>
      <c r="BT276" s="100">
        <v>82298.47186307986</v>
      </c>
      <c r="BU276" s="100">
        <v>3932399.7200499601</v>
      </c>
      <c r="BV276" s="100">
        <v>9755745.8127085008</v>
      </c>
      <c r="BW276" s="100">
        <v>13693210.390970083</v>
      </c>
      <c r="BX276" s="100">
        <v>4847253.4480798785</v>
      </c>
      <c r="BY276" s="100">
        <v>8400914.958768297</v>
      </c>
      <c r="BZ276" s="257"/>
      <c r="CA276" s="100"/>
      <c r="CB276" s="257"/>
      <c r="CC276" s="257"/>
      <c r="CD276" s="257"/>
      <c r="CE276" s="100">
        <v>11551527.935120055</v>
      </c>
      <c r="CF276" s="100">
        <v>7717434.0968031958</v>
      </c>
      <c r="CG276" s="100">
        <v>6966170.8983442895</v>
      </c>
      <c r="CH276" s="100">
        <v>30298277.497694023</v>
      </c>
      <c r="CI276" s="257"/>
      <c r="CJ276" s="437">
        <v>-4333789.5023266869</v>
      </c>
      <c r="CK276" s="404">
        <v>19881856</v>
      </c>
      <c r="CL276" s="404"/>
      <c r="CM276" s="437">
        <v>-5847334.4201500099</v>
      </c>
      <c r="CO276" s="434">
        <v>-26495977.554631557</v>
      </c>
      <c r="CP276" s="437">
        <v>119390.80598803611</v>
      </c>
      <c r="CQ276" s="437">
        <v>-21967824.06153293</v>
      </c>
      <c r="CR276" s="437">
        <v>8425103.9691803418</v>
      </c>
      <c r="CS276" s="257"/>
    </row>
    <row r="277" spans="1:97" x14ac:dyDescent="0.2">
      <c r="A277" s="100">
        <v>915</v>
      </c>
      <c r="B277" s="100" t="s">
        <v>587</v>
      </c>
      <c r="C277" s="100">
        <v>19759</v>
      </c>
      <c r="D277" s="257"/>
      <c r="E277" s="257"/>
      <c r="F277" s="257"/>
      <c r="G277" s="257"/>
      <c r="H277" s="325"/>
      <c r="I277" s="257"/>
      <c r="J277" s="257"/>
      <c r="K277" s="257"/>
      <c r="L277" s="257"/>
      <c r="M277" s="257"/>
      <c r="N277" s="257"/>
      <c r="O277" s="257"/>
      <c r="P277" s="257"/>
      <c r="Q277" s="100">
        <v>744</v>
      </c>
      <c r="R277" s="100">
        <v>128</v>
      </c>
      <c r="S277" s="100">
        <v>1019</v>
      </c>
      <c r="T277" s="100">
        <v>574</v>
      </c>
      <c r="U277" s="100">
        <v>17294</v>
      </c>
      <c r="V277" s="100"/>
      <c r="W277" s="100"/>
      <c r="X277" s="100"/>
      <c r="Y277" s="100"/>
      <c r="Z277" s="257"/>
      <c r="AA277" s="257"/>
      <c r="AB277" s="257"/>
      <c r="AC277" s="257"/>
      <c r="AD277" s="257"/>
      <c r="AE277" s="258">
        <v>1.0833443373017535</v>
      </c>
      <c r="AG277" s="441">
        <v>998</v>
      </c>
      <c r="AH277" s="443">
        <v>8400</v>
      </c>
      <c r="AJ277" s="88">
        <v>686</v>
      </c>
      <c r="AM277" s="88">
        <v>0</v>
      </c>
      <c r="AN277" s="88">
        <v>38</v>
      </c>
      <c r="AP277" s="88">
        <v>0</v>
      </c>
      <c r="AQ277" s="399">
        <v>0</v>
      </c>
      <c r="AR277" s="88">
        <v>385.62</v>
      </c>
      <c r="AU277" s="399">
        <v>710</v>
      </c>
      <c r="AV277" s="399">
        <v>5178</v>
      </c>
      <c r="AY277" s="88">
        <v>7.091666666666667E-2</v>
      </c>
      <c r="AZ277" s="432">
        <v>7945</v>
      </c>
      <c r="BA277" s="440">
        <v>7129</v>
      </c>
      <c r="BC277" s="439">
        <v>0</v>
      </c>
      <c r="BD277" s="88">
        <v>0</v>
      </c>
      <c r="BE277" s="88">
        <v>0</v>
      </c>
      <c r="BF277" s="434">
        <v>-1277765.00125</v>
      </c>
      <c r="BG277" s="100">
        <v>-389540.38</v>
      </c>
      <c r="BH277" s="257"/>
      <c r="BI277" s="100"/>
      <c r="BJ277" s="257"/>
      <c r="BK277" s="100"/>
      <c r="BL277" s="100"/>
      <c r="BM277" s="100"/>
      <c r="BN277" s="257"/>
      <c r="BO277" s="100"/>
      <c r="BP277" s="100">
        <v>1653793</v>
      </c>
      <c r="BQ277" s="100">
        <v>512148</v>
      </c>
      <c r="BR277" s="100">
        <v>1193037.4448902451</v>
      </c>
      <c r="BS277" s="100">
        <v>56295.40430510851</v>
      </c>
      <c r="BT277" s="100">
        <v>159674.2018735389</v>
      </c>
      <c r="BU277" s="100">
        <v>682568.98840266746</v>
      </c>
      <c r="BV277" s="100">
        <v>970869.22769088577</v>
      </c>
      <c r="BW277" s="100">
        <v>1570206.396035505</v>
      </c>
      <c r="BX277" s="100">
        <v>455376.49303466274</v>
      </c>
      <c r="BY277" s="100">
        <v>874237.16796864336</v>
      </c>
      <c r="BZ277" s="257"/>
      <c r="CA277" s="100"/>
      <c r="CB277" s="257"/>
      <c r="CC277" s="257"/>
      <c r="CD277" s="257"/>
      <c r="CE277" s="100">
        <v>1069398.2575607456</v>
      </c>
      <c r="CF277" s="100">
        <v>637157.70426102798</v>
      </c>
      <c r="CG277" s="100">
        <v>611619.06563325785</v>
      </c>
      <c r="CH277" s="100">
        <v>3310473.3823810727</v>
      </c>
      <c r="CI277" s="257"/>
      <c r="CJ277" s="437">
        <v>6074696.8803582322</v>
      </c>
      <c r="CK277" s="404">
        <v>-2507152</v>
      </c>
      <c r="CL277" s="404"/>
      <c r="CM277" s="437">
        <v>178216.40099999995</v>
      </c>
      <c r="CO277" s="434">
        <v>-286264.90121754823</v>
      </c>
      <c r="CP277" s="437">
        <v>9715.2320679914064</v>
      </c>
      <c r="CQ277" s="437">
        <v>-1787595.8455962224</v>
      </c>
      <c r="CR277" s="437">
        <v>685579.09112151177</v>
      </c>
      <c r="CS277" s="257"/>
    </row>
    <row r="278" spans="1:97" x14ac:dyDescent="0.2">
      <c r="A278" s="100">
        <v>918</v>
      </c>
      <c r="B278" s="100" t="s">
        <v>588</v>
      </c>
      <c r="C278" s="100">
        <v>2228</v>
      </c>
      <c r="D278" s="257"/>
      <c r="E278" s="257"/>
      <c r="F278" s="257"/>
      <c r="G278" s="257"/>
      <c r="H278" s="325"/>
      <c r="I278" s="257"/>
      <c r="J278" s="257"/>
      <c r="K278" s="257"/>
      <c r="L278" s="257"/>
      <c r="M278" s="257"/>
      <c r="N278" s="257"/>
      <c r="O278" s="257"/>
      <c r="P278" s="257"/>
      <c r="Q278" s="100">
        <v>106</v>
      </c>
      <c r="R278" s="100">
        <v>16</v>
      </c>
      <c r="S278" s="100">
        <v>137</v>
      </c>
      <c r="T278" s="100">
        <v>75</v>
      </c>
      <c r="U278" s="100">
        <v>1894</v>
      </c>
      <c r="V278" s="100"/>
      <c r="W278" s="100"/>
      <c r="X278" s="100"/>
      <c r="Y278" s="100"/>
      <c r="Z278" s="257"/>
      <c r="AA278" s="257"/>
      <c r="AB278" s="257"/>
      <c r="AC278" s="257"/>
      <c r="AD278" s="257"/>
      <c r="AE278" s="258">
        <v>0.6772934901419656</v>
      </c>
      <c r="AG278" s="441">
        <v>71.25</v>
      </c>
      <c r="AH278" s="443">
        <v>1044</v>
      </c>
      <c r="AJ278" s="88">
        <v>83</v>
      </c>
      <c r="AM278" s="88">
        <v>0</v>
      </c>
      <c r="AN278" s="88">
        <v>13</v>
      </c>
      <c r="AP278" s="88">
        <v>0</v>
      </c>
      <c r="AQ278" s="399">
        <v>0</v>
      </c>
      <c r="AR278" s="88">
        <v>188.88</v>
      </c>
      <c r="AU278" s="399">
        <v>114</v>
      </c>
      <c r="AV278" s="399">
        <v>650</v>
      </c>
      <c r="AY278" s="88">
        <v>0</v>
      </c>
      <c r="AZ278" s="432">
        <v>690</v>
      </c>
      <c r="BA278" s="440">
        <v>969</v>
      </c>
      <c r="BC278" s="439">
        <v>0</v>
      </c>
      <c r="BD278" s="88">
        <v>0</v>
      </c>
      <c r="BE278" s="88">
        <v>0</v>
      </c>
      <c r="BF278" s="434">
        <v>-78324.899999999994</v>
      </c>
      <c r="BG278" s="100">
        <v>-44029.32</v>
      </c>
      <c r="BH278" s="257"/>
      <c r="BI278" s="100"/>
      <c r="BJ278" s="257"/>
      <c r="BK278" s="100"/>
      <c r="BL278" s="100"/>
      <c r="BM278" s="100"/>
      <c r="BN278" s="257"/>
      <c r="BO278" s="100"/>
      <c r="BP278" s="100">
        <v>248075</v>
      </c>
      <c r="BQ278" s="100">
        <v>85184</v>
      </c>
      <c r="BR278" s="100">
        <v>189146.44913137591</v>
      </c>
      <c r="BS278" s="100">
        <v>8965.572928964224</v>
      </c>
      <c r="BT278" s="100">
        <v>6698.7777193360425</v>
      </c>
      <c r="BU278" s="100">
        <v>69879.024130884587</v>
      </c>
      <c r="BV278" s="100">
        <v>152070.04491837331</v>
      </c>
      <c r="BW278" s="100">
        <v>249805.59383009965</v>
      </c>
      <c r="BX278" s="100">
        <v>73752.966817995606</v>
      </c>
      <c r="BY278" s="100">
        <v>117200.99420505411</v>
      </c>
      <c r="BZ278" s="257"/>
      <c r="CA278" s="100"/>
      <c r="CB278" s="257"/>
      <c r="CC278" s="257"/>
      <c r="CD278" s="257"/>
      <c r="CE278" s="100">
        <v>159065.56569936004</v>
      </c>
      <c r="CF278" s="100">
        <v>92726.845819609938</v>
      </c>
      <c r="CG278" s="100">
        <v>92054.629118596611</v>
      </c>
      <c r="CH278" s="100">
        <v>510136.77889194078</v>
      </c>
      <c r="CI278" s="257"/>
      <c r="CJ278" s="437">
        <v>924420.81660341076</v>
      </c>
      <c r="CK278" s="404">
        <v>-460926</v>
      </c>
      <c r="CL278" s="404"/>
      <c r="CM278" s="437">
        <v>14291.922999999995</v>
      </c>
      <c r="CO278" s="434">
        <v>-18090.117671402721</v>
      </c>
      <c r="CP278" s="437">
        <v>1095.4773544959185</v>
      </c>
      <c r="CQ278" s="437">
        <v>-201567.06027574185</v>
      </c>
      <c r="CR278" s="437">
        <v>77305.036440038879</v>
      </c>
      <c r="CS278" s="257"/>
    </row>
    <row r="279" spans="1:97" x14ac:dyDescent="0.2">
      <c r="A279" s="100">
        <v>921</v>
      </c>
      <c r="B279" s="100" t="s">
        <v>589</v>
      </c>
      <c r="C279" s="100">
        <v>1894</v>
      </c>
      <c r="D279" s="257"/>
      <c r="E279" s="257"/>
      <c r="F279" s="257"/>
      <c r="G279" s="257"/>
      <c r="H279" s="325"/>
      <c r="I279" s="257"/>
      <c r="J279" s="257"/>
      <c r="K279" s="257"/>
      <c r="L279" s="257"/>
      <c r="M279" s="257"/>
      <c r="N279" s="257"/>
      <c r="O279" s="257"/>
      <c r="P279" s="257"/>
      <c r="Q279" s="100">
        <v>43</v>
      </c>
      <c r="R279" s="100">
        <v>11</v>
      </c>
      <c r="S279" s="100">
        <v>71</v>
      </c>
      <c r="T279" s="100">
        <v>51</v>
      </c>
      <c r="U279" s="100">
        <v>1718</v>
      </c>
      <c r="V279" s="100"/>
      <c r="W279" s="100"/>
      <c r="X279" s="100"/>
      <c r="Y279" s="100"/>
      <c r="Z279" s="257"/>
      <c r="AA279" s="257"/>
      <c r="AB279" s="257"/>
      <c r="AC279" s="257"/>
      <c r="AD279" s="257"/>
      <c r="AE279" s="258">
        <v>0.93939541714665009</v>
      </c>
      <c r="AG279" s="441">
        <v>66</v>
      </c>
      <c r="AH279" s="443">
        <v>738</v>
      </c>
      <c r="AJ279" s="88">
        <v>29</v>
      </c>
      <c r="AM279" s="88">
        <v>0</v>
      </c>
      <c r="AN279" s="88">
        <v>2</v>
      </c>
      <c r="AP279" s="88">
        <v>0</v>
      </c>
      <c r="AQ279" s="399">
        <v>0</v>
      </c>
      <c r="AR279" s="88">
        <v>422.63</v>
      </c>
      <c r="AU279" s="399">
        <v>60</v>
      </c>
      <c r="AV279" s="399">
        <v>383</v>
      </c>
      <c r="AY279" s="88">
        <v>1.6164666666666667</v>
      </c>
      <c r="AZ279" s="432">
        <v>530</v>
      </c>
      <c r="BA279" s="440">
        <v>631</v>
      </c>
      <c r="BC279" s="439">
        <v>0</v>
      </c>
      <c r="BD279" s="88">
        <v>0</v>
      </c>
      <c r="BE279" s="88">
        <v>0</v>
      </c>
      <c r="BF279" s="434">
        <v>-58197</v>
      </c>
      <c r="BG279" s="100">
        <v>-37882.120000000003</v>
      </c>
      <c r="BH279" s="257"/>
      <c r="BI279" s="100"/>
      <c r="BJ279" s="257"/>
      <c r="BK279" s="100"/>
      <c r="BL279" s="100"/>
      <c r="BM279" s="100"/>
      <c r="BN279" s="257"/>
      <c r="BO279" s="100"/>
      <c r="BP279" s="100">
        <v>272212</v>
      </c>
      <c r="BQ279" s="100">
        <v>80979</v>
      </c>
      <c r="BR279" s="100">
        <v>222117.16686815341</v>
      </c>
      <c r="BS279" s="100">
        <v>13393.678597821072</v>
      </c>
      <c r="BT279" s="100">
        <v>24441.044251301781</v>
      </c>
      <c r="BU279" s="100">
        <v>105814.7538803817</v>
      </c>
      <c r="BV279" s="100">
        <v>121929.47807716508</v>
      </c>
      <c r="BW279" s="100">
        <v>201205.73777891742</v>
      </c>
      <c r="BX279" s="100">
        <v>64741.537510849092</v>
      </c>
      <c r="BY279" s="100">
        <v>110994.11100456932</v>
      </c>
      <c r="BZ279" s="257"/>
      <c r="CA279" s="100"/>
      <c r="CB279" s="257"/>
      <c r="CC279" s="257"/>
      <c r="CD279" s="257"/>
      <c r="CE279" s="100">
        <v>154615.7049721652</v>
      </c>
      <c r="CF279" s="100">
        <v>81233.423171722679</v>
      </c>
      <c r="CG279" s="100">
        <v>75549.033645250413</v>
      </c>
      <c r="CH279" s="100">
        <v>489829.10183069477</v>
      </c>
      <c r="CI279" s="257"/>
      <c r="CJ279" s="437">
        <v>1060693.5749849083</v>
      </c>
      <c r="CK279" s="404">
        <v>245202</v>
      </c>
      <c r="CL279" s="404"/>
      <c r="CM279" s="437">
        <v>202265.02299999999</v>
      </c>
      <c r="CO279" s="434">
        <v>716128.11511686561</v>
      </c>
      <c r="CP279" s="437">
        <v>55830.445786434037</v>
      </c>
      <c r="CQ279" s="437">
        <v>-171350.09522542867</v>
      </c>
      <c r="CR279" s="437">
        <v>65716.22038484455</v>
      </c>
      <c r="CS279" s="257"/>
    </row>
    <row r="280" spans="1:97" x14ac:dyDescent="0.2">
      <c r="A280" s="100">
        <v>922</v>
      </c>
      <c r="B280" s="100" t="s">
        <v>590</v>
      </c>
      <c r="C280" s="100">
        <v>4501</v>
      </c>
      <c r="D280" s="257"/>
      <c r="E280" s="257"/>
      <c r="F280" s="257"/>
      <c r="G280" s="257"/>
      <c r="H280" s="325"/>
      <c r="I280" s="257"/>
      <c r="J280" s="257"/>
      <c r="K280" s="257"/>
      <c r="L280" s="257"/>
      <c r="M280" s="257"/>
      <c r="N280" s="257"/>
      <c r="O280" s="257"/>
      <c r="P280" s="257"/>
      <c r="Q280" s="100">
        <v>260</v>
      </c>
      <c r="R280" s="100">
        <v>59</v>
      </c>
      <c r="S280" s="100">
        <v>405</v>
      </c>
      <c r="T280" s="100">
        <v>206</v>
      </c>
      <c r="U280" s="100">
        <v>3571</v>
      </c>
      <c r="V280" s="100"/>
      <c r="W280" s="100"/>
      <c r="X280" s="100"/>
      <c r="Y280" s="100"/>
      <c r="Z280" s="257"/>
      <c r="AA280" s="257"/>
      <c r="AB280" s="257"/>
      <c r="AC280" s="257"/>
      <c r="AD280" s="257"/>
      <c r="AE280" s="258">
        <v>1.1598554000276744</v>
      </c>
      <c r="AG280" s="441">
        <v>107.66666666666667</v>
      </c>
      <c r="AH280" s="443">
        <v>2132</v>
      </c>
      <c r="AJ280" s="88">
        <v>83</v>
      </c>
      <c r="AM280" s="88">
        <v>0</v>
      </c>
      <c r="AN280" s="88">
        <v>18</v>
      </c>
      <c r="AP280" s="88">
        <v>0</v>
      </c>
      <c r="AQ280" s="399">
        <v>0</v>
      </c>
      <c r="AR280" s="88">
        <v>301.04000000000002</v>
      </c>
      <c r="AU280" s="399">
        <v>113</v>
      </c>
      <c r="AV280" s="399">
        <v>1552</v>
      </c>
      <c r="AY280" s="88">
        <v>0</v>
      </c>
      <c r="AZ280" s="432">
        <v>851</v>
      </c>
      <c r="BA280" s="440">
        <v>2032</v>
      </c>
      <c r="BC280" s="439">
        <v>1.1100000000000001</v>
      </c>
      <c r="BD280" s="88">
        <v>0</v>
      </c>
      <c r="BE280" s="88">
        <v>0</v>
      </c>
      <c r="BF280" s="434">
        <v>-90342.945000000007</v>
      </c>
      <c r="BG280" s="100">
        <v>-83890.07</v>
      </c>
      <c r="BH280" s="257"/>
      <c r="BI280" s="100"/>
      <c r="BJ280" s="257"/>
      <c r="BK280" s="100"/>
      <c r="BL280" s="100"/>
      <c r="BM280" s="100"/>
      <c r="BN280" s="257"/>
      <c r="BO280" s="100"/>
      <c r="BP280" s="100">
        <v>372593</v>
      </c>
      <c r="BQ280" s="100">
        <v>113630</v>
      </c>
      <c r="BR280" s="100">
        <v>247453.05399288182</v>
      </c>
      <c r="BS280" s="100">
        <v>4791.8498891098261</v>
      </c>
      <c r="BT280" s="100">
        <v>24729.809662821259</v>
      </c>
      <c r="BU280" s="100">
        <v>87174.841359042373</v>
      </c>
      <c r="BV280" s="100">
        <v>227204.16309526682</v>
      </c>
      <c r="BW280" s="100">
        <v>331634.24889975326</v>
      </c>
      <c r="BX280" s="100">
        <v>90740.245282264761</v>
      </c>
      <c r="BY280" s="100">
        <v>175356.23759167743</v>
      </c>
      <c r="BZ280" s="257"/>
      <c r="CA280" s="100"/>
      <c r="CB280" s="257"/>
      <c r="CC280" s="257"/>
      <c r="CD280" s="257"/>
      <c r="CE280" s="100">
        <v>232811.23449427751</v>
      </c>
      <c r="CF280" s="100">
        <v>138729.84727571715</v>
      </c>
      <c r="CG280" s="100">
        <v>143613.01931596923</v>
      </c>
      <c r="CH280" s="100">
        <v>697335.80695750774</v>
      </c>
      <c r="CI280" s="257"/>
      <c r="CJ280" s="437">
        <v>1252799.1173364331</v>
      </c>
      <c r="CK280" s="404">
        <v>-1130219</v>
      </c>
      <c r="CL280" s="404"/>
      <c r="CM280" s="437">
        <v>-84453.628499999963</v>
      </c>
      <c r="CO280" s="434">
        <v>-130315.88416116494</v>
      </c>
      <c r="CP280" s="437">
        <v>-161911.93218202316</v>
      </c>
      <c r="CQ280" s="437">
        <v>-407205.26853730436</v>
      </c>
      <c r="CR280" s="437">
        <v>156171.44031266382</v>
      </c>
      <c r="CS280" s="257"/>
    </row>
    <row r="281" spans="1:97" x14ac:dyDescent="0.2">
      <c r="A281" s="100">
        <v>924</v>
      </c>
      <c r="B281" s="100" t="s">
        <v>591</v>
      </c>
      <c r="C281" s="100">
        <v>2946</v>
      </c>
      <c r="D281" s="257"/>
      <c r="E281" s="257"/>
      <c r="F281" s="257"/>
      <c r="G281" s="257"/>
      <c r="H281" s="325"/>
      <c r="I281" s="257"/>
      <c r="J281" s="257"/>
      <c r="K281" s="257"/>
      <c r="L281" s="257"/>
      <c r="M281" s="257"/>
      <c r="N281" s="257"/>
      <c r="O281" s="257"/>
      <c r="P281" s="257"/>
      <c r="Q281" s="100">
        <v>128</v>
      </c>
      <c r="R281" s="100">
        <v>20</v>
      </c>
      <c r="S281" s="100">
        <v>193</v>
      </c>
      <c r="T281" s="100">
        <v>117</v>
      </c>
      <c r="U281" s="100">
        <v>2488</v>
      </c>
      <c r="V281" s="100"/>
      <c r="W281" s="100"/>
      <c r="X281" s="100"/>
      <c r="Y281" s="100"/>
      <c r="Z281" s="257"/>
      <c r="AA281" s="257"/>
      <c r="AB281" s="257"/>
      <c r="AC281" s="257"/>
      <c r="AD281" s="257"/>
      <c r="AE281" s="258">
        <v>0.93157819121743168</v>
      </c>
      <c r="AG281" s="441">
        <v>72.25</v>
      </c>
      <c r="AH281" s="443">
        <v>1296</v>
      </c>
      <c r="AJ281" s="88">
        <v>74</v>
      </c>
      <c r="AM281" s="88">
        <v>0</v>
      </c>
      <c r="AN281" s="88">
        <v>51</v>
      </c>
      <c r="AP281" s="88">
        <v>0</v>
      </c>
      <c r="AQ281" s="399">
        <v>0</v>
      </c>
      <c r="AR281" s="88">
        <v>502.12</v>
      </c>
      <c r="AU281" s="399">
        <v>79</v>
      </c>
      <c r="AV281" s="399">
        <v>754</v>
      </c>
      <c r="AY281" s="88">
        <v>0.99025000000000007</v>
      </c>
      <c r="AZ281" s="432">
        <v>1014</v>
      </c>
      <c r="BA281" s="440">
        <v>1160</v>
      </c>
      <c r="BC281" s="439">
        <v>0</v>
      </c>
      <c r="BD281" s="88">
        <v>0</v>
      </c>
      <c r="BE281" s="88">
        <v>0</v>
      </c>
      <c r="BF281" s="434">
        <v>-46631.294999999998</v>
      </c>
      <c r="BG281" s="100">
        <v>-58878.65</v>
      </c>
      <c r="BH281" s="257"/>
      <c r="BI281" s="100"/>
      <c r="BJ281" s="257"/>
      <c r="BK281" s="100"/>
      <c r="BL281" s="100"/>
      <c r="BM281" s="100"/>
      <c r="BN281" s="257"/>
      <c r="BO281" s="100"/>
      <c r="BP281" s="100">
        <v>317973</v>
      </c>
      <c r="BQ281" s="100">
        <v>108817</v>
      </c>
      <c r="BR281" s="100">
        <v>294373.60149089992</v>
      </c>
      <c r="BS281" s="100">
        <v>16327.450232480376</v>
      </c>
      <c r="BT281" s="100">
        <v>23733.81038234982</v>
      </c>
      <c r="BU281" s="100">
        <v>124141.35144134986</v>
      </c>
      <c r="BV281" s="100">
        <v>210098.31038825971</v>
      </c>
      <c r="BW281" s="100">
        <v>352062.1337239467</v>
      </c>
      <c r="BX281" s="100">
        <v>99079.527335056671</v>
      </c>
      <c r="BY281" s="100">
        <v>163968.8276254966</v>
      </c>
      <c r="BZ281" s="257"/>
      <c r="CA281" s="100"/>
      <c r="CB281" s="257"/>
      <c r="CC281" s="257"/>
      <c r="CD281" s="257"/>
      <c r="CE281" s="100">
        <v>233081.60563204729</v>
      </c>
      <c r="CF281" s="100">
        <v>132683.18284001428</v>
      </c>
      <c r="CG281" s="100">
        <v>127689.2460359831</v>
      </c>
      <c r="CH281" s="100">
        <v>720400.04595424735</v>
      </c>
      <c r="CI281" s="257"/>
      <c r="CJ281" s="437">
        <v>1638184.7060515159</v>
      </c>
      <c r="CK281" s="404">
        <v>100275</v>
      </c>
      <c r="CL281" s="404"/>
      <c r="CM281" s="437">
        <v>16410.350000000006</v>
      </c>
      <c r="CO281" s="434">
        <v>141827.6274366127</v>
      </c>
      <c r="CP281" s="437">
        <v>-105679.80431318947</v>
      </c>
      <c r="CQ281" s="437">
        <v>-266524.48813839117</v>
      </c>
      <c r="CR281" s="437">
        <v>102217.52125330096</v>
      </c>
      <c r="CS281" s="257"/>
    </row>
    <row r="282" spans="1:97" x14ac:dyDescent="0.2">
      <c r="A282" s="100">
        <v>925</v>
      </c>
      <c r="B282" s="100" t="s">
        <v>592</v>
      </c>
      <c r="C282" s="100">
        <v>3427</v>
      </c>
      <c r="D282" s="257"/>
      <c r="E282" s="257"/>
      <c r="F282" s="257"/>
      <c r="G282" s="257"/>
      <c r="H282" s="325"/>
      <c r="I282" s="257"/>
      <c r="J282" s="257"/>
      <c r="K282" s="257"/>
      <c r="L282" s="257"/>
      <c r="M282" s="257"/>
      <c r="N282" s="257"/>
      <c r="O282" s="257"/>
      <c r="P282" s="257"/>
      <c r="Q282" s="100">
        <v>141</v>
      </c>
      <c r="R282" s="100">
        <v>35</v>
      </c>
      <c r="S282" s="100">
        <v>248</v>
      </c>
      <c r="T282" s="100">
        <v>97</v>
      </c>
      <c r="U282" s="100">
        <v>2906</v>
      </c>
      <c r="V282" s="100"/>
      <c r="W282" s="100"/>
      <c r="X282" s="100"/>
      <c r="Y282" s="100"/>
      <c r="Z282" s="257"/>
      <c r="AA282" s="257"/>
      <c r="AB282" s="257"/>
      <c r="AC282" s="257"/>
      <c r="AD282" s="257"/>
      <c r="AE282" s="258">
        <v>0.87007957596349361</v>
      </c>
      <c r="AG282" s="441">
        <v>117.33333333333333</v>
      </c>
      <c r="AH282" s="443">
        <v>1622</v>
      </c>
      <c r="AJ282" s="88">
        <v>135</v>
      </c>
      <c r="AM282" s="88">
        <v>0</v>
      </c>
      <c r="AN282" s="88">
        <v>4</v>
      </c>
      <c r="AP282" s="88">
        <v>0</v>
      </c>
      <c r="AQ282" s="399">
        <v>0</v>
      </c>
      <c r="AR282" s="88">
        <v>925.28</v>
      </c>
      <c r="AU282" s="399">
        <v>148</v>
      </c>
      <c r="AV282" s="399">
        <v>984</v>
      </c>
      <c r="AY282" s="88">
        <v>0.83401666666666663</v>
      </c>
      <c r="AZ282" s="432">
        <v>2023</v>
      </c>
      <c r="BA282" s="440">
        <v>1470</v>
      </c>
      <c r="BC282" s="439">
        <v>0</v>
      </c>
      <c r="BD282" s="88">
        <v>0</v>
      </c>
      <c r="BE282" s="88">
        <v>0</v>
      </c>
      <c r="BF282" s="434">
        <v>-71140.759999999995</v>
      </c>
      <c r="BG282" s="100">
        <v>-67657.62000000001</v>
      </c>
      <c r="BH282" s="257"/>
      <c r="BI282" s="100"/>
      <c r="BJ282" s="257"/>
      <c r="BK282" s="100"/>
      <c r="BL282" s="100"/>
      <c r="BM282" s="100"/>
      <c r="BN282" s="257"/>
      <c r="BO282" s="100"/>
      <c r="BP282" s="100">
        <v>384706</v>
      </c>
      <c r="BQ282" s="100">
        <v>121762</v>
      </c>
      <c r="BR282" s="100">
        <v>310293.88668585266</v>
      </c>
      <c r="BS282" s="100">
        <v>16652.303525979642</v>
      </c>
      <c r="BT282" s="100">
        <v>51151.930757798465</v>
      </c>
      <c r="BU282" s="100">
        <v>148958.92855102531</v>
      </c>
      <c r="BV282" s="100">
        <v>218427.78682115505</v>
      </c>
      <c r="BW282" s="100">
        <v>366883.53876372147</v>
      </c>
      <c r="BX282" s="100">
        <v>109056.87091837132</v>
      </c>
      <c r="BY282" s="100">
        <v>190013.84041287802</v>
      </c>
      <c r="BZ282" s="257"/>
      <c r="CA282" s="100"/>
      <c r="CB282" s="257"/>
      <c r="CC282" s="257"/>
      <c r="CD282" s="257"/>
      <c r="CE282" s="100">
        <v>272572.40915278619</v>
      </c>
      <c r="CF282" s="100">
        <v>144471.5371475771</v>
      </c>
      <c r="CG282" s="100">
        <v>137565.34323565147</v>
      </c>
      <c r="CH282" s="100">
        <v>820530.34692520485</v>
      </c>
      <c r="CI282" s="257"/>
      <c r="CJ282" s="437">
        <v>-20416.79060073354</v>
      </c>
      <c r="CK282" s="404">
        <v>-27667</v>
      </c>
      <c r="CL282" s="404"/>
      <c r="CM282" s="437">
        <v>58182.150000000009</v>
      </c>
      <c r="CO282" s="434">
        <v>1247514.9031218986</v>
      </c>
      <c r="CP282" s="437">
        <v>879113.49961405934</v>
      </c>
      <c r="CQ282" s="437">
        <v>-310040.53660905181</v>
      </c>
      <c r="CR282" s="437">
        <v>118906.80425494311</v>
      </c>
      <c r="CS282" s="257"/>
    </row>
    <row r="283" spans="1:97" x14ac:dyDescent="0.2">
      <c r="A283" s="100">
        <v>927</v>
      </c>
      <c r="B283" s="100" t="s">
        <v>593</v>
      </c>
      <c r="C283" s="100">
        <v>28913</v>
      </c>
      <c r="D283" s="257"/>
      <c r="E283" s="257"/>
      <c r="F283" s="257"/>
      <c r="G283" s="257"/>
      <c r="H283" s="325"/>
      <c r="I283" s="257"/>
      <c r="J283" s="257"/>
      <c r="K283" s="257"/>
      <c r="L283" s="257"/>
      <c r="M283" s="257"/>
      <c r="N283" s="257"/>
      <c r="O283" s="257"/>
      <c r="P283" s="257"/>
      <c r="Q283" s="100">
        <v>1608</v>
      </c>
      <c r="R283" s="100">
        <v>295</v>
      </c>
      <c r="S283" s="100">
        <v>2259</v>
      </c>
      <c r="T283" s="100">
        <v>1256</v>
      </c>
      <c r="U283" s="100">
        <v>23495</v>
      </c>
      <c r="V283" s="100"/>
      <c r="W283" s="100"/>
      <c r="X283" s="100"/>
      <c r="Y283" s="100"/>
      <c r="Z283" s="257"/>
      <c r="AA283" s="257"/>
      <c r="AB283" s="257"/>
      <c r="AC283" s="257"/>
      <c r="AD283" s="257"/>
      <c r="AE283" s="258">
        <v>1.0143962205545312</v>
      </c>
      <c r="AG283" s="441">
        <v>1031.3333333333333</v>
      </c>
      <c r="AH283" s="443">
        <v>14563</v>
      </c>
      <c r="AJ283" s="88">
        <v>1887</v>
      </c>
      <c r="AM283" s="88">
        <v>0</v>
      </c>
      <c r="AN283" s="88">
        <v>490</v>
      </c>
      <c r="AP283" s="88">
        <v>0</v>
      </c>
      <c r="AQ283" s="399">
        <v>0</v>
      </c>
      <c r="AR283" s="88">
        <v>522.02</v>
      </c>
      <c r="AU283" s="399">
        <v>1433</v>
      </c>
      <c r="AV283" s="399">
        <v>9826</v>
      </c>
      <c r="AY283" s="88">
        <v>0</v>
      </c>
      <c r="AZ283" s="432">
        <v>8025</v>
      </c>
      <c r="BA283" s="440">
        <v>13447</v>
      </c>
      <c r="BC283" s="439">
        <v>0</v>
      </c>
      <c r="BD283" s="88">
        <v>0</v>
      </c>
      <c r="BE283" s="88">
        <v>3</v>
      </c>
      <c r="BF283" s="434">
        <v>-1538548.4850000001</v>
      </c>
      <c r="BG283" s="100">
        <v>-560163.6</v>
      </c>
      <c r="BH283" s="257"/>
      <c r="BI283" s="100"/>
      <c r="BJ283" s="257"/>
      <c r="BK283" s="100"/>
      <c r="BL283" s="100"/>
      <c r="BM283" s="100"/>
      <c r="BN283" s="257"/>
      <c r="BO283" s="100"/>
      <c r="BP283" s="100">
        <v>2001890</v>
      </c>
      <c r="BQ283" s="100">
        <v>666810</v>
      </c>
      <c r="BR283" s="100">
        <v>1272981.3959105464</v>
      </c>
      <c r="BS283" s="100">
        <v>-2804.2325492603327</v>
      </c>
      <c r="BT283" s="100">
        <v>-241738.51153038506</v>
      </c>
      <c r="BU283" s="100">
        <v>313170.38375441561</v>
      </c>
      <c r="BV283" s="100">
        <v>1325133.6142187256</v>
      </c>
      <c r="BW283" s="100">
        <v>2049572.9673950246</v>
      </c>
      <c r="BX283" s="100">
        <v>606296.42180101236</v>
      </c>
      <c r="BY283" s="100">
        <v>1053102.9774397961</v>
      </c>
      <c r="BZ283" s="257"/>
      <c r="CA283" s="100"/>
      <c r="CB283" s="257"/>
      <c r="CC283" s="257"/>
      <c r="CD283" s="257"/>
      <c r="CE283" s="100">
        <v>1311766.7570832449</v>
      </c>
      <c r="CF283" s="100">
        <v>892238.0160402701</v>
      </c>
      <c r="CG283" s="100">
        <v>900745.74724571116</v>
      </c>
      <c r="CH283" s="100">
        <v>4028182.342729406</v>
      </c>
      <c r="CI283" s="257"/>
      <c r="CJ283" s="437">
        <v>2622340.0928733731</v>
      </c>
      <c r="CK283" s="404">
        <v>-3203849</v>
      </c>
      <c r="CL283" s="404"/>
      <c r="CM283" s="437">
        <v>-181300.05494999979</v>
      </c>
      <c r="CO283" s="434">
        <v>1374124.0381491049</v>
      </c>
      <c r="CP283" s="437">
        <v>1254669.5342000159</v>
      </c>
      <c r="CQ283" s="437">
        <v>-2615757.8158673807</v>
      </c>
      <c r="CR283" s="437">
        <v>1003195.9239635746</v>
      </c>
      <c r="CS283" s="257"/>
    </row>
    <row r="284" spans="1:97" x14ac:dyDescent="0.2">
      <c r="A284" s="100">
        <v>931</v>
      </c>
      <c r="B284" s="100" t="s">
        <v>594</v>
      </c>
      <c r="C284" s="100">
        <v>5951</v>
      </c>
      <c r="D284" s="257"/>
      <c r="E284" s="257"/>
      <c r="F284" s="257"/>
      <c r="G284" s="257"/>
      <c r="H284" s="325"/>
      <c r="I284" s="257"/>
      <c r="J284" s="257"/>
      <c r="K284" s="257"/>
      <c r="L284" s="257"/>
      <c r="M284" s="257"/>
      <c r="N284" s="257"/>
      <c r="O284" s="257"/>
      <c r="P284" s="257"/>
      <c r="Q284" s="100">
        <v>231</v>
      </c>
      <c r="R284" s="100">
        <v>51</v>
      </c>
      <c r="S284" s="100">
        <v>283</v>
      </c>
      <c r="T284" s="100">
        <v>151</v>
      </c>
      <c r="U284" s="100">
        <v>5235</v>
      </c>
      <c r="V284" s="100"/>
      <c r="W284" s="100"/>
      <c r="X284" s="100"/>
      <c r="Y284" s="100"/>
      <c r="Z284" s="257"/>
      <c r="AA284" s="257"/>
      <c r="AB284" s="257"/>
      <c r="AC284" s="257"/>
      <c r="AD284" s="257"/>
      <c r="AE284" s="258">
        <v>0.91217893791346083</v>
      </c>
      <c r="AG284" s="441">
        <v>227.66666666666666</v>
      </c>
      <c r="AH284" s="443">
        <v>2427</v>
      </c>
      <c r="AJ284" s="88">
        <v>120</v>
      </c>
      <c r="AM284" s="88">
        <v>0</v>
      </c>
      <c r="AN284" s="88">
        <v>12</v>
      </c>
      <c r="AP284" s="88">
        <v>0</v>
      </c>
      <c r="AQ284" s="399">
        <v>0</v>
      </c>
      <c r="AR284" s="88">
        <v>1248.53</v>
      </c>
      <c r="AU284" s="399">
        <v>204</v>
      </c>
      <c r="AV284" s="399">
        <v>1340</v>
      </c>
      <c r="AY284" s="88">
        <v>1.4403999999999999</v>
      </c>
      <c r="AZ284" s="432">
        <v>2241</v>
      </c>
      <c r="BA284" s="440">
        <v>2135</v>
      </c>
      <c r="BC284" s="439">
        <v>0</v>
      </c>
      <c r="BD284" s="88">
        <v>0</v>
      </c>
      <c r="BE284" s="88">
        <v>0</v>
      </c>
      <c r="BF284" s="434">
        <v>-252702.2</v>
      </c>
      <c r="BG284" s="100">
        <v>-117123.37000000001</v>
      </c>
      <c r="BH284" s="257"/>
      <c r="BI284" s="100"/>
      <c r="BJ284" s="257"/>
      <c r="BK284" s="100"/>
      <c r="BL284" s="100"/>
      <c r="BM284" s="100"/>
      <c r="BN284" s="257"/>
      <c r="BO284" s="100"/>
      <c r="BP284" s="100">
        <v>657403</v>
      </c>
      <c r="BQ284" s="100">
        <v>205740</v>
      </c>
      <c r="BR284" s="100">
        <v>515917.62991671666</v>
      </c>
      <c r="BS284" s="100">
        <v>27738.114858243203</v>
      </c>
      <c r="BT284" s="100">
        <v>74511.391240933925</v>
      </c>
      <c r="BU284" s="100">
        <v>279038.21657610091</v>
      </c>
      <c r="BV284" s="100">
        <v>384013.80918677722</v>
      </c>
      <c r="BW284" s="100">
        <v>605953.82171007432</v>
      </c>
      <c r="BX284" s="100">
        <v>181857.56105457552</v>
      </c>
      <c r="BY284" s="100">
        <v>335745.7182726537</v>
      </c>
      <c r="BZ284" s="257"/>
      <c r="CA284" s="100"/>
      <c r="CB284" s="257"/>
      <c r="CC284" s="257"/>
      <c r="CD284" s="257"/>
      <c r="CE284" s="100">
        <v>418176.46130733541</v>
      </c>
      <c r="CF284" s="100">
        <v>237191.00515893355</v>
      </c>
      <c r="CG284" s="100">
        <v>229172.3865906859</v>
      </c>
      <c r="CH284" s="100">
        <v>1309714.2925791396</v>
      </c>
      <c r="CI284" s="257"/>
      <c r="CJ284" s="437">
        <v>2372291.80699465</v>
      </c>
      <c r="CK284" s="404">
        <v>145870</v>
      </c>
      <c r="CL284" s="404"/>
      <c r="CM284" s="437">
        <v>-93091.44</v>
      </c>
      <c r="CO284" s="434">
        <v>2422506.1543391398</v>
      </c>
      <c r="CP284" s="437">
        <v>1592718.5995857345</v>
      </c>
      <c r="CQ284" s="437">
        <v>-538386.70363596943</v>
      </c>
      <c r="CR284" s="437">
        <v>206482.16869599253</v>
      </c>
      <c r="CS284" s="257"/>
    </row>
    <row r="285" spans="1:97" x14ac:dyDescent="0.2">
      <c r="A285" s="100">
        <v>934</v>
      </c>
      <c r="B285" s="100" t="s">
        <v>595</v>
      </c>
      <c r="C285" s="100">
        <v>2671</v>
      </c>
      <c r="D285" s="257"/>
      <c r="E285" s="257"/>
      <c r="F285" s="257"/>
      <c r="G285" s="257"/>
      <c r="H285" s="325"/>
      <c r="I285" s="257"/>
      <c r="J285" s="257"/>
      <c r="K285" s="257"/>
      <c r="L285" s="257"/>
      <c r="M285" s="257"/>
      <c r="N285" s="257"/>
      <c r="O285" s="257"/>
      <c r="P285" s="257"/>
      <c r="Q285" s="100">
        <v>83</v>
      </c>
      <c r="R285" s="100">
        <v>25</v>
      </c>
      <c r="S285" s="100">
        <v>181</v>
      </c>
      <c r="T285" s="100">
        <v>78</v>
      </c>
      <c r="U285" s="100">
        <v>2304</v>
      </c>
      <c r="V285" s="100"/>
      <c r="W285" s="100"/>
      <c r="X285" s="100"/>
      <c r="Y285" s="100"/>
      <c r="Z285" s="257"/>
      <c r="AA285" s="257"/>
      <c r="AB285" s="257"/>
      <c r="AC285" s="257"/>
      <c r="AD285" s="257"/>
      <c r="AE285" s="258">
        <v>0.85405544693512281</v>
      </c>
      <c r="AG285" s="441">
        <v>62.583333333333336</v>
      </c>
      <c r="AH285" s="443">
        <v>1173</v>
      </c>
      <c r="AJ285" s="88">
        <v>50</v>
      </c>
      <c r="AM285" s="88">
        <v>0</v>
      </c>
      <c r="AN285" s="88">
        <v>5</v>
      </c>
      <c r="AP285" s="88">
        <v>0</v>
      </c>
      <c r="AQ285" s="399">
        <v>0</v>
      </c>
      <c r="AR285" s="88">
        <v>287.32</v>
      </c>
      <c r="AU285" s="399">
        <v>77</v>
      </c>
      <c r="AV285" s="399">
        <v>688</v>
      </c>
      <c r="AY285" s="88">
        <v>0.61865000000000003</v>
      </c>
      <c r="AZ285" s="432">
        <v>963</v>
      </c>
      <c r="BA285" s="440">
        <v>1083</v>
      </c>
      <c r="BC285" s="439">
        <v>0</v>
      </c>
      <c r="BD285" s="88">
        <v>0</v>
      </c>
      <c r="BE285" s="88">
        <v>0</v>
      </c>
      <c r="BF285" s="434">
        <v>-39519.964999999997</v>
      </c>
      <c r="BG285" s="100">
        <v>-53480.639999999999</v>
      </c>
      <c r="BH285" s="257"/>
      <c r="BI285" s="100"/>
      <c r="BJ285" s="257"/>
      <c r="BK285" s="100"/>
      <c r="BL285" s="100"/>
      <c r="BM285" s="100"/>
      <c r="BN285" s="257"/>
      <c r="BO285" s="100"/>
      <c r="BP285" s="100">
        <v>269532</v>
      </c>
      <c r="BQ285" s="100">
        <v>84479</v>
      </c>
      <c r="BR285" s="100">
        <v>192990.46542252702</v>
      </c>
      <c r="BS285" s="100">
        <v>11427.029083337118</v>
      </c>
      <c r="BT285" s="100">
        <v>35994.075537656441</v>
      </c>
      <c r="BU285" s="100">
        <v>114257.76571970747</v>
      </c>
      <c r="BV285" s="100">
        <v>156334.3171932257</v>
      </c>
      <c r="BW285" s="100">
        <v>279271.34932618582</v>
      </c>
      <c r="BX285" s="100">
        <v>77610.954709396305</v>
      </c>
      <c r="BY285" s="100">
        <v>141793.0574650268</v>
      </c>
      <c r="BZ285" s="257"/>
      <c r="CA285" s="100"/>
      <c r="CB285" s="257"/>
      <c r="CC285" s="257"/>
      <c r="CD285" s="257"/>
      <c r="CE285" s="100">
        <v>185169.51761406538</v>
      </c>
      <c r="CF285" s="100">
        <v>100041.8239323195</v>
      </c>
      <c r="CG285" s="100">
        <v>99038.066528682393</v>
      </c>
      <c r="CH285" s="100">
        <v>561899.0903256645</v>
      </c>
      <c r="CI285" s="257"/>
      <c r="CJ285" s="437">
        <v>1224823.7886438149</v>
      </c>
      <c r="CK285" s="404">
        <v>-787755</v>
      </c>
      <c r="CL285" s="404"/>
      <c r="CM285" s="437">
        <v>-2406652.42</v>
      </c>
      <c r="CO285" s="434">
        <v>387424.00475051533</v>
      </c>
      <c r="CP285" s="437">
        <v>24590.387383175264</v>
      </c>
      <c r="CQ285" s="437">
        <v>-241645.25044726505</v>
      </c>
      <c r="CR285" s="437">
        <v>92675.831387497237</v>
      </c>
      <c r="CS285" s="257"/>
    </row>
    <row r="286" spans="1:97" x14ac:dyDescent="0.2">
      <c r="A286" s="100">
        <v>935</v>
      </c>
      <c r="B286" s="100" t="s">
        <v>596</v>
      </c>
      <c r="C286" s="100">
        <v>2985</v>
      </c>
      <c r="D286" s="257"/>
      <c r="E286" s="257"/>
      <c r="F286" s="257"/>
      <c r="G286" s="257"/>
      <c r="H286" s="325"/>
      <c r="I286" s="257"/>
      <c r="J286" s="257"/>
      <c r="K286" s="257"/>
      <c r="L286" s="257"/>
      <c r="M286" s="257"/>
      <c r="N286" s="257"/>
      <c r="O286" s="257"/>
      <c r="P286" s="257"/>
      <c r="Q286" s="100">
        <v>92</v>
      </c>
      <c r="R286" s="100">
        <v>19</v>
      </c>
      <c r="S286" s="100">
        <v>174</v>
      </c>
      <c r="T286" s="100">
        <v>78</v>
      </c>
      <c r="U286" s="100">
        <v>2622</v>
      </c>
      <c r="V286" s="100"/>
      <c r="W286" s="100"/>
      <c r="X286" s="100"/>
      <c r="Y286" s="100"/>
      <c r="Z286" s="257"/>
      <c r="AA286" s="257"/>
      <c r="AB286" s="257"/>
      <c r="AC286" s="257"/>
      <c r="AD286" s="257"/>
      <c r="AE286" s="258">
        <v>0.63843261330797429</v>
      </c>
      <c r="AG286" s="441">
        <v>153.41666666666666</v>
      </c>
      <c r="AH286" s="443">
        <v>1322</v>
      </c>
      <c r="AJ286" s="88">
        <v>179</v>
      </c>
      <c r="AM286" s="88">
        <v>0</v>
      </c>
      <c r="AN286" s="88">
        <v>13</v>
      </c>
      <c r="AP286" s="88">
        <v>0</v>
      </c>
      <c r="AQ286" s="399">
        <v>0</v>
      </c>
      <c r="AR286" s="88">
        <v>372.47</v>
      </c>
      <c r="AU286" s="399">
        <v>122</v>
      </c>
      <c r="AV286" s="399">
        <v>814</v>
      </c>
      <c r="AY286" s="88">
        <v>0.64713333333333334</v>
      </c>
      <c r="AZ286" s="432">
        <v>1134</v>
      </c>
      <c r="BA286" s="440">
        <v>1107</v>
      </c>
      <c r="BC286" s="439">
        <v>0</v>
      </c>
      <c r="BD286" s="88">
        <v>0</v>
      </c>
      <c r="BE286" s="88">
        <v>0</v>
      </c>
      <c r="BF286" s="434">
        <v>-97147.375</v>
      </c>
      <c r="BG286" s="100">
        <v>-59301.270000000004</v>
      </c>
      <c r="BH286" s="257"/>
      <c r="BI286" s="100"/>
      <c r="BJ286" s="257"/>
      <c r="BK286" s="100"/>
      <c r="BL286" s="100"/>
      <c r="BM286" s="100"/>
      <c r="BN286" s="257"/>
      <c r="BO286" s="100"/>
      <c r="BP286" s="100">
        <v>336888</v>
      </c>
      <c r="BQ286" s="100">
        <v>99871</v>
      </c>
      <c r="BR286" s="100">
        <v>256904.24509742271</v>
      </c>
      <c r="BS286" s="100">
        <v>13719.698860165583</v>
      </c>
      <c r="BT286" s="100">
        <v>-12878.79392371824</v>
      </c>
      <c r="BU286" s="100">
        <v>104242.25499510784</v>
      </c>
      <c r="BV286" s="100">
        <v>189902.32915382829</v>
      </c>
      <c r="BW286" s="100">
        <v>282218.58446444175</v>
      </c>
      <c r="BX286" s="100">
        <v>89919.433987474025</v>
      </c>
      <c r="BY286" s="100">
        <v>149458.78541659366</v>
      </c>
      <c r="BZ286" s="257"/>
      <c r="CA286" s="100"/>
      <c r="CB286" s="257"/>
      <c r="CC286" s="257"/>
      <c r="CD286" s="257"/>
      <c r="CE286" s="100">
        <v>206053.36202665238</v>
      </c>
      <c r="CF286" s="100">
        <v>111771.89112685526</v>
      </c>
      <c r="CG286" s="100">
        <v>113716.88476440294</v>
      </c>
      <c r="CH286" s="100">
        <v>622487.32514186262</v>
      </c>
      <c r="CI286" s="257"/>
      <c r="CJ286" s="437">
        <v>1085050.7477332584</v>
      </c>
      <c r="CK286" s="404">
        <v>216270</v>
      </c>
      <c r="CL286" s="404"/>
      <c r="CM286" s="437">
        <v>1262075.2630000003</v>
      </c>
      <c r="CO286" s="434">
        <v>50698.728728709175</v>
      </c>
      <c r="CP286" s="437">
        <v>118685.57183240456</v>
      </c>
      <c r="CQ286" s="437">
        <v>-270052.81639276905</v>
      </c>
      <c r="CR286" s="437">
        <v>103570.70636154222</v>
      </c>
      <c r="CS286" s="257"/>
    </row>
    <row r="287" spans="1:97" x14ac:dyDescent="0.2">
      <c r="A287" s="100">
        <v>936</v>
      </c>
      <c r="B287" s="100" t="s">
        <v>597</v>
      </c>
      <c r="C287" s="100">
        <v>6395</v>
      </c>
      <c r="D287" s="257"/>
      <c r="E287" s="257"/>
      <c r="F287" s="257"/>
      <c r="G287" s="257"/>
      <c r="H287" s="325"/>
      <c r="I287" s="257"/>
      <c r="J287" s="257"/>
      <c r="K287" s="257"/>
      <c r="L287" s="257"/>
      <c r="M287" s="257"/>
      <c r="N287" s="257"/>
      <c r="O287" s="257"/>
      <c r="P287" s="257"/>
      <c r="Q287" s="100">
        <v>230</v>
      </c>
      <c r="R287" s="100">
        <v>50</v>
      </c>
      <c r="S287" s="100">
        <v>336</v>
      </c>
      <c r="T287" s="100">
        <v>193</v>
      </c>
      <c r="U287" s="100">
        <v>5586</v>
      </c>
      <c r="V287" s="100"/>
      <c r="W287" s="100"/>
      <c r="X287" s="100"/>
      <c r="Y287" s="100"/>
      <c r="Z287" s="257"/>
      <c r="AA287" s="257"/>
      <c r="AB287" s="257"/>
      <c r="AC287" s="257"/>
      <c r="AD287" s="257"/>
      <c r="AE287" s="258">
        <v>0.88825068051913547</v>
      </c>
      <c r="AG287" s="441">
        <v>204.66666666666666</v>
      </c>
      <c r="AH287" s="443">
        <v>2535</v>
      </c>
      <c r="AJ287" s="88">
        <v>175</v>
      </c>
      <c r="AM287" s="88">
        <v>0</v>
      </c>
      <c r="AN287" s="88">
        <v>9</v>
      </c>
      <c r="AP287" s="88">
        <v>0</v>
      </c>
      <c r="AQ287" s="399">
        <v>0</v>
      </c>
      <c r="AR287" s="88">
        <v>1162.6300000000001</v>
      </c>
      <c r="AU287" s="399">
        <v>217</v>
      </c>
      <c r="AV287" s="399">
        <v>1525</v>
      </c>
      <c r="AY287" s="88">
        <v>1.0767333333333333</v>
      </c>
      <c r="AZ287" s="432">
        <v>2289</v>
      </c>
      <c r="BA287" s="440">
        <v>2329</v>
      </c>
      <c r="BC287" s="439">
        <v>0</v>
      </c>
      <c r="BD287" s="88">
        <v>0</v>
      </c>
      <c r="BE287" s="88">
        <v>0</v>
      </c>
      <c r="BF287" s="434">
        <v>-190619.92499999999</v>
      </c>
      <c r="BG287" s="100">
        <v>-125057.1</v>
      </c>
      <c r="BH287" s="257"/>
      <c r="BI287" s="100"/>
      <c r="BJ287" s="257"/>
      <c r="BK287" s="100"/>
      <c r="BL287" s="100"/>
      <c r="BM287" s="100"/>
      <c r="BN287" s="257"/>
      <c r="BO287" s="100"/>
      <c r="BP287" s="100">
        <v>704678</v>
      </c>
      <c r="BQ287" s="100">
        <v>221566</v>
      </c>
      <c r="BR287" s="100">
        <v>572270.71669439424</v>
      </c>
      <c r="BS287" s="100">
        <v>29515.069544133108</v>
      </c>
      <c r="BT287" s="100">
        <v>92555.460640051315</v>
      </c>
      <c r="BU287" s="100">
        <v>283008.96376369183</v>
      </c>
      <c r="BV287" s="100">
        <v>392803.36492157291</v>
      </c>
      <c r="BW287" s="100">
        <v>629761.4540615771</v>
      </c>
      <c r="BX287" s="100">
        <v>183218.23571596757</v>
      </c>
      <c r="BY287" s="100">
        <v>336766.08582241257</v>
      </c>
      <c r="BZ287" s="257"/>
      <c r="CA287" s="100"/>
      <c r="CB287" s="257"/>
      <c r="CC287" s="257"/>
      <c r="CD287" s="257"/>
      <c r="CE287" s="100">
        <v>467947.97790871916</v>
      </c>
      <c r="CF287" s="100">
        <v>253578.6713108691</v>
      </c>
      <c r="CG287" s="100">
        <v>237515.05888186727</v>
      </c>
      <c r="CH287" s="100">
        <v>1416579.1150791266</v>
      </c>
      <c r="CI287" s="257"/>
      <c r="CJ287" s="437">
        <v>2007797.9339286697</v>
      </c>
      <c r="CK287" s="404">
        <v>524546</v>
      </c>
      <c r="CL287" s="404"/>
      <c r="CM287" s="437">
        <v>87317.980499999976</v>
      </c>
      <c r="CO287" s="434">
        <v>1985608.0072656625</v>
      </c>
      <c r="CP287" s="437">
        <v>882473.11242030957</v>
      </c>
      <c r="CQ287" s="437">
        <v>-578555.36376273306</v>
      </c>
      <c r="CR287" s="437">
        <v>221887.66069750837</v>
      </c>
      <c r="CS287" s="257"/>
    </row>
    <row r="288" spans="1:97" x14ac:dyDescent="0.2">
      <c r="A288" s="100">
        <v>946</v>
      </c>
      <c r="B288" s="100" t="s">
        <v>598</v>
      </c>
      <c r="C288" s="100">
        <v>6287</v>
      </c>
      <c r="D288" s="257"/>
      <c r="E288" s="257"/>
      <c r="F288" s="257"/>
      <c r="G288" s="257"/>
      <c r="H288" s="325"/>
      <c r="I288" s="257"/>
      <c r="J288" s="257"/>
      <c r="K288" s="257"/>
      <c r="L288" s="257"/>
      <c r="M288" s="257"/>
      <c r="N288" s="257"/>
      <c r="O288" s="257"/>
      <c r="P288" s="257"/>
      <c r="Q288" s="100">
        <v>386</v>
      </c>
      <c r="R288" s="100">
        <v>60</v>
      </c>
      <c r="S288" s="100">
        <v>471</v>
      </c>
      <c r="T288" s="100">
        <v>244</v>
      </c>
      <c r="U288" s="100">
        <v>5126</v>
      </c>
      <c r="V288" s="100"/>
      <c r="W288" s="100"/>
      <c r="X288" s="100"/>
      <c r="Y288" s="100"/>
      <c r="Z288" s="257"/>
      <c r="AA288" s="257"/>
      <c r="AB288" s="257"/>
      <c r="AC288" s="257"/>
      <c r="AD288" s="257"/>
      <c r="AE288" s="258">
        <v>0.83825428704998928</v>
      </c>
      <c r="AG288" s="441">
        <v>112.5</v>
      </c>
      <c r="AH288" s="443">
        <v>2906</v>
      </c>
      <c r="AJ288" s="88">
        <v>382</v>
      </c>
      <c r="AM288" s="88">
        <v>3</v>
      </c>
      <c r="AN288" s="88">
        <v>5134</v>
      </c>
      <c r="AP288" s="88">
        <v>3</v>
      </c>
      <c r="AQ288" s="399">
        <v>504</v>
      </c>
      <c r="AR288" s="88">
        <v>782.13</v>
      </c>
      <c r="AU288" s="399">
        <v>219</v>
      </c>
      <c r="AV288" s="399">
        <v>1802</v>
      </c>
      <c r="AY288" s="88">
        <v>0.40866666666666668</v>
      </c>
      <c r="AZ288" s="432">
        <v>2383</v>
      </c>
      <c r="BA288" s="440">
        <v>2724</v>
      </c>
      <c r="BC288" s="439">
        <v>0</v>
      </c>
      <c r="BD288" s="88">
        <v>0</v>
      </c>
      <c r="BE288" s="88">
        <v>0</v>
      </c>
      <c r="BF288" s="434">
        <v>-104443.5349</v>
      </c>
      <c r="BG288" s="100">
        <v>-122713.48000000001</v>
      </c>
      <c r="BH288" s="257"/>
      <c r="BI288" s="100"/>
      <c r="BJ288" s="257"/>
      <c r="BK288" s="100"/>
      <c r="BL288" s="100"/>
      <c r="BM288" s="100"/>
      <c r="BN288" s="257"/>
      <c r="BO288" s="100"/>
      <c r="BP288" s="100">
        <v>610295</v>
      </c>
      <c r="BQ288" s="100">
        <v>210910</v>
      </c>
      <c r="BR288" s="100">
        <v>522557.84133206314</v>
      </c>
      <c r="BS288" s="100">
        <v>25585.966971632879</v>
      </c>
      <c r="BT288" s="100">
        <v>37399.764542586221</v>
      </c>
      <c r="BU288" s="100">
        <v>185934.44086850021</v>
      </c>
      <c r="BV288" s="100">
        <v>417285.97748930304</v>
      </c>
      <c r="BW288" s="100">
        <v>673219.1528353889</v>
      </c>
      <c r="BX288" s="100">
        <v>203127.87166159455</v>
      </c>
      <c r="BY288" s="100">
        <v>332366.80782890407</v>
      </c>
      <c r="BZ288" s="257"/>
      <c r="CA288" s="100"/>
      <c r="CB288" s="257"/>
      <c r="CC288" s="257"/>
      <c r="CD288" s="257"/>
      <c r="CE288" s="100">
        <v>449223.15251163073</v>
      </c>
      <c r="CF288" s="100">
        <v>256010.02611588512</v>
      </c>
      <c r="CG288" s="100">
        <v>265918.00279671751</v>
      </c>
      <c r="CH288" s="100">
        <v>1364035.1441720412</v>
      </c>
      <c r="CI288" s="257"/>
      <c r="CJ288" s="437">
        <v>2170743.7907054871</v>
      </c>
      <c r="CK288" s="404">
        <v>704419</v>
      </c>
      <c r="CL288" s="404"/>
      <c r="CM288" s="437">
        <v>-157792.97450000001</v>
      </c>
      <c r="CO288" s="434">
        <v>-144248.02957425232</v>
      </c>
      <c r="CP288" s="437">
        <v>78003.004429259308</v>
      </c>
      <c r="CQ288" s="437">
        <v>-568784.60859676346</v>
      </c>
      <c r="CR288" s="437">
        <v>218140.37885930183</v>
      </c>
      <c r="CS288" s="257"/>
    </row>
    <row r="289" spans="1:97" x14ac:dyDescent="0.2">
      <c r="A289" s="100">
        <v>976</v>
      </c>
      <c r="B289" s="100" t="s">
        <v>599</v>
      </c>
      <c r="C289" s="100">
        <v>3788</v>
      </c>
      <c r="D289" s="257"/>
      <c r="E289" s="257"/>
      <c r="F289" s="257"/>
      <c r="G289" s="257"/>
      <c r="H289" s="325"/>
      <c r="I289" s="257"/>
      <c r="J289" s="257"/>
      <c r="K289" s="257"/>
      <c r="L289" s="257"/>
      <c r="M289" s="257"/>
      <c r="N289" s="257"/>
      <c r="O289" s="257"/>
      <c r="P289" s="257"/>
      <c r="Q289" s="100">
        <v>111</v>
      </c>
      <c r="R289" s="100">
        <v>21</v>
      </c>
      <c r="S289" s="100">
        <v>178</v>
      </c>
      <c r="T289" s="100">
        <v>94</v>
      </c>
      <c r="U289" s="100">
        <v>3384</v>
      </c>
      <c r="V289" s="100"/>
      <c r="W289" s="100"/>
      <c r="X289" s="100"/>
      <c r="Y289" s="100"/>
      <c r="Z289" s="257"/>
      <c r="AA289" s="257"/>
      <c r="AB289" s="257"/>
      <c r="AC289" s="257"/>
      <c r="AD289" s="257"/>
      <c r="AE289" s="258">
        <v>0.94277348069255018</v>
      </c>
      <c r="AG289" s="441">
        <v>184.16666666666666</v>
      </c>
      <c r="AH289" s="443">
        <v>1512</v>
      </c>
      <c r="AJ289" s="88">
        <v>111</v>
      </c>
      <c r="AM289" s="88">
        <v>0</v>
      </c>
      <c r="AN289" s="88">
        <v>25</v>
      </c>
      <c r="AP289" s="88">
        <v>0</v>
      </c>
      <c r="AQ289" s="399">
        <v>0</v>
      </c>
      <c r="AR289" s="88">
        <v>2029.3</v>
      </c>
      <c r="AU289" s="399">
        <v>138</v>
      </c>
      <c r="AV289" s="399">
        <v>803</v>
      </c>
      <c r="AY289" s="88">
        <v>1.7273999999999998</v>
      </c>
      <c r="AZ289" s="432">
        <v>1162</v>
      </c>
      <c r="BA289" s="440">
        <v>1282</v>
      </c>
      <c r="BC289" s="439">
        <v>0</v>
      </c>
      <c r="BD289" s="88">
        <v>0</v>
      </c>
      <c r="BE289" s="88">
        <v>3</v>
      </c>
      <c r="BF289" s="434">
        <v>-91976.807449999993</v>
      </c>
      <c r="BG289" s="100">
        <v>-74726.900000000009</v>
      </c>
      <c r="BH289" s="257"/>
      <c r="BI289" s="100"/>
      <c r="BJ289" s="257"/>
      <c r="BK289" s="100"/>
      <c r="BL289" s="100"/>
      <c r="BM289" s="100"/>
      <c r="BN289" s="257"/>
      <c r="BO289" s="100"/>
      <c r="BP289" s="100">
        <v>449076</v>
      </c>
      <c r="BQ289" s="100">
        <v>136608</v>
      </c>
      <c r="BR289" s="100">
        <v>360895.7856342601</v>
      </c>
      <c r="BS289" s="100">
        <v>19702.819711007938</v>
      </c>
      <c r="BT289" s="100">
        <v>42803.143431710167</v>
      </c>
      <c r="BU289" s="100">
        <v>150987.586605333</v>
      </c>
      <c r="BV289" s="100">
        <v>227803.8682606217</v>
      </c>
      <c r="BW289" s="100">
        <v>354584.16249509755</v>
      </c>
      <c r="BX289" s="100">
        <v>106931.08118637609</v>
      </c>
      <c r="BY289" s="100">
        <v>191894.80090218593</v>
      </c>
      <c r="BZ289" s="257"/>
      <c r="CA289" s="100"/>
      <c r="CB289" s="257"/>
      <c r="CC289" s="257"/>
      <c r="CD289" s="257"/>
      <c r="CE289" s="100">
        <v>249207.75160512375</v>
      </c>
      <c r="CF289" s="100">
        <v>136207.87344568915</v>
      </c>
      <c r="CG289" s="100">
        <v>133280.49351190138</v>
      </c>
      <c r="CH289" s="100">
        <v>822771.08316311531</v>
      </c>
      <c r="CI289" s="257"/>
      <c r="CJ289" s="437">
        <v>1886670.1666394433</v>
      </c>
      <c r="CK289" s="404">
        <v>-724413</v>
      </c>
      <c r="CL289" s="404"/>
      <c r="CM289" s="437">
        <v>-46307.024000000019</v>
      </c>
      <c r="CO289" s="434">
        <v>-128595.22302967391</v>
      </c>
      <c r="CP289" s="437">
        <v>-135768.62984419087</v>
      </c>
      <c r="CQ289" s="437">
        <v>-342700.19045085734</v>
      </c>
      <c r="CR289" s="437">
        <v>131432.4407696891</v>
      </c>
      <c r="CS289" s="257"/>
    </row>
    <row r="290" spans="1:97" x14ac:dyDescent="0.2">
      <c r="A290" s="100">
        <v>977</v>
      </c>
      <c r="B290" s="100" t="s">
        <v>600</v>
      </c>
      <c r="C290" s="100">
        <v>15293</v>
      </c>
      <c r="D290" s="257"/>
      <c r="E290" s="257"/>
      <c r="F290" s="257"/>
      <c r="G290" s="257"/>
      <c r="H290" s="325"/>
      <c r="I290" s="257"/>
      <c r="J290" s="257"/>
      <c r="K290" s="257"/>
      <c r="L290" s="257"/>
      <c r="M290" s="257"/>
      <c r="N290" s="257"/>
      <c r="O290" s="257"/>
      <c r="P290" s="257"/>
      <c r="Q290" s="100">
        <v>1028</v>
      </c>
      <c r="R290" s="100">
        <v>209</v>
      </c>
      <c r="S290" s="100">
        <v>1432</v>
      </c>
      <c r="T290" s="100">
        <v>662</v>
      </c>
      <c r="U290" s="100">
        <v>11962</v>
      </c>
      <c r="V290" s="100"/>
      <c r="W290" s="100"/>
      <c r="X290" s="100"/>
      <c r="Y290" s="100"/>
      <c r="Z290" s="257"/>
      <c r="AA290" s="257"/>
      <c r="AB290" s="257"/>
      <c r="AC290" s="257"/>
      <c r="AD290" s="257"/>
      <c r="AE290" s="258">
        <v>0.95208159446510832</v>
      </c>
      <c r="AG290" s="441">
        <v>522.58333333333337</v>
      </c>
      <c r="AH290" s="443">
        <v>6983</v>
      </c>
      <c r="AJ290" s="88">
        <v>259</v>
      </c>
      <c r="AM290" s="88">
        <v>0</v>
      </c>
      <c r="AN290" s="88">
        <v>42</v>
      </c>
      <c r="AP290" s="88">
        <v>0</v>
      </c>
      <c r="AQ290" s="399">
        <v>0</v>
      </c>
      <c r="AR290" s="88">
        <v>569.83000000000004</v>
      </c>
      <c r="AU290" s="399">
        <v>407</v>
      </c>
      <c r="AV290" s="399">
        <v>4587</v>
      </c>
      <c r="AY290" s="88">
        <v>0</v>
      </c>
      <c r="AZ290" s="432">
        <v>6815</v>
      </c>
      <c r="BA290" s="440">
        <v>6377</v>
      </c>
      <c r="BC290" s="439">
        <v>0.08</v>
      </c>
      <c r="BD290" s="88">
        <v>0</v>
      </c>
      <c r="BE290" s="88">
        <v>1</v>
      </c>
      <c r="BF290" s="434">
        <v>-507592.7</v>
      </c>
      <c r="BG290" s="100">
        <v>-293989.84000000003</v>
      </c>
      <c r="BH290" s="257"/>
      <c r="BI290" s="100"/>
      <c r="BJ290" s="257"/>
      <c r="BK290" s="100"/>
      <c r="BL290" s="100"/>
      <c r="BM290" s="100"/>
      <c r="BN290" s="257"/>
      <c r="BO290" s="100"/>
      <c r="BP290" s="100">
        <v>1105522</v>
      </c>
      <c r="BQ290" s="100">
        <v>359322</v>
      </c>
      <c r="BR290" s="100">
        <v>800309.07942811528</v>
      </c>
      <c r="BS290" s="100">
        <v>28657.374442731707</v>
      </c>
      <c r="BT290" s="100">
        <v>20607.329696091499</v>
      </c>
      <c r="BU290" s="100">
        <v>400458.42087933258</v>
      </c>
      <c r="BV290" s="100">
        <v>780849.60626651905</v>
      </c>
      <c r="BW290" s="100">
        <v>1163766.1274462175</v>
      </c>
      <c r="BX290" s="100">
        <v>327230.91446480615</v>
      </c>
      <c r="BY290" s="100">
        <v>644902.14759820374</v>
      </c>
      <c r="BZ290" s="257"/>
      <c r="CA290" s="100"/>
      <c r="CB290" s="257"/>
      <c r="CC290" s="257"/>
      <c r="CD290" s="257"/>
      <c r="CE290" s="100">
        <v>865084.07076453511</v>
      </c>
      <c r="CF290" s="100">
        <v>526249.38962519797</v>
      </c>
      <c r="CG290" s="100">
        <v>505774.69278618722</v>
      </c>
      <c r="CH290" s="100">
        <v>2433413.28319035</v>
      </c>
      <c r="CI290" s="257"/>
      <c r="CJ290" s="437">
        <v>6526933.9752020221</v>
      </c>
      <c r="CK290" s="404">
        <v>205625</v>
      </c>
      <c r="CL290" s="404"/>
      <c r="CM290" s="437">
        <v>202145.67499999999</v>
      </c>
      <c r="CO290" s="434">
        <v>-578591.02333659504</v>
      </c>
      <c r="CP290" s="437">
        <v>-587395.94293237117</v>
      </c>
      <c r="CQ290" s="437">
        <v>-1383557.025492334</v>
      </c>
      <c r="CR290" s="437">
        <v>530622.04770085937</v>
      </c>
      <c r="CS290" s="257"/>
    </row>
    <row r="291" spans="1:97" x14ac:dyDescent="0.2">
      <c r="A291" s="100">
        <v>980</v>
      </c>
      <c r="B291" s="100" t="s">
        <v>601</v>
      </c>
      <c r="C291" s="100">
        <v>33607</v>
      </c>
      <c r="D291" s="257"/>
      <c r="E291" s="257"/>
      <c r="F291" s="257"/>
      <c r="G291" s="257"/>
      <c r="H291" s="325"/>
      <c r="I291" s="257"/>
      <c r="J291" s="257"/>
      <c r="K291" s="257"/>
      <c r="L291" s="257"/>
      <c r="M291" s="257"/>
      <c r="N291" s="257"/>
      <c r="O291" s="257"/>
      <c r="P291" s="257"/>
      <c r="Q291" s="100">
        <v>2249</v>
      </c>
      <c r="R291" s="100">
        <v>452</v>
      </c>
      <c r="S291" s="100">
        <v>3031</v>
      </c>
      <c r="T291" s="100">
        <v>1537</v>
      </c>
      <c r="U291" s="100">
        <v>26338</v>
      </c>
      <c r="V291" s="100"/>
      <c r="W291" s="100"/>
      <c r="X291" s="100"/>
      <c r="Y291" s="100"/>
      <c r="Z291" s="257"/>
      <c r="AA291" s="257"/>
      <c r="AB291" s="257"/>
      <c r="AC291" s="257"/>
      <c r="AD291" s="257"/>
      <c r="AE291" s="258">
        <v>1.054287930829052</v>
      </c>
      <c r="AG291" s="441">
        <v>910.75</v>
      </c>
      <c r="AH291" s="443">
        <v>16166</v>
      </c>
      <c r="AJ291" s="88">
        <v>989</v>
      </c>
      <c r="AM291" s="88">
        <v>0</v>
      </c>
      <c r="AN291" s="88">
        <v>124</v>
      </c>
      <c r="AP291" s="88">
        <v>0</v>
      </c>
      <c r="AQ291" s="399">
        <v>0</v>
      </c>
      <c r="AR291" s="88">
        <v>1115.75</v>
      </c>
      <c r="AU291" s="399">
        <v>930</v>
      </c>
      <c r="AV291" s="399">
        <v>11292</v>
      </c>
      <c r="AY291" s="88">
        <v>0</v>
      </c>
      <c r="AZ291" s="432">
        <v>10139</v>
      </c>
      <c r="BA291" s="440">
        <v>15310</v>
      </c>
      <c r="BC291" s="439">
        <v>0.35</v>
      </c>
      <c r="BD291" s="88">
        <v>0</v>
      </c>
      <c r="BE291" s="88">
        <v>1</v>
      </c>
      <c r="BF291" s="434">
        <v>-1143222.4715</v>
      </c>
      <c r="BG291" s="100">
        <v>-640691.92000000004</v>
      </c>
      <c r="BH291" s="257"/>
      <c r="BI291" s="100"/>
      <c r="BJ291" s="257"/>
      <c r="BK291" s="100"/>
      <c r="BL291" s="100"/>
      <c r="BM291" s="100"/>
      <c r="BN291" s="257"/>
      <c r="BO291" s="100"/>
      <c r="BP291" s="100">
        <v>2053006</v>
      </c>
      <c r="BQ291" s="100">
        <v>651254</v>
      </c>
      <c r="BR291" s="100">
        <v>1314597.2430768656</v>
      </c>
      <c r="BS291" s="100">
        <v>15734.767118453987</v>
      </c>
      <c r="BT291" s="100">
        <v>-104982.75987239247</v>
      </c>
      <c r="BU291" s="100">
        <v>676365.6684635072</v>
      </c>
      <c r="BV291" s="100">
        <v>1370714.8476963241</v>
      </c>
      <c r="BW291" s="100">
        <v>2239117.9938244843</v>
      </c>
      <c r="BX291" s="100">
        <v>579554.85407649237</v>
      </c>
      <c r="BY291" s="100">
        <v>1144350.8280256304</v>
      </c>
      <c r="BZ291" s="257"/>
      <c r="CA291" s="100"/>
      <c r="CB291" s="257"/>
      <c r="CC291" s="257"/>
      <c r="CD291" s="257"/>
      <c r="CE291" s="100">
        <v>1483245.9062719066</v>
      </c>
      <c r="CF291" s="100">
        <v>972531.0260025009</v>
      </c>
      <c r="CG291" s="100">
        <v>949667.72539643163</v>
      </c>
      <c r="CH291" s="100">
        <v>4220969.3136749519</v>
      </c>
      <c r="CI291" s="257"/>
      <c r="CJ291" s="437">
        <v>5483454.6264062934</v>
      </c>
      <c r="CK291" s="404">
        <v>-4044415</v>
      </c>
      <c r="CL291" s="404"/>
      <c r="CM291" s="437">
        <v>-813183.56540000043</v>
      </c>
      <c r="CO291" s="434">
        <v>329810.92405430385</v>
      </c>
      <c r="CP291" s="437">
        <v>-319495.85829596844</v>
      </c>
      <c r="CQ291" s="437">
        <v>-3040423.7857660935</v>
      </c>
      <c r="CR291" s="437">
        <v>1166063.8957093298</v>
      </c>
      <c r="CS291" s="257"/>
    </row>
    <row r="292" spans="1:97" x14ac:dyDescent="0.2">
      <c r="A292" s="100">
        <v>981</v>
      </c>
      <c r="B292" s="100" t="s">
        <v>602</v>
      </c>
      <c r="C292" s="100">
        <v>2237</v>
      </c>
      <c r="D292" s="257"/>
      <c r="E292" s="257"/>
      <c r="F292" s="257"/>
      <c r="G292" s="257"/>
      <c r="H292" s="325"/>
      <c r="I292" s="257"/>
      <c r="J292" s="257"/>
      <c r="K292" s="257"/>
      <c r="L292" s="257"/>
      <c r="M292" s="257"/>
      <c r="N292" s="257"/>
      <c r="O292" s="257"/>
      <c r="P292" s="257"/>
      <c r="Q292" s="100">
        <v>76</v>
      </c>
      <c r="R292" s="100">
        <v>14</v>
      </c>
      <c r="S292" s="100">
        <v>120</v>
      </c>
      <c r="T292" s="100">
        <v>69</v>
      </c>
      <c r="U292" s="100">
        <v>1958</v>
      </c>
      <c r="V292" s="100"/>
      <c r="W292" s="100"/>
      <c r="X292" s="100"/>
      <c r="Y292" s="100"/>
      <c r="Z292" s="257"/>
      <c r="AA292" s="257"/>
      <c r="AB292" s="257"/>
      <c r="AC292" s="257"/>
      <c r="AD292" s="257"/>
      <c r="AE292" s="258">
        <v>0.69597411220800731</v>
      </c>
      <c r="AG292" s="441">
        <v>85.416666666666671</v>
      </c>
      <c r="AH292" s="443">
        <v>1070</v>
      </c>
      <c r="AJ292" s="88">
        <v>47</v>
      </c>
      <c r="AM292" s="88">
        <v>0</v>
      </c>
      <c r="AN292" s="88">
        <v>12</v>
      </c>
      <c r="AP292" s="88">
        <v>0</v>
      </c>
      <c r="AQ292" s="399">
        <v>0</v>
      </c>
      <c r="AR292" s="88">
        <v>182.76</v>
      </c>
      <c r="AU292" s="399">
        <v>83</v>
      </c>
      <c r="AV292" s="399">
        <v>653</v>
      </c>
      <c r="AY292" s="88">
        <v>0</v>
      </c>
      <c r="AZ292" s="432">
        <v>586</v>
      </c>
      <c r="BA292" s="440">
        <v>961</v>
      </c>
      <c r="BC292" s="439">
        <v>0</v>
      </c>
      <c r="BD292" s="88">
        <v>0</v>
      </c>
      <c r="BE292" s="88">
        <v>0</v>
      </c>
      <c r="BF292" s="434">
        <v>-57082.58</v>
      </c>
      <c r="BG292" s="100">
        <v>-44451.94</v>
      </c>
      <c r="BH292" s="257"/>
      <c r="BI292" s="100"/>
      <c r="BJ292" s="257"/>
      <c r="BK292" s="100"/>
      <c r="BL292" s="100"/>
      <c r="BM292" s="100"/>
      <c r="BN292" s="257"/>
      <c r="BO292" s="100"/>
      <c r="BP292" s="100">
        <v>230288</v>
      </c>
      <c r="BQ292" s="100">
        <v>80816</v>
      </c>
      <c r="BR292" s="100">
        <v>184290.17484536598</v>
      </c>
      <c r="BS292" s="100">
        <v>9318.7834644181567</v>
      </c>
      <c r="BT292" s="100">
        <v>30796.386826805596</v>
      </c>
      <c r="BU292" s="100">
        <v>74794.232205046443</v>
      </c>
      <c r="BV292" s="100">
        <v>147649.47010495246</v>
      </c>
      <c r="BW292" s="100">
        <v>237874.01446903648</v>
      </c>
      <c r="BX292" s="100">
        <v>75569.261002839528</v>
      </c>
      <c r="BY292" s="100">
        <v>120196.89413887881</v>
      </c>
      <c r="BZ292" s="257"/>
      <c r="CA292" s="100"/>
      <c r="CB292" s="257"/>
      <c r="CC292" s="257"/>
      <c r="CD292" s="257"/>
      <c r="CE292" s="100">
        <v>161708.38760982396</v>
      </c>
      <c r="CF292" s="100">
        <v>90688.410926738812</v>
      </c>
      <c r="CG292" s="100">
        <v>93877.666750640317</v>
      </c>
      <c r="CH292" s="100">
        <v>506594.97488760692</v>
      </c>
      <c r="CI292" s="257"/>
      <c r="CJ292" s="437">
        <v>1123713.116947154</v>
      </c>
      <c r="CK292" s="404">
        <v>-578171</v>
      </c>
      <c r="CL292" s="404"/>
      <c r="CM292" s="437">
        <v>-52214.75</v>
      </c>
      <c r="CO292" s="434">
        <v>660369.77079480351</v>
      </c>
      <c r="CP292" s="437">
        <v>325402.91019971267</v>
      </c>
      <c r="CQ292" s="437">
        <v>-202381.289872906</v>
      </c>
      <c r="CR292" s="437">
        <v>77617.309926556089</v>
      </c>
      <c r="CS292" s="257"/>
    </row>
    <row r="293" spans="1:97" x14ac:dyDescent="0.2">
      <c r="A293" s="100">
        <v>989</v>
      </c>
      <c r="B293" s="100" t="s">
        <v>603</v>
      </c>
      <c r="C293" s="100">
        <v>5406</v>
      </c>
      <c r="D293" s="257"/>
      <c r="E293" s="257"/>
      <c r="F293" s="257"/>
      <c r="G293" s="257"/>
      <c r="H293" s="325"/>
      <c r="I293" s="257"/>
      <c r="J293" s="257"/>
      <c r="K293" s="257"/>
      <c r="L293" s="257"/>
      <c r="M293" s="257"/>
      <c r="N293" s="257"/>
      <c r="O293" s="257"/>
      <c r="P293" s="257"/>
      <c r="Q293" s="100">
        <v>229</v>
      </c>
      <c r="R293" s="100">
        <v>45</v>
      </c>
      <c r="S293" s="100">
        <v>292</v>
      </c>
      <c r="T293" s="100">
        <v>213</v>
      </c>
      <c r="U293" s="100">
        <v>4627</v>
      </c>
      <c r="V293" s="100"/>
      <c r="W293" s="100"/>
      <c r="X293" s="100"/>
      <c r="Y293" s="100"/>
      <c r="Z293" s="257"/>
      <c r="AA293" s="257"/>
      <c r="AB293" s="257"/>
      <c r="AC293" s="257"/>
      <c r="AD293" s="257"/>
      <c r="AE293" s="258">
        <v>0.95865676110448839</v>
      </c>
      <c r="AG293" s="431">
        <v>144.33333333333334</v>
      </c>
      <c r="AH293" s="442">
        <v>2243</v>
      </c>
      <c r="AJ293" s="88">
        <v>86</v>
      </c>
      <c r="AM293" s="88">
        <v>0</v>
      </c>
      <c r="AN293" s="88">
        <v>6</v>
      </c>
      <c r="AP293" s="88">
        <v>0</v>
      </c>
      <c r="AQ293" s="399">
        <v>0</v>
      </c>
      <c r="AR293" s="88">
        <v>805.81</v>
      </c>
      <c r="AU293" s="399">
        <v>168</v>
      </c>
      <c r="AV293" s="399">
        <v>1382</v>
      </c>
      <c r="AY293" s="88">
        <v>0.91591666666666671</v>
      </c>
      <c r="AZ293" s="438">
        <v>2067</v>
      </c>
      <c r="BA293" s="433">
        <v>2026</v>
      </c>
      <c r="BC293" s="439">
        <v>0</v>
      </c>
      <c r="BD293" s="88">
        <v>0</v>
      </c>
      <c r="BE293" s="88">
        <v>0</v>
      </c>
      <c r="BF293" s="434">
        <v>-166617.22750000001</v>
      </c>
      <c r="BG293" s="100">
        <v>-106077.62000000001</v>
      </c>
      <c r="BH293" s="257"/>
      <c r="BI293" s="100"/>
      <c r="BJ293" s="257"/>
      <c r="BK293" s="100"/>
      <c r="BL293" s="100"/>
      <c r="BM293" s="100"/>
      <c r="BN293" s="257"/>
      <c r="BO293" s="100"/>
      <c r="BP293" s="100">
        <v>587503</v>
      </c>
      <c r="BQ293" s="100">
        <v>170766</v>
      </c>
      <c r="BR293" s="100">
        <v>439282.32789288729</v>
      </c>
      <c r="BS293" s="100">
        <v>22135.671166588105</v>
      </c>
      <c r="BT293" s="100">
        <v>52404.357860216223</v>
      </c>
      <c r="BU293" s="100">
        <v>222121.41562959072</v>
      </c>
      <c r="BV293" s="100">
        <v>338418.62562740437</v>
      </c>
      <c r="BW293" s="100">
        <v>547995.46165975626</v>
      </c>
      <c r="BX293" s="100">
        <v>160825.00569784379</v>
      </c>
      <c r="BY293" s="100">
        <v>282767.06100177206</v>
      </c>
      <c r="BZ293" s="257"/>
      <c r="CA293" s="100"/>
      <c r="CB293" s="257"/>
      <c r="CC293" s="257"/>
      <c r="CD293" s="257"/>
      <c r="CE293" s="100">
        <v>367896.07371783687</v>
      </c>
      <c r="CF293" s="100">
        <v>207413.0725053919</v>
      </c>
      <c r="CG293" s="100">
        <v>210959.8192559343</v>
      </c>
      <c r="CH293" s="100">
        <v>1150277.1356862797</v>
      </c>
      <c r="CI293" s="257"/>
      <c r="CJ293" s="437">
        <v>2044935.2697507231</v>
      </c>
      <c r="CK293" s="404">
        <v>-407983</v>
      </c>
      <c r="CL293" s="404"/>
      <c r="CM293" s="437">
        <v>107338.60750000003</v>
      </c>
      <c r="CO293" s="434">
        <v>-956794.31203666155</v>
      </c>
      <c r="CP293" s="437">
        <v>-522135.21424058086</v>
      </c>
      <c r="CQ293" s="437">
        <v>-489080.57802991942</v>
      </c>
      <c r="CR293" s="437">
        <v>187572.27423467243</v>
      </c>
      <c r="CS293" s="257"/>
    </row>
    <row r="294" spans="1:97" s="391" customFormat="1" x14ac:dyDescent="0.2">
      <c r="A294" s="100">
        <v>992</v>
      </c>
      <c r="B294" s="100" t="s">
        <v>604</v>
      </c>
      <c r="C294" s="100">
        <v>18120</v>
      </c>
      <c r="D294" s="257"/>
      <c r="E294" s="257"/>
      <c r="F294" s="257"/>
      <c r="G294" s="257"/>
      <c r="H294" s="325"/>
      <c r="I294" s="257"/>
      <c r="J294" s="257"/>
      <c r="K294" s="257"/>
      <c r="L294" s="257"/>
      <c r="M294" s="257"/>
      <c r="N294" s="257"/>
      <c r="O294" s="257"/>
      <c r="P294" s="257"/>
      <c r="Q294" s="100">
        <v>816</v>
      </c>
      <c r="R294" s="100">
        <v>160</v>
      </c>
      <c r="S294" s="100">
        <v>1229</v>
      </c>
      <c r="T294" s="100">
        <v>669</v>
      </c>
      <c r="U294" s="100">
        <v>15246</v>
      </c>
      <c r="V294" s="100"/>
      <c r="W294" s="100"/>
      <c r="X294" s="100"/>
      <c r="Y294" s="100"/>
      <c r="Z294" s="257"/>
      <c r="AA294" s="257"/>
      <c r="AB294" s="257"/>
      <c r="AC294" s="257"/>
      <c r="AD294" s="257"/>
      <c r="AE294" s="460">
        <v>0.8077945378859096</v>
      </c>
      <c r="AF294" s="88"/>
      <c r="AG294" s="443">
        <v>948.66666666666663</v>
      </c>
      <c r="AH294" s="443">
        <v>7919</v>
      </c>
      <c r="AI294" s="256"/>
      <c r="AJ294" s="88">
        <v>331</v>
      </c>
      <c r="AK294" s="88"/>
      <c r="AL294" s="256"/>
      <c r="AM294" s="88">
        <v>0</v>
      </c>
      <c r="AN294" s="88">
        <v>21</v>
      </c>
      <c r="AO294" s="256"/>
      <c r="AP294" s="88">
        <v>0</v>
      </c>
      <c r="AQ294" s="399">
        <v>0</v>
      </c>
      <c r="AR294" s="88">
        <v>884.61</v>
      </c>
      <c r="AS294" s="256"/>
      <c r="AT294" s="256"/>
      <c r="AU294" s="399">
        <v>552</v>
      </c>
      <c r="AV294" s="399">
        <v>4918</v>
      </c>
      <c r="AW294" s="88"/>
      <c r="AX294" s="256"/>
      <c r="AY294" s="88">
        <v>0</v>
      </c>
      <c r="AZ294" s="440">
        <v>7142</v>
      </c>
      <c r="BA294" s="440">
        <v>6680</v>
      </c>
      <c r="BB294" s="88"/>
      <c r="BC294" s="439">
        <v>0</v>
      </c>
      <c r="BD294" s="88">
        <v>0</v>
      </c>
      <c r="BE294" s="88">
        <v>7</v>
      </c>
      <c r="BF294" s="434">
        <v>-976721.1067</v>
      </c>
      <c r="BG294" s="100">
        <v>-356864.17000000004</v>
      </c>
      <c r="BH294" s="257"/>
      <c r="BI294" s="100"/>
      <c r="BJ294" s="257"/>
      <c r="BK294" s="100"/>
      <c r="BL294" s="100"/>
      <c r="BM294" s="100"/>
      <c r="BN294" s="257"/>
      <c r="BO294" s="100"/>
      <c r="BP294" s="100">
        <v>1489761</v>
      </c>
      <c r="BQ294" s="100">
        <v>450815</v>
      </c>
      <c r="BR294" s="100">
        <v>1034431.5246544537</v>
      </c>
      <c r="BS294" s="100">
        <v>34021.999037244925</v>
      </c>
      <c r="BT294" s="100">
        <v>135664.67047937264</v>
      </c>
      <c r="BU294" s="100">
        <v>556663.57746332732</v>
      </c>
      <c r="BV294" s="100">
        <v>843413.52155879419</v>
      </c>
      <c r="BW294" s="100">
        <v>1444256.7380260613</v>
      </c>
      <c r="BX294" s="100">
        <v>394204.05797371245</v>
      </c>
      <c r="BY294" s="100">
        <v>828688.6681711307</v>
      </c>
      <c r="BZ294" s="257"/>
      <c r="CA294" s="100"/>
      <c r="CB294" s="257"/>
      <c r="CC294" s="257"/>
      <c r="CD294" s="257"/>
      <c r="CE294" s="100">
        <v>973055.88979308982</v>
      </c>
      <c r="CF294" s="100">
        <v>591895.7314762501</v>
      </c>
      <c r="CG294" s="100">
        <v>568790.03639861813</v>
      </c>
      <c r="CH294" s="100">
        <v>2934301.2147387285</v>
      </c>
      <c r="CI294" s="257"/>
      <c r="CJ294" s="437">
        <v>5160493.4438761827</v>
      </c>
      <c r="CK294" s="404">
        <v>-801830</v>
      </c>
      <c r="CL294" s="404"/>
      <c r="CM294" s="437">
        <v>-173621.50299999997</v>
      </c>
      <c r="CN294" s="88"/>
      <c r="CO294" s="434">
        <v>-220009.76574919853</v>
      </c>
      <c r="CP294" s="437">
        <v>622229.59870614985</v>
      </c>
      <c r="CQ294" s="437">
        <v>-1639315.5889571107</v>
      </c>
      <c r="CR294" s="437">
        <v>628710.61952132161</v>
      </c>
      <c r="CS294" s="257"/>
    </row>
    <row r="296" spans="1:97" x14ac:dyDescent="0.2">
      <c r="C296" s="100"/>
      <c r="D296" s="257"/>
      <c r="E296" s="257"/>
      <c r="F296" s="257"/>
      <c r="G296" s="257"/>
      <c r="H296" s="100"/>
      <c r="I296" s="257"/>
      <c r="J296" s="257"/>
      <c r="K296" s="257"/>
      <c r="L296" s="257"/>
      <c r="M296" s="257"/>
      <c r="N296" s="257"/>
      <c r="O296" s="257"/>
      <c r="P296" s="257"/>
      <c r="Q296" s="100"/>
      <c r="R296" s="100"/>
      <c r="S296" s="100"/>
      <c r="T296" s="100"/>
      <c r="U296" s="100"/>
      <c r="V296" s="100"/>
      <c r="W296" s="100"/>
      <c r="X296" s="100"/>
      <c r="Y296" s="100"/>
      <c r="Z296" s="257"/>
      <c r="AA296" s="257"/>
      <c r="AB296" s="257"/>
      <c r="AC296" s="257"/>
      <c r="AD296" s="257"/>
      <c r="AE296" s="398"/>
      <c r="AF296" s="100"/>
      <c r="AG296" s="100"/>
      <c r="AH296" s="100"/>
      <c r="AI296" s="257"/>
      <c r="AJ296" s="100"/>
      <c r="AK296" s="100"/>
      <c r="AL296" s="257"/>
      <c r="AM296" s="100"/>
      <c r="AN296" s="100"/>
      <c r="AO296" s="257"/>
      <c r="AP296" s="100"/>
      <c r="AQ296" s="400"/>
      <c r="AR296" s="100"/>
      <c r="AS296" s="257"/>
      <c r="AT296" s="257"/>
      <c r="AU296" s="400"/>
      <c r="AV296" s="400"/>
      <c r="AW296" s="100"/>
      <c r="AX296" s="257"/>
      <c r="AY296" s="100"/>
      <c r="AZ296" s="400"/>
      <c r="BA296" s="400"/>
      <c r="BB296" s="100"/>
      <c r="BC296" s="100"/>
      <c r="BD296" s="100"/>
      <c r="BE296" s="100"/>
      <c r="BF296" s="100"/>
      <c r="BG296" s="100"/>
      <c r="BH296" s="257"/>
      <c r="BI296" s="100"/>
      <c r="BJ296" s="257"/>
      <c r="BK296" s="100"/>
      <c r="BL296" s="100"/>
      <c r="BM296" s="100"/>
      <c r="BN296" s="257"/>
      <c r="BO296" s="100"/>
      <c r="BP296" s="100"/>
      <c r="BQ296" s="100"/>
      <c r="BR296" s="100"/>
      <c r="BS296" s="100"/>
      <c r="BT296" s="100"/>
      <c r="BU296" s="100"/>
      <c r="BV296" s="100"/>
      <c r="BW296" s="100"/>
      <c r="BX296" s="100"/>
      <c r="BY296" s="100"/>
      <c r="BZ296" s="257"/>
      <c r="CA296" s="100"/>
      <c r="CB296" s="257"/>
      <c r="CC296" s="257"/>
      <c r="CD296" s="257"/>
      <c r="CE296" s="100"/>
      <c r="CF296" s="100"/>
      <c r="CG296" s="100"/>
      <c r="CH296" s="100"/>
      <c r="CI296" s="257"/>
      <c r="CJ296" s="100"/>
      <c r="CK296" s="100"/>
      <c r="CL296" s="100"/>
      <c r="CM296" s="100"/>
      <c r="CN296" s="100"/>
      <c r="CS296" s="257"/>
    </row>
  </sheetData>
  <autoFilter ref="A1:CS1" xr:uid="{00000000-0001-0000-0800-000000000000}">
    <sortState xmlns:xlrd2="http://schemas.microsoft.com/office/spreadsheetml/2017/richdata2" ref="A2:CS294">
      <sortCondition ref="B1"/>
    </sortState>
  </autoFilter>
  <sortState xmlns:xlrd2="http://schemas.microsoft.com/office/spreadsheetml/2017/richdata2" ref="A2:CS293">
    <sortCondition ref="B2:B293"/>
  </sortState>
  <phoneticPr fontId="3" type="noConversion"/>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A1:P109"/>
  <sheetViews>
    <sheetView zoomScaleNormal="100" workbookViewId="0">
      <selection activeCell="B66" sqref="B66"/>
    </sheetView>
  </sheetViews>
  <sheetFormatPr defaultRowHeight="12.75" x14ac:dyDescent="0.2"/>
  <cols>
    <col min="1" max="4" width="2.7109375" customWidth="1"/>
    <col min="5" max="5" width="27.7109375" customWidth="1"/>
    <col min="6" max="6" width="11.28515625" customWidth="1"/>
    <col min="7" max="7" width="17" customWidth="1"/>
    <col min="8" max="8" width="12.140625" customWidth="1"/>
    <col min="9" max="9" width="8" customWidth="1"/>
    <col min="10" max="10" width="8.7109375" customWidth="1"/>
    <col min="11" max="11" width="12.7109375" customWidth="1"/>
    <col min="13" max="13" width="12.5703125" style="113" customWidth="1"/>
    <col min="14" max="14" width="47.7109375" customWidth="1"/>
    <col min="15" max="15" width="14.28515625" bestFit="1" customWidth="1"/>
  </cols>
  <sheetData>
    <row r="1" spans="1:16" ht="15.75" x14ac:dyDescent="0.25">
      <c r="A1" s="462" t="s">
        <v>730</v>
      </c>
      <c r="E1" s="3"/>
      <c r="K1" s="47" t="s">
        <v>605</v>
      </c>
    </row>
    <row r="2" spans="1:16" x14ac:dyDescent="0.2">
      <c r="A2" s="5" t="s">
        <v>732</v>
      </c>
      <c r="E2" s="22"/>
      <c r="L2" s="325"/>
    </row>
    <row r="3" spans="1:16" ht="18" x14ac:dyDescent="0.25">
      <c r="B3" s="499" t="s">
        <v>716</v>
      </c>
      <c r="C3" s="500"/>
      <c r="D3" s="500"/>
      <c r="E3" s="500"/>
      <c r="F3" s="500"/>
      <c r="G3" s="500"/>
      <c r="H3" s="500"/>
      <c r="I3" s="500"/>
      <c r="J3" s="500"/>
      <c r="K3" s="501"/>
      <c r="L3" s="325"/>
    </row>
    <row r="4" spans="1:16" ht="25.9" customHeight="1" x14ac:dyDescent="0.2">
      <c r="B4" s="324"/>
      <c r="K4" s="325"/>
      <c r="N4" s="371"/>
      <c r="O4" s="371"/>
      <c r="P4" s="371"/>
    </row>
    <row r="5" spans="1:16" x14ac:dyDescent="0.2">
      <c r="B5" s="22" t="s">
        <v>91</v>
      </c>
      <c r="C5" s="371"/>
      <c r="D5" s="371"/>
      <c r="E5" s="411"/>
      <c r="F5" s="23" t="s">
        <v>606</v>
      </c>
    </row>
    <row r="6" spans="1:16" x14ac:dyDescent="0.2">
      <c r="B6" s="371"/>
      <c r="C6" s="371"/>
      <c r="D6" s="371"/>
      <c r="E6" s="76"/>
      <c r="F6" s="23" t="s">
        <v>607</v>
      </c>
    </row>
    <row r="7" spans="1:16" x14ac:dyDescent="0.2">
      <c r="B7" s="371"/>
      <c r="C7" s="371"/>
      <c r="D7" s="371"/>
      <c r="F7" s="23"/>
    </row>
    <row r="8" spans="1:16" x14ac:dyDescent="0.2">
      <c r="B8" s="5"/>
      <c r="C8" s="371"/>
      <c r="D8" s="371"/>
      <c r="F8" s="23"/>
    </row>
    <row r="9" spans="1:16" s="4" customFormat="1" x14ac:dyDescent="0.2">
      <c r="A9" s="371"/>
      <c r="B9" s="412" t="s">
        <v>29</v>
      </c>
      <c r="C9" s="371"/>
      <c r="D9" s="371"/>
      <c r="E9" s="371"/>
      <c r="F9" s="6" t="str">
        <f>'2.Yhteenveto'!G11</f>
        <v>Akaa</v>
      </c>
      <c r="G9" s="371"/>
      <c r="H9" s="371"/>
      <c r="I9" s="371"/>
      <c r="J9" s="371"/>
      <c r="K9" s="371"/>
      <c r="L9" s="371"/>
      <c r="M9" s="113"/>
      <c r="N9" s="371"/>
      <c r="O9" s="371"/>
      <c r="P9" s="371"/>
    </row>
    <row r="10" spans="1:16" s="4" customFormat="1" x14ac:dyDescent="0.2">
      <c r="A10" s="371"/>
      <c r="B10" s="412" t="str">
        <f>'2.Yhteenveto'!B12</f>
        <v>Asukasluku 31.12.2022:</v>
      </c>
      <c r="C10" s="371"/>
      <c r="D10" s="371"/>
      <c r="E10" s="371"/>
      <c r="F10" s="29">
        <f>'2.Yhteenveto'!$H$12</f>
        <v>16473</v>
      </c>
      <c r="G10" s="371"/>
      <c r="H10" s="371"/>
      <c r="I10" s="371"/>
      <c r="J10" s="371"/>
      <c r="K10" s="371"/>
      <c r="L10" s="371"/>
      <c r="M10" s="113"/>
      <c r="N10" s="371"/>
      <c r="O10" s="371"/>
      <c r="P10" s="371"/>
    </row>
    <row r="11" spans="1:16" x14ac:dyDescent="0.2">
      <c r="C11" s="405" t="s">
        <v>608</v>
      </c>
      <c r="F11" s="411"/>
      <c r="G11" s="5"/>
      <c r="K11" s="1"/>
    </row>
    <row r="12" spans="1:16" x14ac:dyDescent="0.2">
      <c r="C12" s="405"/>
      <c r="G12" s="5"/>
      <c r="K12" s="1"/>
    </row>
    <row r="14" spans="1:16" x14ac:dyDescent="0.2">
      <c r="B14" s="1" t="s">
        <v>731</v>
      </c>
      <c r="K14" s="11"/>
    </row>
    <row r="15" spans="1:16" x14ac:dyDescent="0.2">
      <c r="B15" s="22"/>
      <c r="K15" s="11"/>
    </row>
    <row r="16" spans="1:16" x14ac:dyDescent="0.2">
      <c r="E16" s="405"/>
      <c r="F16" s="18"/>
      <c r="H16" s="31"/>
      <c r="I16" s="31"/>
      <c r="K16" s="11"/>
    </row>
    <row r="17" spans="2:15" x14ac:dyDescent="0.2">
      <c r="C17" s="371" t="s">
        <v>609</v>
      </c>
      <c r="G17" s="22" t="s">
        <v>610</v>
      </c>
      <c r="K17" s="455">
        <f>'9.Lukio'!J50</f>
        <v>0</v>
      </c>
    </row>
    <row r="18" spans="2:15" x14ac:dyDescent="0.2">
      <c r="C18" s="371" t="s">
        <v>611</v>
      </c>
      <c r="G18" s="22" t="s">
        <v>612</v>
      </c>
      <c r="K18" s="456"/>
    </row>
    <row r="19" spans="2:15" x14ac:dyDescent="0.2">
      <c r="K19" s="451"/>
    </row>
    <row r="20" spans="2:15" x14ac:dyDescent="0.2">
      <c r="B20" s="40" t="s">
        <v>613</v>
      </c>
      <c r="C20" s="41"/>
      <c r="D20" s="41"/>
      <c r="E20" s="41"/>
      <c r="F20" s="52"/>
      <c r="G20" s="41"/>
      <c r="H20" s="62"/>
      <c r="I20" s="62"/>
      <c r="J20" s="41"/>
      <c r="K20" s="452">
        <f>SUM(K17:K18)</f>
        <v>0</v>
      </c>
    </row>
    <row r="21" spans="2:15" x14ac:dyDescent="0.2">
      <c r="K21" s="451"/>
    </row>
    <row r="22" spans="2:15" x14ac:dyDescent="0.2">
      <c r="K22" s="451"/>
    </row>
    <row r="23" spans="2:15" x14ac:dyDescent="0.2">
      <c r="B23" s="1" t="s">
        <v>614</v>
      </c>
      <c r="K23" s="451"/>
    </row>
    <row r="24" spans="2:15" x14ac:dyDescent="0.2">
      <c r="B24" s="1"/>
      <c r="K24" s="451"/>
    </row>
    <row r="25" spans="2:15" x14ac:dyDescent="0.2">
      <c r="C25" s="371" t="s">
        <v>615</v>
      </c>
      <c r="F25" s="451"/>
      <c r="G25" s="466">
        <v>-95.37</v>
      </c>
      <c r="H25" t="s">
        <v>49</v>
      </c>
      <c r="J25" s="11"/>
      <c r="K25" s="447">
        <f>G25*$F$10</f>
        <v>-1571030.01</v>
      </c>
      <c r="O25" s="253"/>
    </row>
    <row r="26" spans="2:15" x14ac:dyDescent="0.2">
      <c r="C26" s="371" t="s">
        <v>616</v>
      </c>
      <c r="F26" s="451"/>
      <c r="G26" s="466">
        <v>-204.22</v>
      </c>
      <c r="H26" t="s">
        <v>49</v>
      </c>
      <c r="J26" s="11"/>
      <c r="K26" s="447">
        <f>G26*$F$10</f>
        <v>-3364116.06</v>
      </c>
      <c r="O26" s="253"/>
    </row>
    <row r="27" spans="2:15" s="4" customFormat="1" x14ac:dyDescent="0.2">
      <c r="B27" s="371"/>
      <c r="C27" s="5"/>
      <c r="D27" s="371"/>
      <c r="E27" s="371"/>
      <c r="F27" s="447"/>
      <c r="G27" s="447"/>
      <c r="H27" s="371"/>
      <c r="I27" s="371"/>
      <c r="J27" s="409"/>
      <c r="K27" s="447"/>
      <c r="L27" s="371"/>
      <c r="M27" s="113"/>
      <c r="N27" s="371"/>
      <c r="O27" s="253"/>
    </row>
    <row r="28" spans="2:15" s="4" customFormat="1" x14ac:dyDescent="0.2">
      <c r="B28" s="40" t="s">
        <v>617</v>
      </c>
      <c r="C28" s="41"/>
      <c r="D28" s="41"/>
      <c r="E28" s="41"/>
      <c r="F28" s="454"/>
      <c r="G28" s="454"/>
      <c r="H28" s="459">
        <f>SUM(G25:G26)</f>
        <v>-299.59000000000003</v>
      </c>
      <c r="I28" s="422" t="s">
        <v>49</v>
      </c>
      <c r="J28" s="41"/>
      <c r="K28" s="452">
        <f>SUM(K25:K26)</f>
        <v>-4935146.07</v>
      </c>
      <c r="L28" s="371"/>
      <c r="M28" s="113"/>
      <c r="N28" s="371"/>
      <c r="O28" s="371"/>
    </row>
    <row r="29" spans="2:15" ht="14.25" x14ac:dyDescent="0.2">
      <c r="E29" s="19"/>
      <c r="F29" s="451"/>
      <c r="G29" s="451"/>
    </row>
    <row r="30" spans="2:15" ht="14.25" x14ac:dyDescent="0.2">
      <c r="E30" s="19"/>
      <c r="F30" s="451"/>
      <c r="G30" s="451"/>
    </row>
    <row r="31" spans="2:15" x14ac:dyDescent="0.2">
      <c r="B31" s="1" t="s">
        <v>618</v>
      </c>
      <c r="F31" s="451"/>
      <c r="G31" s="451"/>
      <c r="K31" s="11"/>
    </row>
    <row r="32" spans="2:15" x14ac:dyDescent="0.2">
      <c r="F32" s="451"/>
      <c r="G32" s="451"/>
      <c r="H32" s="444"/>
      <c r="I32" s="18"/>
      <c r="K32" s="11"/>
    </row>
    <row r="33" spans="3:11" x14ac:dyDescent="0.2">
      <c r="E33" s="371" t="s">
        <v>619</v>
      </c>
      <c r="F33" s="455">
        <v>7459.25</v>
      </c>
      <c r="G33" s="451"/>
      <c r="H33" s="341"/>
      <c r="K33" s="11"/>
    </row>
    <row r="34" spans="3:11" ht="13.5" thickBot="1" x14ac:dyDescent="0.25">
      <c r="E34" s="408" t="s">
        <v>620</v>
      </c>
      <c r="F34" s="457">
        <f>-160.78-33.3-41.99-84.7</f>
        <v>-320.77</v>
      </c>
      <c r="G34" s="451"/>
      <c r="K34" s="11"/>
    </row>
    <row r="35" spans="3:11" ht="13.5" thickTop="1" x14ac:dyDescent="0.2">
      <c r="E35" s="371" t="s">
        <v>721</v>
      </c>
      <c r="F35" s="458">
        <f>F33+F34</f>
        <v>7138.48</v>
      </c>
      <c r="G35" s="451"/>
      <c r="I35" s="18"/>
      <c r="K35" s="11"/>
    </row>
    <row r="36" spans="3:11" x14ac:dyDescent="0.2">
      <c r="E36" s="371" t="s">
        <v>621</v>
      </c>
      <c r="F36" s="360">
        <v>1</v>
      </c>
      <c r="G36" s="371"/>
      <c r="H36" s="207"/>
      <c r="K36" s="11"/>
    </row>
    <row r="37" spans="3:11" x14ac:dyDescent="0.2">
      <c r="K37" s="11"/>
    </row>
    <row r="38" spans="3:11" x14ac:dyDescent="0.2">
      <c r="F38" s="28" t="s">
        <v>622</v>
      </c>
      <c r="G38" s="47"/>
      <c r="H38" s="47"/>
      <c r="I38" s="28" t="s">
        <v>623</v>
      </c>
      <c r="J38" s="47"/>
      <c r="K38" s="342"/>
    </row>
    <row r="39" spans="3:11" x14ac:dyDescent="0.2">
      <c r="F39" s="28" t="s">
        <v>624</v>
      </c>
      <c r="G39" s="47" t="s">
        <v>625</v>
      </c>
      <c r="H39" s="47"/>
      <c r="I39" s="28" t="s">
        <v>96</v>
      </c>
      <c r="J39" s="47" t="s">
        <v>626</v>
      </c>
      <c r="K39" s="47" t="s">
        <v>38</v>
      </c>
    </row>
    <row r="40" spans="3:11" x14ac:dyDescent="0.2">
      <c r="G40" s="5"/>
      <c r="K40" s="11"/>
    </row>
    <row r="41" spans="3:11" x14ac:dyDescent="0.2">
      <c r="C41" s="1" t="s">
        <v>627</v>
      </c>
      <c r="F41" s="371"/>
      <c r="K41" s="11"/>
    </row>
    <row r="42" spans="3:11" x14ac:dyDescent="0.2">
      <c r="D42" s="371" t="s">
        <v>628</v>
      </c>
      <c r="F42" s="18">
        <f>F35</f>
        <v>7138.48</v>
      </c>
      <c r="G42" s="5" t="s">
        <v>737</v>
      </c>
      <c r="I42" s="411"/>
      <c r="J42" s="467">
        <v>4.76</v>
      </c>
      <c r="K42" s="451">
        <f>F42*I42*J42*$F$36</f>
        <v>0</v>
      </c>
    </row>
    <row r="43" spans="3:11" x14ac:dyDescent="0.2">
      <c r="D43" s="371" t="s">
        <v>630</v>
      </c>
      <c r="F43" s="18">
        <f>F35</f>
        <v>7138.48</v>
      </c>
      <c r="G43" s="5" t="s">
        <v>737</v>
      </c>
      <c r="I43" s="411"/>
      <c r="J43" s="467">
        <v>2.97</v>
      </c>
      <c r="K43" s="451">
        <f>F43*I43*J43*$F$36</f>
        <v>0</v>
      </c>
    </row>
    <row r="44" spans="3:11" x14ac:dyDescent="0.2">
      <c r="F44" s="18"/>
      <c r="G44" s="5"/>
      <c r="J44" s="467"/>
      <c r="K44" s="451"/>
    </row>
    <row r="45" spans="3:11" x14ac:dyDescent="0.2">
      <c r="C45" s="1" t="s">
        <v>631</v>
      </c>
      <c r="F45" s="18">
        <f>F35</f>
        <v>7138.48</v>
      </c>
      <c r="G45" s="5" t="s">
        <v>737</v>
      </c>
      <c r="I45" s="411"/>
      <c r="J45" s="467">
        <v>0.46</v>
      </c>
      <c r="K45" s="451">
        <f>F45*I45*J45*$F$36</f>
        <v>0</v>
      </c>
    </row>
    <row r="46" spans="3:11" x14ac:dyDescent="0.2">
      <c r="C46" s="1" t="s">
        <v>632</v>
      </c>
      <c r="F46" s="18">
        <f>F35</f>
        <v>7138.48</v>
      </c>
      <c r="G46" s="5" t="s">
        <v>737</v>
      </c>
      <c r="I46" s="411"/>
      <c r="J46" s="467">
        <v>1.86</v>
      </c>
      <c r="K46" s="451">
        <f>F46*I46*J46*$F$36</f>
        <v>0</v>
      </c>
    </row>
    <row r="47" spans="3:11" x14ac:dyDescent="0.2">
      <c r="E47" s="1"/>
      <c r="F47" s="18"/>
      <c r="G47" s="5"/>
      <c r="I47" s="11"/>
      <c r="J47" s="467"/>
      <c r="K47" s="451"/>
    </row>
    <row r="48" spans="3:11" x14ac:dyDescent="0.2">
      <c r="C48" s="1" t="s">
        <v>633</v>
      </c>
      <c r="F48" s="18"/>
      <c r="G48" s="5"/>
      <c r="J48" s="467"/>
      <c r="K48" s="451"/>
    </row>
    <row r="49" spans="2:15" x14ac:dyDescent="0.2">
      <c r="D49" s="371" t="s">
        <v>634</v>
      </c>
      <c r="F49" s="18">
        <f>F35</f>
        <v>7138.48</v>
      </c>
      <c r="G49" s="5" t="s">
        <v>737</v>
      </c>
      <c r="I49" s="411"/>
      <c r="J49" s="467">
        <v>1.41</v>
      </c>
      <c r="K49" s="451">
        <f>F49*I49*J49*$F$36</f>
        <v>0</v>
      </c>
    </row>
    <row r="50" spans="2:15" x14ac:dyDescent="0.2">
      <c r="D50" s="371"/>
      <c r="F50" s="18"/>
      <c r="G50" s="5"/>
      <c r="I50" s="114"/>
      <c r="J50" s="467"/>
      <c r="K50" s="451"/>
    </row>
    <row r="51" spans="2:15" x14ac:dyDescent="0.2">
      <c r="D51" s="371" t="s">
        <v>635</v>
      </c>
      <c r="F51" s="18">
        <f>F35</f>
        <v>7138.48</v>
      </c>
      <c r="G51" s="5" t="s">
        <v>737</v>
      </c>
      <c r="I51" s="411"/>
      <c r="J51" s="467">
        <v>4.5999999999999999E-2</v>
      </c>
      <c r="K51" s="451">
        <f>ROUND(F51*J51*$F$36,2)*I51</f>
        <v>0</v>
      </c>
    </row>
    <row r="52" spans="2:15" ht="14.25" x14ac:dyDescent="0.2">
      <c r="D52" s="371" t="s">
        <v>636</v>
      </c>
      <c r="F52" s="18">
        <v>288.57</v>
      </c>
      <c r="G52" s="5" t="s">
        <v>637</v>
      </c>
      <c r="I52" s="411"/>
      <c r="J52" s="453"/>
      <c r="K52" s="451">
        <f>F52*I52</f>
        <v>0</v>
      </c>
      <c r="N52" s="207"/>
      <c r="O52" s="207"/>
    </row>
    <row r="53" spans="2:15" x14ac:dyDescent="0.2">
      <c r="E53" s="323"/>
      <c r="G53" s="5"/>
      <c r="J53" s="451"/>
      <c r="K53" s="451"/>
    </row>
    <row r="54" spans="2:15" ht="14.25" x14ac:dyDescent="0.2">
      <c r="B54" s="63"/>
      <c r="J54" s="451"/>
      <c r="K54" s="451"/>
    </row>
    <row r="55" spans="2:15" x14ac:dyDescent="0.2">
      <c r="C55" s="1" t="s">
        <v>638</v>
      </c>
      <c r="F55" s="18"/>
      <c r="G55" s="5"/>
      <c r="I55" s="11"/>
      <c r="J55" s="451"/>
      <c r="K55" s="451"/>
    </row>
    <row r="56" spans="2:15" x14ac:dyDescent="0.2">
      <c r="D56" s="1" t="s">
        <v>639</v>
      </c>
      <c r="F56" s="18">
        <v>3083.38</v>
      </c>
      <c r="G56" s="5" t="s">
        <v>640</v>
      </c>
      <c r="I56" s="411"/>
      <c r="J56" s="451"/>
      <c r="K56" s="451">
        <f>F56*I56</f>
        <v>0</v>
      </c>
    </row>
    <row r="57" spans="2:15" x14ac:dyDescent="0.2">
      <c r="C57" s="1"/>
      <c r="F57" s="18"/>
      <c r="G57" s="5"/>
      <c r="I57" s="11"/>
      <c r="J57" s="451"/>
      <c r="K57" s="451"/>
    </row>
    <row r="58" spans="2:15" x14ac:dyDescent="0.2">
      <c r="C58" s="1" t="s">
        <v>641</v>
      </c>
      <c r="G58" s="5"/>
      <c r="I58" s="5" t="s">
        <v>642</v>
      </c>
      <c r="J58" s="451"/>
      <c r="K58" s="451"/>
    </row>
    <row r="59" spans="2:15" x14ac:dyDescent="0.2">
      <c r="D59" s="1" t="s">
        <v>643</v>
      </c>
      <c r="F59" s="18">
        <f>F35</f>
        <v>7138.48</v>
      </c>
      <c r="G59" s="5" t="s">
        <v>629</v>
      </c>
      <c r="I59" s="411"/>
      <c r="J59" s="468">
        <v>0.186</v>
      </c>
      <c r="K59" s="451">
        <f>ROUND(F59*J59*$F$36,2)*I59</f>
        <v>0</v>
      </c>
    </row>
    <row r="60" spans="2:15" x14ac:dyDescent="0.2">
      <c r="D60" s="371"/>
      <c r="F60" s="18"/>
      <c r="G60" s="5"/>
      <c r="J60" s="451"/>
      <c r="K60" s="451"/>
      <c r="L60" s="11"/>
    </row>
    <row r="61" spans="2:15" x14ac:dyDescent="0.2">
      <c r="J61" s="451"/>
      <c r="K61" s="451"/>
      <c r="L61" s="11"/>
    </row>
    <row r="62" spans="2:15" x14ac:dyDescent="0.2">
      <c r="B62" s="40" t="s">
        <v>644</v>
      </c>
      <c r="C62" s="41"/>
      <c r="D62" s="41"/>
      <c r="E62" s="343"/>
      <c r="F62" s="41"/>
      <c r="G62" s="41"/>
      <c r="H62" s="41"/>
      <c r="I62" s="41"/>
      <c r="J62" s="454"/>
      <c r="K62" s="452">
        <f>SUM(K41:K60)</f>
        <v>0</v>
      </c>
    </row>
    <row r="63" spans="2:15" x14ac:dyDescent="0.2">
      <c r="K63" s="11"/>
    </row>
    <row r="64" spans="2:15" ht="14.25" x14ac:dyDescent="0.2">
      <c r="E64" s="19"/>
      <c r="K64" s="11"/>
    </row>
    <row r="65" spans="2:13" ht="14.25" x14ac:dyDescent="0.2">
      <c r="E65" s="19"/>
      <c r="K65" s="49" t="s">
        <v>645</v>
      </c>
    </row>
    <row r="66" spans="2:13" x14ac:dyDescent="0.2">
      <c r="B66" s="1" t="s">
        <v>646</v>
      </c>
      <c r="E66" s="1"/>
      <c r="F66" s="1"/>
      <c r="H66" s="1"/>
      <c r="I66" s="1"/>
      <c r="J66" s="1"/>
      <c r="K66" s="11"/>
    </row>
    <row r="67" spans="2:13" x14ac:dyDescent="0.2">
      <c r="F67" s="1"/>
      <c r="H67" s="1"/>
      <c r="I67" s="1"/>
      <c r="J67" s="1"/>
      <c r="K67" s="11"/>
    </row>
    <row r="68" spans="2:13" x14ac:dyDescent="0.2">
      <c r="F68" s="28" t="s">
        <v>622</v>
      </c>
      <c r="G68" s="28"/>
      <c r="H68" s="28" t="s">
        <v>647</v>
      </c>
      <c r="I68" s="28" t="s">
        <v>648</v>
      </c>
      <c r="J68" s="28"/>
      <c r="K68" s="49"/>
    </row>
    <row r="69" spans="2:13" x14ac:dyDescent="0.2">
      <c r="F69" s="28" t="s">
        <v>624</v>
      </c>
      <c r="G69" s="28" t="s">
        <v>625</v>
      </c>
      <c r="H69" s="28" t="s">
        <v>96</v>
      </c>
      <c r="I69" s="28" t="s">
        <v>649</v>
      </c>
      <c r="J69" s="28"/>
      <c r="K69" s="49" t="s">
        <v>38</v>
      </c>
    </row>
    <row r="70" spans="2:13" x14ac:dyDescent="0.2">
      <c r="F70" s="1"/>
      <c r="H70" s="1"/>
      <c r="I70" s="1"/>
      <c r="J70" s="1"/>
      <c r="K70" s="11"/>
    </row>
    <row r="71" spans="2:13" x14ac:dyDescent="0.2">
      <c r="C71" s="1" t="s">
        <v>650</v>
      </c>
      <c r="F71" s="18">
        <v>26</v>
      </c>
      <c r="G71" s="5" t="s">
        <v>651</v>
      </c>
      <c r="H71" s="411"/>
      <c r="I71" s="423">
        <v>0.56999999999999995</v>
      </c>
      <c r="J71" s="1"/>
      <c r="K71" s="451">
        <f>F71*H71*I71</f>
        <v>0</v>
      </c>
    </row>
    <row r="72" spans="2:13" x14ac:dyDescent="0.2">
      <c r="E72" s="371"/>
      <c r="F72" s="18"/>
      <c r="G72" s="5"/>
      <c r="K72" s="451"/>
    </row>
    <row r="73" spans="2:13" x14ac:dyDescent="0.2">
      <c r="C73" s="1" t="s">
        <v>652</v>
      </c>
      <c r="F73" s="18"/>
      <c r="G73" s="5"/>
      <c r="K73" s="451"/>
    </row>
    <row r="74" spans="2:13" x14ac:dyDescent="0.2">
      <c r="D74" s="371" t="s">
        <v>653</v>
      </c>
      <c r="F74" s="371">
        <v>89.34</v>
      </c>
      <c r="G74" s="5" t="s">
        <v>654</v>
      </c>
      <c r="H74" s="411"/>
      <c r="I74" s="344">
        <v>0.56999999999999995</v>
      </c>
      <c r="J74" s="12"/>
      <c r="K74" s="451">
        <f>F74*H74*I74</f>
        <v>0</v>
      </c>
    </row>
    <row r="75" spans="2:13" x14ac:dyDescent="0.2">
      <c r="F75" s="417"/>
      <c r="G75" s="5"/>
      <c r="H75" s="5"/>
      <c r="I75" s="344"/>
      <c r="J75" s="12"/>
      <c r="K75" s="451"/>
    </row>
    <row r="76" spans="2:13" x14ac:dyDescent="0.2">
      <c r="C76" s="1" t="s">
        <v>655</v>
      </c>
      <c r="F76" s="417">
        <v>95.18</v>
      </c>
      <c r="G76" s="5" t="s">
        <v>654</v>
      </c>
      <c r="H76" s="411"/>
      <c r="I76" s="344">
        <v>0.56999999999999995</v>
      </c>
      <c r="K76" s="451">
        <f>F76*H76*I76</f>
        <v>0</v>
      </c>
    </row>
    <row r="77" spans="2:13" x14ac:dyDescent="0.2">
      <c r="C77" s="1"/>
      <c r="F77" s="417">
        <v>95.18</v>
      </c>
      <c r="G77" s="5" t="s">
        <v>654</v>
      </c>
      <c r="H77" s="411"/>
      <c r="I77" s="344">
        <v>1</v>
      </c>
      <c r="K77" s="451">
        <f>F77*H77*I77</f>
        <v>0</v>
      </c>
      <c r="L77" s="115" t="s">
        <v>656</v>
      </c>
    </row>
    <row r="78" spans="2:13" x14ac:dyDescent="0.2">
      <c r="C78" s="1"/>
      <c r="F78" s="371"/>
      <c r="G78" s="5"/>
      <c r="H78" s="260"/>
      <c r="K78" s="451"/>
      <c r="L78" s="371"/>
    </row>
    <row r="79" spans="2:13" x14ac:dyDescent="0.2">
      <c r="D79" s="371"/>
      <c r="F79" s="417"/>
      <c r="K79" s="451"/>
      <c r="L79" s="371"/>
      <c r="M79" s="322"/>
    </row>
    <row r="80" spans="2:13" x14ac:dyDescent="0.2">
      <c r="C80" s="1" t="s">
        <v>657</v>
      </c>
      <c r="F80" s="417">
        <v>308.04000000000002</v>
      </c>
      <c r="G80" s="114" t="s">
        <v>658</v>
      </c>
      <c r="H80" s="411"/>
      <c r="I80" s="344">
        <v>0.56999999999999995</v>
      </c>
      <c r="K80" s="451">
        <f>F80*H80*I80</f>
        <v>0</v>
      </c>
      <c r="L80" s="115" t="s">
        <v>722</v>
      </c>
    </row>
    <row r="81" spans="3:13" x14ac:dyDescent="0.2">
      <c r="C81" s="1"/>
      <c r="F81" s="417">
        <v>308.04000000000002</v>
      </c>
      <c r="G81" s="114" t="s">
        <v>658</v>
      </c>
      <c r="H81" s="411"/>
      <c r="I81" s="344">
        <v>1</v>
      </c>
      <c r="K81" s="451">
        <f>F81*H81*I81</f>
        <v>0</v>
      </c>
      <c r="L81" s="115" t="s">
        <v>656</v>
      </c>
    </row>
    <row r="82" spans="3:13" x14ac:dyDescent="0.2">
      <c r="C82" s="1"/>
      <c r="F82" s="417">
        <v>308.04000000000002</v>
      </c>
      <c r="G82" s="114" t="s">
        <v>658</v>
      </c>
      <c r="H82" s="411"/>
      <c r="I82" s="344">
        <v>1</v>
      </c>
      <c r="K82" s="451"/>
      <c r="L82" s="115" t="s">
        <v>659</v>
      </c>
    </row>
    <row r="83" spans="3:13" x14ac:dyDescent="0.2">
      <c r="C83" s="1"/>
      <c r="F83" s="371"/>
      <c r="G83" s="114"/>
      <c r="H83" s="344"/>
      <c r="I83" s="344"/>
      <c r="K83" s="451"/>
      <c r="L83" s="371"/>
    </row>
    <row r="84" spans="3:13" x14ac:dyDescent="0.2">
      <c r="F84" s="417"/>
      <c r="G84" s="5"/>
      <c r="K84" s="451"/>
      <c r="L84" s="371"/>
    </row>
    <row r="85" spans="3:13" x14ac:dyDescent="0.2">
      <c r="C85" s="1" t="s">
        <v>660</v>
      </c>
      <c r="F85" s="417">
        <v>164.41</v>
      </c>
      <c r="G85" s="5" t="s">
        <v>654</v>
      </c>
      <c r="H85" s="411"/>
      <c r="I85" s="344">
        <v>0.56999999999999995</v>
      </c>
      <c r="K85" s="451">
        <f>F85*H85*I85</f>
        <v>0</v>
      </c>
      <c r="L85" s="371"/>
    </row>
    <row r="86" spans="3:13" x14ac:dyDescent="0.2">
      <c r="C86" s="1"/>
      <c r="F86" s="417">
        <v>164.41</v>
      </c>
      <c r="G86" s="5" t="s">
        <v>654</v>
      </c>
      <c r="H86" s="411"/>
      <c r="I86" s="344">
        <v>1</v>
      </c>
      <c r="K86" s="451">
        <f>F86*H86*I86</f>
        <v>0</v>
      </c>
      <c r="L86" s="115" t="s">
        <v>656</v>
      </c>
    </row>
    <row r="87" spans="3:13" x14ac:dyDescent="0.2">
      <c r="F87" s="417"/>
      <c r="G87" s="5"/>
      <c r="K87" s="451"/>
    </row>
    <row r="88" spans="3:13" x14ac:dyDescent="0.2">
      <c r="C88" s="1" t="s">
        <v>661</v>
      </c>
      <c r="F88" s="417">
        <v>16.600000000000001</v>
      </c>
      <c r="G88" s="5" t="s">
        <v>723</v>
      </c>
      <c r="H88" s="411"/>
      <c r="I88" s="344">
        <v>0.65</v>
      </c>
      <c r="K88" s="451">
        <f>F88*H88*I88</f>
        <v>0</v>
      </c>
    </row>
    <row r="89" spans="3:13" x14ac:dyDescent="0.2">
      <c r="F89" s="417"/>
      <c r="G89" s="5"/>
      <c r="K89" s="451"/>
    </row>
    <row r="90" spans="3:13" x14ac:dyDescent="0.2">
      <c r="C90" s="1" t="s">
        <v>662</v>
      </c>
      <c r="F90" s="417">
        <v>12</v>
      </c>
      <c r="G90" s="5" t="s">
        <v>49</v>
      </c>
      <c r="H90" s="11">
        <f>F10</f>
        <v>16473</v>
      </c>
      <c r="I90" s="345">
        <v>0.29699999999999999</v>
      </c>
      <c r="J90" s="12"/>
      <c r="K90" s="451">
        <f>F90*H90*I90</f>
        <v>58709.771999999997</v>
      </c>
    </row>
    <row r="91" spans="3:13" x14ac:dyDescent="0.2">
      <c r="F91" s="417"/>
      <c r="G91" s="5"/>
      <c r="J91" s="12"/>
      <c r="K91" s="451"/>
      <c r="M91" s="444"/>
    </row>
    <row r="92" spans="3:13" x14ac:dyDescent="0.2">
      <c r="C92" s="1" t="s">
        <v>663</v>
      </c>
      <c r="F92" s="417">
        <v>15</v>
      </c>
      <c r="G92" s="5" t="s">
        <v>664</v>
      </c>
      <c r="H92" s="11">
        <f>F11</f>
        <v>0</v>
      </c>
      <c r="I92" s="345">
        <v>0.29699999999999999</v>
      </c>
      <c r="J92" s="12"/>
      <c r="K92" s="451">
        <f>F92*H92*I92</f>
        <v>0</v>
      </c>
    </row>
    <row r="93" spans="3:13" x14ac:dyDescent="0.2">
      <c r="F93" s="417"/>
      <c r="G93" s="5"/>
      <c r="J93" s="12"/>
      <c r="K93" s="451"/>
    </row>
    <row r="94" spans="3:13" x14ac:dyDescent="0.2">
      <c r="C94" s="1" t="s">
        <v>665</v>
      </c>
      <c r="F94" s="409">
        <v>85071</v>
      </c>
      <c r="G94" s="5" t="s">
        <v>666</v>
      </c>
      <c r="H94" s="411"/>
      <c r="I94" s="344">
        <v>0.37</v>
      </c>
      <c r="J94" s="12"/>
      <c r="K94" s="451">
        <f>F94*H94*I94</f>
        <v>0</v>
      </c>
    </row>
    <row r="95" spans="3:13" x14ac:dyDescent="0.2">
      <c r="F95" s="409"/>
      <c r="G95" s="5"/>
      <c r="H95" s="11"/>
      <c r="J95" s="12"/>
      <c r="K95" s="451"/>
    </row>
    <row r="96" spans="3:13" x14ac:dyDescent="0.2">
      <c r="C96" s="1" t="s">
        <v>667</v>
      </c>
      <c r="F96" s="409">
        <v>66743</v>
      </c>
      <c r="G96" s="5" t="s">
        <v>666</v>
      </c>
      <c r="H96" s="411"/>
      <c r="I96" s="344">
        <v>0.37</v>
      </c>
      <c r="J96" s="12"/>
      <c r="K96" s="451">
        <f>F96*H96*I96</f>
        <v>0</v>
      </c>
    </row>
    <row r="97" spans="2:13" x14ac:dyDescent="0.2">
      <c r="F97" s="409"/>
      <c r="G97" s="5"/>
      <c r="H97" s="11"/>
      <c r="J97" s="12"/>
      <c r="K97" s="451"/>
    </row>
    <row r="98" spans="2:13" x14ac:dyDescent="0.2">
      <c r="C98" s="1" t="s">
        <v>668</v>
      </c>
      <c r="F98" s="409">
        <v>58318</v>
      </c>
      <c r="G98" s="5" t="s">
        <v>666</v>
      </c>
      <c r="H98" s="411"/>
      <c r="I98" s="344">
        <v>0.37</v>
      </c>
      <c r="J98" s="12"/>
      <c r="K98" s="451">
        <f>F98*H98*I98</f>
        <v>0</v>
      </c>
    </row>
    <row r="99" spans="2:13" x14ac:dyDescent="0.2">
      <c r="G99" s="5"/>
      <c r="K99" s="451"/>
    </row>
    <row r="100" spans="2:13" x14ac:dyDescent="0.2">
      <c r="B100" s="40" t="s">
        <v>669</v>
      </c>
      <c r="C100" s="41"/>
      <c r="D100" s="41"/>
      <c r="E100" s="343"/>
      <c r="F100" s="41"/>
      <c r="G100" s="41"/>
      <c r="H100" s="41"/>
      <c r="I100" s="41"/>
      <c r="J100" s="41"/>
      <c r="K100" s="452">
        <f>SUM(K71:K99)</f>
        <v>58709.771999999997</v>
      </c>
    </row>
    <row r="101" spans="2:13" x14ac:dyDescent="0.2">
      <c r="K101" s="451"/>
    </row>
    <row r="102" spans="2:13" x14ac:dyDescent="0.2">
      <c r="K102" s="451"/>
    </row>
    <row r="103" spans="2:13" x14ac:dyDescent="0.2">
      <c r="B103" s="37" t="s">
        <v>670</v>
      </c>
      <c r="C103" s="38"/>
      <c r="D103" s="38"/>
      <c r="E103" s="43"/>
      <c r="F103" s="38"/>
      <c r="G103" s="38"/>
      <c r="H103" s="38"/>
      <c r="I103" s="38"/>
      <c r="J103" s="38"/>
      <c r="K103" s="448">
        <f>K20+K28+K62+K100</f>
        <v>-4876436.2980000004</v>
      </c>
    </row>
    <row r="104" spans="2:13" s="371" customFormat="1" x14ac:dyDescent="0.2">
      <c r="B104" s="405" t="s">
        <v>671</v>
      </c>
      <c r="K104" s="447">
        <f>K20</f>
        <v>0</v>
      </c>
      <c r="M104" s="113"/>
    </row>
    <row r="105" spans="2:13" s="371" customFormat="1" x14ac:dyDescent="0.2">
      <c r="B105" s="405" t="s">
        <v>672</v>
      </c>
      <c r="K105" s="447">
        <f>K62</f>
        <v>0</v>
      </c>
      <c r="M105" s="113"/>
    </row>
    <row r="106" spans="2:13" s="371" customFormat="1" x14ac:dyDescent="0.2">
      <c r="B106" s="445" t="s">
        <v>673</v>
      </c>
      <c r="C106" s="446"/>
      <c r="D106" s="446"/>
      <c r="E106" s="446"/>
      <c r="F106" s="446"/>
      <c r="G106" s="446"/>
      <c r="H106" s="446"/>
      <c r="I106" s="446"/>
      <c r="J106" s="446"/>
      <c r="K106" s="450">
        <f>K100</f>
        <v>58709.771999999997</v>
      </c>
      <c r="M106" s="113"/>
    </row>
    <row r="107" spans="2:13" s="371" customFormat="1" x14ac:dyDescent="0.2">
      <c r="B107" s="405" t="s">
        <v>674</v>
      </c>
      <c r="K107" s="447">
        <f>SUM(K104:K106)</f>
        <v>58709.771999999997</v>
      </c>
      <c r="M107" s="113"/>
    </row>
    <row r="108" spans="2:13" s="371" customFormat="1" x14ac:dyDescent="0.2">
      <c r="B108" s="405" t="s">
        <v>675</v>
      </c>
      <c r="K108" s="449">
        <f>K25</f>
        <v>-1571030.01</v>
      </c>
      <c r="M108" s="113"/>
    </row>
    <row r="109" spans="2:13" s="371" customFormat="1" x14ac:dyDescent="0.2">
      <c r="B109" s="405" t="s">
        <v>676</v>
      </c>
      <c r="K109" s="449">
        <f>K26</f>
        <v>-3364116.06</v>
      </c>
      <c r="M109" s="113"/>
    </row>
  </sheetData>
  <protectedRanges>
    <protectedRange sqref="K18" name="Alue5_1"/>
    <protectedRange sqref="F11:F12" name="Alue1_1"/>
    <protectedRange sqref="J80:J83 J88 J76:J78 J85:J86" name="Alue9_1_2"/>
    <protectedRange sqref="H71:H74 H76:H78 H84:H98 H80:H82" name="Alue8_1_2"/>
    <protectedRange sqref="F71:F73 L80" name="Alue7_1_2"/>
    <protectedRange sqref="I51:I52 I55:I57 I42:I49 I59:I60 I40" name="Alue5_1_2"/>
    <protectedRange sqref="F33:F36 F55 F57 F40" name="Alue4_1_2"/>
    <protectedRange sqref="G25:G26" name="Alue3_1_3"/>
    <protectedRange sqref="F74 F76:F77 F80:F82 F84:F98" name="Alue7_1_2_2"/>
  </protectedRanges>
  <mergeCells count="1">
    <mergeCell ref="B3:K3"/>
  </mergeCells>
  <phoneticPr fontId="3" type="noConversion"/>
  <pageMargins left="0.75" right="0.75" top="1" bottom="1" header="0.4921259845" footer="0.4921259845"/>
  <pageSetup paperSize="9" scale="81" fitToHeight="0" orientation="portrait" r:id="rId1"/>
  <headerFooter alignWithMargins="0"/>
  <rowBreaks count="1" manualBreakCount="1">
    <brk id="65" max="10"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O51"/>
  <sheetViews>
    <sheetView zoomScaleNormal="100" workbookViewId="0">
      <selection activeCell="J50" sqref="J50"/>
    </sheetView>
  </sheetViews>
  <sheetFormatPr defaultRowHeight="12.75" x14ac:dyDescent="0.2"/>
  <cols>
    <col min="1" max="4" width="3" customWidth="1"/>
    <col min="5" max="5" width="11.7109375" customWidth="1"/>
    <col min="6" max="7" width="10" customWidth="1"/>
    <col min="8" max="8" width="11.5703125" customWidth="1"/>
    <col min="9" max="9" width="12.42578125" customWidth="1"/>
    <col min="10" max="11" width="11.7109375" customWidth="1"/>
    <col min="12" max="12" width="13.42578125" customWidth="1"/>
  </cols>
  <sheetData>
    <row r="1" spans="1:15" ht="18" x14ac:dyDescent="0.25">
      <c r="A1" s="462" t="s">
        <v>730</v>
      </c>
      <c r="E1" s="346"/>
      <c r="L1" s="47"/>
    </row>
    <row r="2" spans="1:15" x14ac:dyDescent="0.2">
      <c r="E2" s="22"/>
    </row>
    <row r="3" spans="1:15" ht="18" x14ac:dyDescent="0.25">
      <c r="B3" s="499" t="s">
        <v>709</v>
      </c>
      <c r="C3" s="500"/>
      <c r="D3" s="500"/>
      <c r="E3" s="500"/>
      <c r="F3" s="500"/>
      <c r="G3" s="500"/>
      <c r="H3" s="500"/>
      <c r="I3" s="500"/>
      <c r="J3" s="501"/>
      <c r="L3" s="325"/>
    </row>
    <row r="4" spans="1:15" x14ac:dyDescent="0.2">
      <c r="B4" s="326"/>
    </row>
    <row r="5" spans="1:15" x14ac:dyDescent="0.2">
      <c r="B5" s="22" t="s">
        <v>91</v>
      </c>
      <c r="C5" s="371"/>
      <c r="D5" s="371"/>
      <c r="E5" s="411"/>
      <c r="F5" s="23" t="s">
        <v>677</v>
      </c>
      <c r="J5" s="170"/>
      <c r="K5" s="373"/>
      <c r="L5" s="374"/>
      <c r="M5" s="373"/>
      <c r="N5" s="373"/>
      <c r="O5" s="171"/>
    </row>
    <row r="6" spans="1:15" x14ac:dyDescent="0.2">
      <c r="B6" s="371"/>
      <c r="C6" s="371"/>
      <c r="D6" s="371"/>
      <c r="E6" s="76"/>
      <c r="F6" s="23" t="s">
        <v>678</v>
      </c>
      <c r="J6" s="172"/>
      <c r="K6" s="372"/>
      <c r="L6" s="372"/>
      <c r="M6" s="372"/>
      <c r="N6" s="372"/>
      <c r="O6" s="173"/>
    </row>
    <row r="7" spans="1:15" x14ac:dyDescent="0.2">
      <c r="H7" s="207"/>
      <c r="J7" s="172"/>
      <c r="K7" s="372"/>
      <c r="L7" s="372"/>
      <c r="M7" s="372"/>
      <c r="N7" s="372"/>
      <c r="O7" s="173"/>
    </row>
    <row r="8" spans="1:15" s="4" customFormat="1" x14ac:dyDescent="0.2">
      <c r="A8" s="371"/>
      <c r="B8" s="412" t="s">
        <v>29</v>
      </c>
      <c r="C8" s="371"/>
      <c r="D8" s="371"/>
      <c r="E8" s="371"/>
      <c r="F8" s="6" t="str">
        <f>'2.Yhteenveto'!G11</f>
        <v>Akaa</v>
      </c>
      <c r="G8" s="371"/>
      <c r="H8" s="207"/>
      <c r="I8" s="371"/>
      <c r="J8" s="424"/>
      <c r="K8" s="425"/>
      <c r="L8" s="425"/>
      <c r="M8" s="425"/>
      <c r="N8" s="425"/>
      <c r="O8" s="426"/>
    </row>
    <row r="9" spans="1:15" s="4" customFormat="1" x14ac:dyDescent="0.2">
      <c r="A9" s="371"/>
      <c r="B9" s="412" t="str">
        <f>'2.Yhteenveto'!B12</f>
        <v>Asukasluku 31.12.2022:</v>
      </c>
      <c r="C9" s="371"/>
      <c r="D9" s="371"/>
      <c r="E9" s="371"/>
      <c r="F9" s="29">
        <f>'2.Yhteenveto'!$H$12</f>
        <v>16473</v>
      </c>
      <c r="G9" s="371"/>
      <c r="H9" s="207"/>
      <c r="I9" s="371"/>
      <c r="J9" s="424"/>
      <c r="K9" s="425"/>
      <c r="L9" s="425"/>
      <c r="M9" s="425"/>
      <c r="N9" s="425"/>
      <c r="O9" s="426"/>
    </row>
    <row r="10" spans="1:15" x14ac:dyDescent="0.2">
      <c r="H10" s="363"/>
      <c r="J10" s="172"/>
      <c r="K10" s="372"/>
      <c r="L10" s="372"/>
      <c r="M10" s="372"/>
      <c r="N10" s="372"/>
      <c r="O10" s="173"/>
    </row>
    <row r="11" spans="1:15" ht="15.75" x14ac:dyDescent="0.25">
      <c r="B11" s="1" t="s">
        <v>710</v>
      </c>
      <c r="E11" s="3"/>
      <c r="J11" s="172"/>
      <c r="K11" s="372"/>
      <c r="L11" s="372"/>
      <c r="M11" s="372"/>
      <c r="N11" s="372"/>
      <c r="O11" s="173"/>
    </row>
    <row r="12" spans="1:15" x14ac:dyDescent="0.2">
      <c r="F12" s="7"/>
      <c r="J12" s="80"/>
      <c r="K12" s="375"/>
      <c r="L12" s="375"/>
      <c r="M12" s="375"/>
      <c r="N12" s="375"/>
      <c r="O12" s="174"/>
    </row>
    <row r="13" spans="1:15" x14ac:dyDescent="0.2">
      <c r="C13" s="371" t="s">
        <v>679</v>
      </c>
      <c r="H13" s="356">
        <v>7943</v>
      </c>
    </row>
    <row r="14" spans="1:15" x14ac:dyDescent="0.2">
      <c r="C14" s="371" t="s">
        <v>680</v>
      </c>
      <c r="H14" s="76">
        <v>0.94556419999999997</v>
      </c>
      <c r="I14" s="362" t="s">
        <v>681</v>
      </c>
      <c r="L14" s="5"/>
    </row>
    <row r="15" spans="1:15" x14ac:dyDescent="0.2">
      <c r="H15" s="427"/>
    </row>
    <row r="16" spans="1:15" x14ac:dyDescent="0.2">
      <c r="I16" s="74" t="s">
        <v>682</v>
      </c>
    </row>
    <row r="17" spans="2:11" x14ac:dyDescent="0.2">
      <c r="I17" s="74" t="s">
        <v>683</v>
      </c>
      <c r="J17" s="28" t="s">
        <v>684</v>
      </c>
    </row>
    <row r="18" spans="2:11" x14ac:dyDescent="0.2">
      <c r="D18" s="371" t="s">
        <v>706</v>
      </c>
      <c r="I18" s="411"/>
      <c r="J18">
        <f>IF(I18=0,0,IF(I18&lt;40,206,IF(I18&lt;60,100+0.4*(200-I18)+2.1*(60-I18),IF(I18&lt;200,100+0.4*(200-I18),IF(I18&gt;199,100)))))</f>
        <v>0</v>
      </c>
    </row>
    <row r="19" spans="2:11" x14ac:dyDescent="0.2">
      <c r="D19" s="371" t="s">
        <v>707</v>
      </c>
      <c r="I19" s="411"/>
      <c r="J19">
        <f>IF(I19=0,0,IF(I19&lt;40,206,IF(I19&lt;60,100+0.4*(200-I19)+2.1*(60-I19),IF(I19&lt;200,100+0.4*(200-I19),IF(I19&gt;199,100)))))</f>
        <v>0</v>
      </c>
    </row>
    <row r="20" spans="2:11" x14ac:dyDescent="0.2">
      <c r="C20" t="s">
        <v>685</v>
      </c>
      <c r="I20" s="409">
        <f>I18+I19</f>
        <v>0</v>
      </c>
    </row>
    <row r="21" spans="2:11" x14ac:dyDescent="0.2">
      <c r="H21" s="427"/>
    </row>
    <row r="22" spans="2:11" x14ac:dyDescent="0.2">
      <c r="C22" t="s">
        <v>686</v>
      </c>
      <c r="H22" s="427"/>
      <c r="J22" s="17">
        <f>IF(I20=0,100,((I18*J18+I19*J19)/I20))</f>
        <v>100</v>
      </c>
    </row>
    <row r="23" spans="2:11" x14ac:dyDescent="0.2">
      <c r="H23" s="427"/>
    </row>
    <row r="24" spans="2:11" x14ac:dyDescent="0.2">
      <c r="C24" s="371" t="s">
        <v>687</v>
      </c>
      <c r="H24" s="427"/>
      <c r="J24" s="417">
        <f>IF(I20=0,H13*H14,H13*H14*J22/100)</f>
        <v>7510.6164405999998</v>
      </c>
    </row>
    <row r="25" spans="2:11" x14ac:dyDescent="0.2">
      <c r="H25" s="427"/>
    </row>
    <row r="26" spans="2:11" x14ac:dyDescent="0.2">
      <c r="C26" s="371" t="s">
        <v>688</v>
      </c>
      <c r="H26" s="427"/>
      <c r="J26" s="411">
        <v>0</v>
      </c>
      <c r="K26" s="389" t="s">
        <v>689</v>
      </c>
    </row>
    <row r="27" spans="2:11" x14ac:dyDescent="0.2">
      <c r="H27" s="427"/>
    </row>
    <row r="28" spans="2:11" x14ac:dyDescent="0.2">
      <c r="B28" s="64" t="s">
        <v>690</v>
      </c>
      <c r="C28" s="65"/>
      <c r="D28" s="65"/>
      <c r="E28" s="65"/>
      <c r="F28" s="65"/>
      <c r="G28" s="65"/>
      <c r="H28" s="66"/>
      <c r="I28" s="67">
        <f>ROUND(J24+(J24*J26/100),2)</f>
        <v>7510.62</v>
      </c>
      <c r="J28" s="68" t="s">
        <v>691</v>
      </c>
    </row>
    <row r="29" spans="2:11" x14ac:dyDescent="0.2">
      <c r="B29" s="69" t="s">
        <v>692</v>
      </c>
      <c r="C29" s="70"/>
      <c r="D29" s="70"/>
      <c r="E29" s="70"/>
      <c r="F29" s="70"/>
      <c r="G29" s="70"/>
      <c r="H29" s="71"/>
      <c r="I29" s="72">
        <f>ROUND(0.633*I28,2)</f>
        <v>4754.22</v>
      </c>
      <c r="J29" s="73" t="s">
        <v>691</v>
      </c>
    </row>
    <row r="30" spans="2:11" x14ac:dyDescent="0.2">
      <c r="H30" s="427"/>
    </row>
    <row r="31" spans="2:11" x14ac:dyDescent="0.2">
      <c r="B31" s="22" t="s">
        <v>693</v>
      </c>
      <c r="H31" s="427"/>
    </row>
    <row r="32" spans="2:11" x14ac:dyDescent="0.2">
      <c r="H32" s="427"/>
    </row>
    <row r="33" spans="2:10" ht="15.75" x14ac:dyDescent="0.25">
      <c r="B33" s="1" t="s">
        <v>694</v>
      </c>
      <c r="E33" s="3"/>
      <c r="H33" s="427"/>
    </row>
    <row r="34" spans="2:10" x14ac:dyDescent="0.2">
      <c r="H34" s="427"/>
    </row>
    <row r="35" spans="2:10" x14ac:dyDescent="0.2">
      <c r="H35" s="74" t="s">
        <v>682</v>
      </c>
      <c r="I35" s="28" t="s">
        <v>695</v>
      </c>
    </row>
    <row r="36" spans="2:10" x14ac:dyDescent="0.2">
      <c r="H36" s="74" t="s">
        <v>96</v>
      </c>
      <c r="I36" s="28" t="s">
        <v>696</v>
      </c>
    </row>
    <row r="37" spans="2:10" x14ac:dyDescent="0.2">
      <c r="D37" s="371" t="s">
        <v>708</v>
      </c>
      <c r="H37" s="411"/>
      <c r="I37" s="411"/>
    </row>
    <row r="38" spans="2:10" x14ac:dyDescent="0.2">
      <c r="H38" s="427"/>
    </row>
    <row r="39" spans="2:10" x14ac:dyDescent="0.2">
      <c r="C39" t="s">
        <v>697</v>
      </c>
      <c r="H39" s="427"/>
      <c r="J39" s="411"/>
    </row>
    <row r="40" spans="2:10" x14ac:dyDescent="0.2">
      <c r="H40" s="427"/>
    </row>
    <row r="41" spans="2:10" x14ac:dyDescent="0.2">
      <c r="H41" s="427"/>
    </row>
    <row r="42" spans="2:10" x14ac:dyDescent="0.2">
      <c r="C42" s="371" t="s">
        <v>698</v>
      </c>
      <c r="H42" s="427"/>
      <c r="J42" s="11">
        <f>I28*H37</f>
        <v>0</v>
      </c>
    </row>
    <row r="43" spans="2:10" x14ac:dyDescent="0.2">
      <c r="C43" s="371" t="s">
        <v>699</v>
      </c>
      <c r="H43" s="427"/>
      <c r="J43" s="11">
        <f>I29*I37</f>
        <v>0</v>
      </c>
    </row>
    <row r="44" spans="2:10" x14ac:dyDescent="0.2">
      <c r="C44" s="371" t="s">
        <v>700</v>
      </c>
      <c r="H44" s="427"/>
      <c r="J44" s="11">
        <f>I29*J39</f>
        <v>0</v>
      </c>
    </row>
    <row r="45" spans="2:10" x14ac:dyDescent="0.2">
      <c r="C45" s="371"/>
      <c r="H45" s="427"/>
      <c r="J45" s="11"/>
    </row>
    <row r="46" spans="2:10" x14ac:dyDescent="0.2">
      <c r="B46" s="22" t="s">
        <v>701</v>
      </c>
    </row>
    <row r="47" spans="2:10" x14ac:dyDescent="0.2">
      <c r="B47" s="22" t="s">
        <v>702</v>
      </c>
    </row>
    <row r="48" spans="2:10" x14ac:dyDescent="0.2">
      <c r="B48" s="22" t="s">
        <v>703</v>
      </c>
    </row>
    <row r="49" spans="2:11" x14ac:dyDescent="0.2">
      <c r="C49" s="371"/>
      <c r="H49" s="427"/>
      <c r="J49" s="11"/>
    </row>
    <row r="50" spans="2:11" x14ac:dyDescent="0.2">
      <c r="B50" s="37" t="s">
        <v>704</v>
      </c>
      <c r="C50" s="38"/>
      <c r="D50" s="38"/>
      <c r="E50" s="43"/>
      <c r="F50" s="38"/>
      <c r="G50" s="38"/>
      <c r="H50" s="428"/>
      <c r="I50" s="38"/>
      <c r="J50" s="39">
        <f>SUM(J42:J45)</f>
        <v>0</v>
      </c>
      <c r="K50" s="388" t="s">
        <v>711</v>
      </c>
    </row>
    <row r="51" spans="2:11" x14ac:dyDescent="0.2">
      <c r="H51" s="427"/>
    </row>
  </sheetData>
  <protectedRanges>
    <protectedRange sqref="J39" name="Alue5_1"/>
    <protectedRange sqref="H37:I37" name="Alue4_1"/>
    <protectedRange sqref="J26" name="Alue3_1"/>
    <protectedRange sqref="I18:I19" name="Alue2_1"/>
    <protectedRange sqref="H13:H14" name="Alue1_1"/>
  </protectedRanges>
  <mergeCells count="1">
    <mergeCell ref="B3:J3"/>
  </mergeCells>
  <phoneticPr fontId="3" type="noConversion"/>
  <pageMargins left="0.75" right="0.75" top="1" bottom="1" header="0.4921259845" footer="0.4921259845"/>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N19"/>
  <sheetViews>
    <sheetView zoomScaleNormal="100" workbookViewId="0">
      <selection activeCell="N4" sqref="N4"/>
    </sheetView>
  </sheetViews>
  <sheetFormatPr defaultRowHeight="12.75" x14ac:dyDescent="0.2"/>
  <cols>
    <col min="9" max="9" width="13.28515625" customWidth="1"/>
    <col min="11" max="11" width="10.7109375" customWidth="1"/>
    <col min="12" max="12" width="3.5703125" customWidth="1"/>
    <col min="13" max="13" width="1.42578125" customWidth="1"/>
  </cols>
  <sheetData>
    <row r="1" spans="1:14" x14ac:dyDescent="0.2">
      <c r="A1" s="25"/>
      <c r="L1" s="25"/>
    </row>
    <row r="2" spans="1:14" x14ac:dyDescent="0.2">
      <c r="A2" s="25"/>
      <c r="L2" s="25"/>
    </row>
    <row r="11" spans="1:14" x14ac:dyDescent="0.2">
      <c r="A11" s="371"/>
      <c r="B11" s="371"/>
      <c r="C11" s="371"/>
      <c r="D11" s="371"/>
      <c r="E11" s="371"/>
      <c r="F11" s="371"/>
      <c r="G11" s="371"/>
      <c r="H11" s="371"/>
      <c r="I11" s="371"/>
      <c r="L11" s="371"/>
      <c r="M11" s="371"/>
      <c r="N11" s="371"/>
    </row>
    <row r="12" spans="1:14" x14ac:dyDescent="0.2">
      <c r="A12" s="371"/>
      <c r="B12" s="371"/>
      <c r="C12" s="371"/>
      <c r="D12" s="371"/>
      <c r="E12" s="371"/>
      <c r="F12" s="371"/>
      <c r="G12" s="371"/>
      <c r="H12" s="371"/>
      <c r="I12" s="371"/>
      <c r="L12" s="371"/>
      <c r="M12" s="371"/>
      <c r="N12" s="371"/>
    </row>
    <row r="13" spans="1:14" x14ac:dyDescent="0.2">
      <c r="A13" s="371"/>
      <c r="B13" s="371"/>
      <c r="C13" s="371"/>
      <c r="D13" s="371"/>
      <c r="E13" s="371"/>
      <c r="F13" s="371"/>
      <c r="G13" s="371"/>
      <c r="H13" s="371"/>
      <c r="I13" s="371"/>
      <c r="L13" s="371"/>
      <c r="M13" s="371"/>
      <c r="N13" s="371"/>
    </row>
    <row r="14" spans="1:14" x14ac:dyDescent="0.2">
      <c r="A14" s="371"/>
      <c r="B14" s="371"/>
      <c r="C14" s="371"/>
      <c r="D14" s="371"/>
      <c r="E14" s="371"/>
      <c r="F14" s="371"/>
      <c r="G14" s="371"/>
      <c r="H14" s="371"/>
      <c r="I14" s="371"/>
      <c r="L14" s="371"/>
      <c r="M14" s="371"/>
      <c r="N14" s="371"/>
    </row>
    <row r="15" spans="1:14" x14ac:dyDescent="0.2">
      <c r="A15" s="371"/>
      <c r="B15" s="371"/>
      <c r="C15" s="371"/>
      <c r="D15" s="371"/>
      <c r="E15" s="371"/>
      <c r="F15" s="371"/>
      <c r="G15" s="371"/>
      <c r="H15" s="371"/>
      <c r="I15" s="371"/>
      <c r="L15" s="371"/>
      <c r="M15" s="371"/>
      <c r="N15" s="371"/>
    </row>
    <row r="16" spans="1:14" x14ac:dyDescent="0.2">
      <c r="A16" s="371"/>
      <c r="B16" s="371"/>
      <c r="C16" s="371"/>
      <c r="D16" s="371"/>
      <c r="E16" s="371"/>
      <c r="F16" s="371"/>
      <c r="G16" s="371"/>
      <c r="H16" s="371"/>
      <c r="I16" s="371"/>
      <c r="L16" s="371"/>
      <c r="M16" s="371"/>
      <c r="N16" s="371"/>
    </row>
    <row r="17" spans="1:14" x14ac:dyDescent="0.2">
      <c r="A17" s="371"/>
      <c r="B17" s="371"/>
      <c r="C17" s="371"/>
      <c r="D17" s="371"/>
      <c r="E17" s="371"/>
      <c r="F17" s="371"/>
      <c r="G17" s="371"/>
      <c r="H17" s="371"/>
      <c r="I17" s="371"/>
      <c r="L17" s="371"/>
      <c r="M17" s="371"/>
      <c r="N17" s="371"/>
    </row>
    <row r="19" spans="1:14" x14ac:dyDescent="0.2">
      <c r="A19" s="26"/>
      <c r="L19" s="26"/>
    </row>
  </sheetData>
  <sheetProtection sheet="1"/>
  <phoneticPr fontId="3" type="noConversion"/>
  <pageMargins left="0.25" right="0.25" top="0.75" bottom="0.75" header="0.3" footer="0.3"/>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BN110"/>
  <sheetViews>
    <sheetView tabSelected="1" zoomScaleNormal="100" zoomScaleSheetLayoutView="100" workbookViewId="0">
      <selection activeCell="Q29" sqref="Q29"/>
    </sheetView>
  </sheetViews>
  <sheetFormatPr defaultRowHeight="12.75" x14ac:dyDescent="0.2"/>
  <cols>
    <col min="1" max="5" width="1.5703125" customWidth="1"/>
    <col min="6" max="6" width="9.7109375" customWidth="1"/>
    <col min="7" max="7" width="10.28515625" customWidth="1"/>
    <col min="8" max="8" width="17.42578125" customWidth="1"/>
    <col min="9" max="9" width="13.7109375" customWidth="1"/>
    <col min="10" max="10" width="10.140625" bestFit="1" customWidth="1"/>
    <col min="11" max="11" width="11.7109375" customWidth="1"/>
    <col min="12" max="12" width="13.7109375" bestFit="1" customWidth="1"/>
    <col min="13" max="13" width="12.85546875" bestFit="1" customWidth="1"/>
    <col min="14" max="14" width="2" customWidth="1"/>
    <col min="15" max="15" width="7.85546875" style="350" customWidth="1"/>
    <col min="16" max="16" width="4.42578125" customWidth="1"/>
    <col min="17" max="17" width="16.28515625" customWidth="1"/>
    <col min="18" max="18" width="5.42578125" bestFit="1" customWidth="1"/>
    <col min="19" max="19" width="9.28515625" customWidth="1"/>
    <col min="20" max="24" width="1.42578125" hidden="1" customWidth="1"/>
    <col min="25" max="25" width="8.7109375" hidden="1" customWidth="1"/>
    <col min="26" max="26" width="10.28515625" hidden="1" customWidth="1"/>
    <col min="27" max="27" width="12.28515625" hidden="1" customWidth="1"/>
    <col min="28" max="28" width="12.5703125" hidden="1" customWidth="1"/>
    <col min="29" max="29" width="9.5703125" hidden="1" customWidth="1"/>
    <col min="30" max="30" width="11.7109375" hidden="1" customWidth="1"/>
    <col min="31" max="31" width="14.28515625" hidden="1" customWidth="1"/>
    <col min="32" max="32" width="13" hidden="1" customWidth="1"/>
    <col min="33" max="33" width="2" hidden="1" customWidth="1"/>
    <col min="34" max="34" width="9.28515625" bestFit="1" customWidth="1"/>
    <col min="35" max="38" width="9.28515625" hidden="1" customWidth="1"/>
    <col min="39" max="39" width="9.28515625" bestFit="1" customWidth="1"/>
    <col min="40" max="40" width="44.42578125" customWidth="1"/>
    <col min="41" max="41" width="20.7109375" customWidth="1"/>
    <col min="42" max="42" width="21" bestFit="1" customWidth="1"/>
    <col min="43" max="43" width="11.7109375" bestFit="1" customWidth="1"/>
    <col min="44" max="44" width="9.28515625" bestFit="1" customWidth="1"/>
    <col min="45" max="45" width="10.5703125" bestFit="1" customWidth="1"/>
    <col min="46" max="65" width="9.28515625" bestFit="1" customWidth="1"/>
  </cols>
  <sheetData>
    <row r="1" spans="1:45" x14ac:dyDescent="0.2">
      <c r="A1" s="36" t="s">
        <v>736</v>
      </c>
      <c r="C1" s="36"/>
      <c r="D1" s="36"/>
      <c r="E1" s="36"/>
      <c r="I1" s="36"/>
      <c r="T1" s="117" t="s">
        <v>9</v>
      </c>
      <c r="U1" s="118"/>
      <c r="V1" s="119"/>
      <c r="W1" s="119"/>
      <c r="X1" s="119"/>
      <c r="Y1" s="118"/>
      <c r="Z1" s="118"/>
      <c r="AA1" s="118"/>
      <c r="AB1" s="118"/>
      <c r="AC1" s="118"/>
      <c r="AD1" s="118"/>
      <c r="AE1" s="118"/>
      <c r="AF1" s="120"/>
      <c r="AN1" s="207" t="s">
        <v>10</v>
      </c>
      <c r="AO1" s="207" t="s">
        <v>11</v>
      </c>
      <c r="AP1" s="207" t="s">
        <v>12</v>
      </c>
      <c r="AQ1" s="207" t="s">
        <v>13</v>
      </c>
      <c r="AR1" s="207"/>
      <c r="AS1" s="207"/>
    </row>
    <row r="2" spans="1:45" x14ac:dyDescent="0.2">
      <c r="B2" s="24"/>
      <c r="C2" s="24"/>
      <c r="D2" s="24"/>
      <c r="E2" s="24"/>
      <c r="T2" s="121"/>
      <c r="U2" s="122"/>
      <c r="V2" s="122"/>
      <c r="W2" s="122"/>
      <c r="X2" s="122"/>
      <c r="Y2" s="123"/>
      <c r="Z2" s="123"/>
      <c r="AA2" s="123"/>
      <c r="AB2" s="123"/>
      <c r="AC2" s="123"/>
      <c r="AD2" s="123"/>
      <c r="AE2" s="123"/>
      <c r="AF2" s="124"/>
      <c r="AN2" s="207" t="s">
        <v>14</v>
      </c>
      <c r="AO2" s="429">
        <f>IF($L$25&gt;0,$L$25,0)</f>
        <v>5212738.8327598833</v>
      </c>
      <c r="AP2" s="429" t="str">
        <f>IF($L$25&lt;0,$L$25,"")</f>
        <v/>
      </c>
      <c r="AQ2" s="207"/>
      <c r="AR2" s="207"/>
      <c r="AS2" s="207"/>
    </row>
    <row r="3" spans="1:45" ht="18" x14ac:dyDescent="0.25">
      <c r="B3" s="490" t="s">
        <v>15</v>
      </c>
      <c r="C3" s="491"/>
      <c r="D3" s="491"/>
      <c r="E3" s="491"/>
      <c r="F3" s="491"/>
      <c r="G3" s="491"/>
      <c r="H3" s="491"/>
      <c r="I3" s="491"/>
      <c r="J3" s="491"/>
      <c r="K3" s="491"/>
      <c r="L3" s="491"/>
      <c r="M3" s="492"/>
      <c r="T3" s="121"/>
      <c r="U3" s="495" t="s">
        <v>16</v>
      </c>
      <c r="V3" s="496"/>
      <c r="W3" s="496"/>
      <c r="X3" s="496"/>
      <c r="Y3" s="496"/>
      <c r="Z3" s="496"/>
      <c r="AA3" s="496"/>
      <c r="AB3" s="496"/>
      <c r="AC3" s="496"/>
      <c r="AD3" s="496"/>
      <c r="AE3" s="496"/>
      <c r="AF3" s="497"/>
      <c r="AN3" s="207" t="s">
        <v>17</v>
      </c>
      <c r="AO3" s="429">
        <f>IF($L$38&gt;0,$L$38,"")</f>
        <v>7090798.5108171748</v>
      </c>
      <c r="AP3" s="429" t="str">
        <f>IF($L$38&lt;0,$L$38,"")</f>
        <v/>
      </c>
      <c r="AQ3" s="207"/>
      <c r="AR3" s="207"/>
      <c r="AS3" s="207"/>
    </row>
    <row r="4" spans="1:45" x14ac:dyDescent="0.2">
      <c r="F4" s="207"/>
      <c r="O4" s="351"/>
      <c r="T4" s="121"/>
      <c r="U4" s="123"/>
      <c r="V4" s="123"/>
      <c r="W4" s="123"/>
      <c r="X4" s="123"/>
      <c r="Y4" s="123"/>
      <c r="Z4" s="123"/>
      <c r="AA4" s="123"/>
      <c r="AB4" s="123"/>
      <c r="AC4" s="123"/>
      <c r="AD4" s="123"/>
      <c r="AE4" s="123"/>
      <c r="AF4" s="124"/>
      <c r="AN4" s="207" t="s">
        <v>18</v>
      </c>
      <c r="AO4" s="429">
        <f>IF($L$53&gt;0,$L$53,"")</f>
        <v>2687797.7412677575</v>
      </c>
      <c r="AP4" s="429" t="str">
        <f>IF($L$53&lt;0,$L$53,"")</f>
        <v/>
      </c>
      <c r="AQ4" s="207"/>
      <c r="AR4" s="207"/>
      <c r="AS4" s="207"/>
    </row>
    <row r="5" spans="1:45" x14ac:dyDescent="0.2">
      <c r="D5" s="75" t="s">
        <v>19</v>
      </c>
      <c r="T5" s="121"/>
      <c r="U5" s="123"/>
      <c r="V5" s="123"/>
      <c r="W5" s="123"/>
      <c r="X5" s="123"/>
      <c r="Y5" s="125" t="s">
        <v>19</v>
      </c>
      <c r="Z5" s="123"/>
      <c r="AA5" s="123"/>
      <c r="AB5" s="123"/>
      <c r="AC5" s="123"/>
      <c r="AD5" s="123"/>
      <c r="AE5" s="123"/>
      <c r="AF5" s="124"/>
      <c r="AN5" s="207" t="s">
        <v>20</v>
      </c>
      <c r="AO5" s="429">
        <f>IF($L$27&gt;0,$L$27,"")</f>
        <v>409064.89318643126</v>
      </c>
      <c r="AP5" s="429" t="str">
        <f>IF($L$27&lt;0,$L$27,"")</f>
        <v/>
      </c>
      <c r="AQ5" s="207"/>
      <c r="AR5" s="207"/>
      <c r="AS5" s="207"/>
    </row>
    <row r="6" spans="1:45" x14ac:dyDescent="0.2">
      <c r="F6" s="76"/>
      <c r="G6" s="27" t="s">
        <v>21</v>
      </c>
      <c r="T6" s="121"/>
      <c r="U6" s="123"/>
      <c r="V6" s="123"/>
      <c r="W6" s="123"/>
      <c r="X6" s="123"/>
      <c r="Y6" s="126"/>
      <c r="Z6" s="127" t="s">
        <v>21</v>
      </c>
      <c r="AA6" s="123"/>
      <c r="AB6" s="123"/>
      <c r="AC6" s="123"/>
      <c r="AD6" s="123"/>
      <c r="AE6" s="123"/>
      <c r="AF6" s="124"/>
      <c r="AN6" s="207" t="s">
        <v>22</v>
      </c>
      <c r="AO6" s="429" t="str">
        <f>IF(($L$29-L31-L32-L33-L34)&gt;0,($L$29-L31-L32-L33-L34),"")</f>
        <v/>
      </c>
      <c r="AP6" s="429">
        <f>IF(($L$29-L31-L32-L33-L34)&lt;0,($L$29-L31-L32-L33-L34),"")</f>
        <v>-1242546.0400000007</v>
      </c>
      <c r="AQ6" s="207"/>
      <c r="AR6" s="207"/>
      <c r="AS6" s="207"/>
    </row>
    <row r="7" spans="1:45" x14ac:dyDescent="0.2">
      <c r="F7" s="328"/>
      <c r="G7" s="27" t="s">
        <v>23</v>
      </c>
      <c r="T7" s="121"/>
      <c r="U7" s="123"/>
      <c r="V7" s="123"/>
      <c r="W7" s="123"/>
      <c r="X7" s="123"/>
      <c r="Y7" s="128"/>
      <c r="Z7" s="127" t="s">
        <v>24</v>
      </c>
      <c r="AA7" s="123"/>
      <c r="AB7" s="123"/>
      <c r="AC7" s="123"/>
      <c r="AD7" s="123"/>
      <c r="AE7" s="123"/>
      <c r="AF7" s="124"/>
      <c r="AN7" s="207" t="s">
        <v>25</v>
      </c>
      <c r="AO7" s="429" t="str">
        <f>IF((L31+L32+L33+L34)&gt;0,(L31+L32+L33+L34),"")</f>
        <v/>
      </c>
      <c r="AP7" s="429">
        <f>IF((L31+L32+L33+L34)&lt;0,(L31+L32+L33+L34),"")</f>
        <v>-6052395.4612032259</v>
      </c>
      <c r="AQ7" s="207"/>
      <c r="AR7" s="207"/>
      <c r="AS7" s="207"/>
    </row>
    <row r="8" spans="1:45" x14ac:dyDescent="0.2">
      <c r="F8" s="27"/>
      <c r="G8" s="27"/>
      <c r="T8" s="121"/>
      <c r="U8" s="123"/>
      <c r="V8" s="123"/>
      <c r="W8" s="123"/>
      <c r="X8" s="123"/>
      <c r="Y8" s="127"/>
      <c r="Z8" s="127"/>
      <c r="AA8" s="123"/>
      <c r="AB8" s="123"/>
      <c r="AC8" s="123"/>
      <c r="AD8" s="123"/>
      <c r="AE8" s="123"/>
      <c r="AF8" s="124"/>
      <c r="AN8" s="207" t="s">
        <v>26</v>
      </c>
      <c r="AO8" s="429" t="str">
        <f>IF($L$43&gt;0,$L$43,"")</f>
        <v/>
      </c>
      <c r="AP8" s="429">
        <f>IF($L$43&lt;0,$L$43,"")</f>
        <v>-2441149</v>
      </c>
      <c r="AQ8" s="207"/>
      <c r="AR8" s="207"/>
      <c r="AS8" s="207"/>
    </row>
    <row r="9" spans="1:45" x14ac:dyDescent="0.2">
      <c r="D9" s="5" t="s">
        <v>27</v>
      </c>
      <c r="T9" s="121"/>
      <c r="U9" s="123"/>
      <c r="V9" s="123"/>
      <c r="W9" s="123"/>
      <c r="X9" s="123"/>
      <c r="Y9" s="123"/>
      <c r="Z9" s="123"/>
      <c r="AA9" s="123"/>
      <c r="AB9" s="123"/>
      <c r="AC9" s="123"/>
      <c r="AD9" s="123"/>
      <c r="AE9" s="123"/>
      <c r="AF9" s="124"/>
      <c r="AN9" s="207" t="s">
        <v>28</v>
      </c>
      <c r="AO9" s="207"/>
      <c r="AP9" s="207"/>
      <c r="AQ9" s="429">
        <f>SUM(AO2:AP8)</f>
        <v>5664309.4768280191</v>
      </c>
      <c r="AR9" s="207"/>
      <c r="AS9" s="207"/>
    </row>
    <row r="10" spans="1:45" x14ac:dyDescent="0.2">
      <c r="T10" s="121"/>
      <c r="U10" s="123"/>
      <c r="V10" s="123"/>
      <c r="W10" s="123"/>
      <c r="X10" s="123"/>
      <c r="Y10" s="123"/>
      <c r="Z10" s="123"/>
      <c r="AA10" s="123"/>
      <c r="AB10" s="123"/>
      <c r="AC10" s="123"/>
      <c r="AD10" s="123"/>
      <c r="AE10" s="123"/>
      <c r="AF10" s="124"/>
      <c r="AN10" s="207"/>
      <c r="AO10" s="207"/>
      <c r="AP10" s="207"/>
      <c r="AQ10" s="207"/>
      <c r="AR10" s="207"/>
      <c r="AS10" s="207"/>
    </row>
    <row r="11" spans="1:45" ht="18" x14ac:dyDescent="0.25">
      <c r="B11" s="1" t="s">
        <v>29</v>
      </c>
      <c r="F11" s="78"/>
      <c r="G11" s="493" t="s">
        <v>30</v>
      </c>
      <c r="H11" s="494"/>
      <c r="I11" s="362" t="s">
        <v>31</v>
      </c>
      <c r="T11" s="121"/>
      <c r="U11" s="129" t="s">
        <v>29</v>
      </c>
      <c r="V11" s="123"/>
      <c r="W11" s="123"/>
      <c r="X11" s="123"/>
      <c r="Y11" s="123"/>
      <c r="Z11" s="498" t="str">
        <f>G11</f>
        <v>Akaa</v>
      </c>
      <c r="AA11" s="498"/>
      <c r="AB11" s="130" t="s">
        <v>32</v>
      </c>
      <c r="AC11" s="123"/>
      <c r="AD11" s="123"/>
      <c r="AE11" s="123"/>
      <c r="AF11" s="124"/>
      <c r="AN11" s="207" t="s">
        <v>10</v>
      </c>
      <c r="AO11" s="207" t="s">
        <v>11</v>
      </c>
      <c r="AP11" s="207" t="s">
        <v>12</v>
      </c>
      <c r="AQ11" s="207" t="s">
        <v>13</v>
      </c>
      <c r="AR11" s="207"/>
      <c r="AS11" s="207"/>
    </row>
    <row r="12" spans="1:45" ht="15.75" x14ac:dyDescent="0.25">
      <c r="B12" s="1" t="s">
        <v>33</v>
      </c>
      <c r="H12" s="77">
        <f>INDEX(vosC,MATCH($G$11,kunta,0),1,1)</f>
        <v>16473</v>
      </c>
      <c r="I12" s="5"/>
      <c r="T12" s="121"/>
      <c r="U12" s="129" t="s">
        <v>34</v>
      </c>
      <c r="V12" s="123"/>
      <c r="W12" s="123"/>
      <c r="X12" s="123"/>
      <c r="Y12" s="123"/>
      <c r="Z12" s="123"/>
      <c r="AA12" s="131">
        <f>INDEX(vosC,MATCH($G$11,kunta,0),1,1)</f>
        <v>16473</v>
      </c>
      <c r="AB12" s="130" t="s">
        <v>35</v>
      </c>
      <c r="AC12" s="123"/>
      <c r="AD12" s="123"/>
      <c r="AE12" s="123"/>
      <c r="AF12" s="124"/>
      <c r="AN12" s="207" t="s">
        <v>14</v>
      </c>
      <c r="AO12" s="429">
        <f>IF($M$25&gt;0,$M$25,0)</f>
        <v>316.4413787870991</v>
      </c>
      <c r="AP12" s="429" t="str">
        <f>IF($M$25&lt;0,$M$25,"")</f>
        <v/>
      </c>
      <c r="AQ12" s="207"/>
      <c r="AR12" s="207"/>
      <c r="AS12" s="207"/>
    </row>
    <row r="13" spans="1:45" ht="14.25" x14ac:dyDescent="0.2">
      <c r="B13" s="19"/>
      <c r="C13" s="19"/>
      <c r="D13" s="19"/>
      <c r="E13" s="19"/>
      <c r="M13" s="2"/>
      <c r="T13" s="121"/>
      <c r="U13" s="132"/>
      <c r="V13" s="132"/>
      <c r="W13" s="132"/>
      <c r="X13" s="132"/>
      <c r="Y13" s="123"/>
      <c r="Z13" s="123"/>
      <c r="AA13" s="123"/>
      <c r="AB13" s="123"/>
      <c r="AC13" s="123"/>
      <c r="AD13" s="123"/>
      <c r="AE13" s="123"/>
      <c r="AF13" s="133"/>
      <c r="AN13" s="207" t="s">
        <v>17</v>
      </c>
      <c r="AO13" s="429">
        <f>IF($M$38&gt;0,$M$38,"")</f>
        <v>430.4497365881852</v>
      </c>
      <c r="AP13" s="429" t="str">
        <f>IF($M$38&lt;0,$M$38,"")</f>
        <v/>
      </c>
      <c r="AQ13" s="207"/>
      <c r="AR13" s="207"/>
      <c r="AS13" s="207"/>
    </row>
    <row r="14" spans="1:45" x14ac:dyDescent="0.2">
      <c r="B14" s="1" t="s">
        <v>36</v>
      </c>
      <c r="L14" s="5"/>
      <c r="M14" s="28"/>
      <c r="T14" s="121"/>
      <c r="U14" s="129" t="s">
        <v>36</v>
      </c>
      <c r="V14" s="123"/>
      <c r="W14" s="123"/>
      <c r="X14" s="123"/>
      <c r="Y14" s="123"/>
      <c r="Z14" s="123"/>
      <c r="AA14" s="123"/>
      <c r="AB14" s="123"/>
      <c r="AC14" s="123"/>
      <c r="AD14" s="123"/>
      <c r="AE14" s="130"/>
      <c r="AF14" s="134"/>
      <c r="AN14" s="207" t="s">
        <v>18</v>
      </c>
      <c r="AO14" s="429">
        <f>IF($M$53&gt;0,$M$53,"")</f>
        <v>163.16382815927625</v>
      </c>
      <c r="AP14" s="429" t="str">
        <f>IF($M$53&lt;0,$M$53,"")</f>
        <v/>
      </c>
      <c r="AQ14" s="207"/>
      <c r="AR14" s="207"/>
      <c r="AS14" s="207"/>
    </row>
    <row r="15" spans="1:45" x14ac:dyDescent="0.2">
      <c r="B15" s="1"/>
      <c r="L15" s="5"/>
      <c r="M15" s="28"/>
      <c r="T15" s="121"/>
      <c r="U15" s="129"/>
      <c r="V15" s="123"/>
      <c r="W15" s="123"/>
      <c r="X15" s="123"/>
      <c r="Y15" s="123"/>
      <c r="Z15" s="123"/>
      <c r="AA15" s="123"/>
      <c r="AB15" s="123"/>
      <c r="AC15" s="123"/>
      <c r="AD15" s="123"/>
      <c r="AE15" s="130"/>
      <c r="AF15" s="134"/>
      <c r="AN15" s="207" t="s">
        <v>20</v>
      </c>
      <c r="AO15" s="429">
        <f>IF($M$27&gt;0,$M$27,"")</f>
        <v>24.832446620920976</v>
      </c>
      <c r="AP15" s="429" t="str">
        <f>IF($M$27&lt;0,$M$27,"")</f>
        <v/>
      </c>
      <c r="AQ15" s="207"/>
      <c r="AR15" s="207"/>
      <c r="AS15" s="207"/>
    </row>
    <row r="16" spans="1:45" x14ac:dyDescent="0.2">
      <c r="B16" s="1" t="s">
        <v>37</v>
      </c>
      <c r="C16" s="1"/>
      <c r="D16" s="1"/>
      <c r="E16" s="1"/>
      <c r="I16" s="461" t="s">
        <v>724</v>
      </c>
      <c r="L16" s="5" t="s">
        <v>38</v>
      </c>
      <c r="M16" s="5" t="s">
        <v>39</v>
      </c>
      <c r="T16" s="121"/>
      <c r="U16" s="129" t="s">
        <v>40</v>
      </c>
      <c r="V16" s="129"/>
      <c r="W16" s="129"/>
      <c r="X16" s="129"/>
      <c r="Y16" s="123"/>
      <c r="Z16" s="123"/>
      <c r="AA16" s="123"/>
      <c r="AB16" s="123"/>
      <c r="AC16" s="123"/>
      <c r="AD16" s="123"/>
      <c r="AE16" s="130" t="s">
        <v>38</v>
      </c>
      <c r="AF16" s="135" t="s">
        <v>39</v>
      </c>
      <c r="AN16" s="207" t="s">
        <v>22</v>
      </c>
      <c r="AO16" s="429" t="str">
        <f>IF(($M$29-M31-M32-M33-M34)&gt;0,($M$29-M31-M32-M33-M34),"")</f>
        <v/>
      </c>
      <c r="AP16" s="429">
        <f>IF(($M$29-M31-M32-M33-M34)&lt;0,($M$29-M31-M32-M33-M34),"")</f>
        <v>-75.429250288350644</v>
      </c>
      <c r="AQ16" s="207"/>
      <c r="AR16" s="207"/>
      <c r="AS16" s="207"/>
    </row>
    <row r="17" spans="3:45" x14ac:dyDescent="0.2">
      <c r="L17" s="451"/>
      <c r="M17" s="451"/>
      <c r="T17" s="121"/>
      <c r="U17" s="123"/>
      <c r="V17" s="123"/>
      <c r="W17" s="123"/>
      <c r="X17" s="123"/>
      <c r="Y17" s="123"/>
      <c r="Z17" s="123"/>
      <c r="AA17" s="123"/>
      <c r="AB17" s="123"/>
      <c r="AC17" s="123"/>
      <c r="AD17" s="123"/>
      <c r="AE17" s="123"/>
      <c r="AF17" s="124"/>
      <c r="AN17" s="207" t="s">
        <v>25</v>
      </c>
      <c r="AO17" s="429" t="str">
        <f>IF((M31+M32+M33+M34)&gt;0,(M31+M32+M33+M34),"")</f>
        <v/>
      </c>
      <c r="AP17" s="429">
        <f>IF((M31+M32+M33+M34)&lt;0,(M31+M32+M33+M34),"")</f>
        <v>-367.41306751673801</v>
      </c>
      <c r="AQ17" s="207"/>
      <c r="AR17" s="207"/>
      <c r="AS17" s="207"/>
    </row>
    <row r="18" spans="3:45" x14ac:dyDescent="0.2">
      <c r="D18" s="371" t="s">
        <v>41</v>
      </c>
      <c r="E18" s="371"/>
      <c r="F18" s="371"/>
      <c r="L18" s="469">
        <f>'3.Ikärakenne'!H20</f>
        <v>25707144.859999999</v>
      </c>
      <c r="M18" s="470">
        <f>L18/$H$12</f>
        <v>1560.5624270017604</v>
      </c>
      <c r="T18" s="121"/>
      <c r="U18" s="123"/>
      <c r="V18" s="123"/>
      <c r="W18" s="123" t="s">
        <v>41</v>
      </c>
      <c r="X18" s="123"/>
      <c r="Y18" s="123"/>
      <c r="Z18" s="123"/>
      <c r="AA18" s="123"/>
      <c r="AB18" s="123"/>
      <c r="AC18" s="123"/>
      <c r="AD18" s="123"/>
      <c r="AE18" s="136">
        <f>'3.Ikärakenne'!Z20</f>
        <v>0</v>
      </c>
      <c r="AF18" s="137">
        <f>AE18/$H$12</f>
        <v>0</v>
      </c>
      <c r="AN18" s="207" t="s">
        <v>26</v>
      </c>
      <c r="AO18" s="429" t="str">
        <f>IF($M$43&gt;0,$M$43,"")</f>
        <v/>
      </c>
      <c r="AP18" s="429">
        <f>IF($M$43&lt;0,$M$43,"")</f>
        <v>-148.19091847265221</v>
      </c>
      <c r="AQ18" s="207"/>
      <c r="AR18" s="207"/>
      <c r="AS18" s="207"/>
    </row>
    <row r="19" spans="3:45" x14ac:dyDescent="0.2">
      <c r="L19" s="471"/>
      <c r="M19" s="470"/>
      <c r="T19" s="121"/>
      <c r="U19" s="123"/>
      <c r="V19" s="123"/>
      <c r="W19" s="123"/>
      <c r="X19" s="123"/>
      <c r="Y19" s="123"/>
      <c r="Z19" s="123"/>
      <c r="AA19" s="123"/>
      <c r="AB19" s="123"/>
      <c r="AC19" s="123"/>
      <c r="AD19" s="123"/>
      <c r="AE19" s="123"/>
      <c r="AF19" s="137"/>
      <c r="AN19" s="207" t="s">
        <v>28</v>
      </c>
      <c r="AO19" s="207"/>
      <c r="AP19" s="207"/>
      <c r="AQ19" s="429">
        <f>SUM(AO12:AP18)</f>
        <v>343.8541538777406</v>
      </c>
      <c r="AR19" s="207"/>
      <c r="AS19" s="207"/>
    </row>
    <row r="20" spans="3:45" x14ac:dyDescent="0.2">
      <c r="L20" s="451"/>
      <c r="M20" s="470"/>
      <c r="P20" s="162"/>
      <c r="Q20" s="163" t="s">
        <v>42</v>
      </c>
      <c r="R20" s="164"/>
      <c r="T20" s="121"/>
      <c r="U20" s="123"/>
      <c r="V20" s="123"/>
      <c r="W20" s="123"/>
      <c r="X20" s="123"/>
      <c r="Y20" s="123"/>
      <c r="Z20" s="123"/>
      <c r="AA20" s="123"/>
      <c r="AB20" s="123"/>
      <c r="AC20" s="123"/>
      <c r="AD20" s="123"/>
      <c r="AE20" s="123"/>
      <c r="AF20" s="137"/>
      <c r="AN20" s="207"/>
      <c r="AO20" s="207"/>
      <c r="AP20" s="207"/>
      <c r="AQ20" s="207"/>
      <c r="AR20" s="207"/>
      <c r="AS20" s="207"/>
    </row>
    <row r="21" spans="3:45" ht="13.5" thickBot="1" x14ac:dyDescent="0.25">
      <c r="D21" s="408" t="s">
        <v>43</v>
      </c>
      <c r="E21" s="50"/>
      <c r="F21" s="50"/>
      <c r="G21" s="50"/>
      <c r="H21" s="50"/>
      <c r="I21" s="50"/>
      <c r="J21" s="51"/>
      <c r="K21" s="116"/>
      <c r="L21" s="472">
        <f>'4.Muut lask. kustannukset'!J69</f>
        <v>2381484.3427598863</v>
      </c>
      <c r="M21" s="473">
        <f>L21/$H$12</f>
        <v>144.56895178533881</v>
      </c>
      <c r="P21" s="165"/>
      <c r="Q21" s="166" t="s">
        <v>44</v>
      </c>
      <c r="R21" s="167"/>
      <c r="T21" s="121"/>
      <c r="U21" s="123"/>
      <c r="V21" s="123"/>
      <c r="W21" s="138" t="s">
        <v>43</v>
      </c>
      <c r="X21" s="138"/>
      <c r="Y21" s="138"/>
      <c r="Z21" s="138"/>
      <c r="AA21" s="138"/>
      <c r="AB21" s="138"/>
      <c r="AC21" s="139"/>
      <c r="AD21" s="140"/>
      <c r="AE21" s="141">
        <f>'4.Muut lask. kustannukset'!AB69</f>
        <v>0</v>
      </c>
      <c r="AF21" s="142">
        <f>AE21/$H$12</f>
        <v>0</v>
      </c>
      <c r="AM21" s="11"/>
    </row>
    <row r="22" spans="3:45" ht="13.5" thickTop="1" x14ac:dyDescent="0.2">
      <c r="C22" s="371" t="s">
        <v>45</v>
      </c>
      <c r="D22" s="371"/>
      <c r="J22" s="11"/>
      <c r="K22" s="2"/>
      <c r="L22" s="451">
        <f>SUM(L18:L21)</f>
        <v>28088629.202759884</v>
      </c>
      <c r="M22" s="470">
        <f>L22/$H$12</f>
        <v>1705.131378787099</v>
      </c>
      <c r="P22" s="168"/>
      <c r="Q22" s="334">
        <v>0.21920000000000001</v>
      </c>
      <c r="R22" s="169"/>
      <c r="T22" s="121"/>
      <c r="U22" s="123"/>
      <c r="V22" s="123" t="s">
        <v>46</v>
      </c>
      <c r="W22" s="123"/>
      <c r="X22" s="123"/>
      <c r="Y22" s="123"/>
      <c r="Z22" s="123"/>
      <c r="AA22" s="123"/>
      <c r="AB22" s="123"/>
      <c r="AC22" s="143"/>
      <c r="AD22" s="144"/>
      <c r="AE22" s="143">
        <f>SUM(AE18:AE21)</f>
        <v>0</v>
      </c>
      <c r="AF22" s="137">
        <f>AE22/$H$12</f>
        <v>0</v>
      </c>
      <c r="AM22" s="11"/>
    </row>
    <row r="23" spans="3:45" x14ac:dyDescent="0.2">
      <c r="L23" s="451"/>
      <c r="M23" s="470"/>
      <c r="P23" s="170"/>
      <c r="Q23" s="163" t="s">
        <v>47</v>
      </c>
      <c r="R23" s="171"/>
      <c r="T23" s="121"/>
      <c r="U23" s="123"/>
      <c r="V23" s="123"/>
      <c r="W23" s="123"/>
      <c r="X23" s="123"/>
      <c r="Y23" s="123"/>
      <c r="Z23" s="123"/>
      <c r="AA23" s="123"/>
      <c r="AB23" s="123"/>
      <c r="AC23" s="123"/>
      <c r="AD23" s="123"/>
      <c r="AE23" s="123"/>
      <c r="AF23" s="137"/>
    </row>
    <row r="24" spans="3:45" ht="15" thickBot="1" x14ac:dyDescent="0.25">
      <c r="C24" s="408" t="s">
        <v>48</v>
      </c>
      <c r="D24" s="50"/>
      <c r="E24" s="408"/>
      <c r="F24" s="50"/>
      <c r="G24" s="50"/>
      <c r="H24" s="50"/>
      <c r="I24" s="50"/>
      <c r="J24" s="396">
        <v>-1388.69</v>
      </c>
      <c r="K24" s="92" t="s">
        <v>49</v>
      </c>
      <c r="L24" s="472">
        <f>$J$24*$H$12</f>
        <v>-22875890.370000001</v>
      </c>
      <c r="M24" s="473">
        <f>L24/$H$12</f>
        <v>-1388.69</v>
      </c>
      <c r="P24" s="172"/>
      <c r="Q24" s="166" t="s">
        <v>44</v>
      </c>
      <c r="R24" s="173"/>
      <c r="T24" s="121"/>
      <c r="U24" s="123"/>
      <c r="V24" s="138" t="s">
        <v>50</v>
      </c>
      <c r="W24" s="138"/>
      <c r="X24" s="138"/>
      <c r="Y24" s="138"/>
      <c r="Z24" s="138"/>
      <c r="AA24" s="138"/>
      <c r="AB24" s="138"/>
      <c r="AC24" s="145">
        <f>tiedot!$H$2*(-1)</f>
        <v>0</v>
      </c>
      <c r="AD24" s="146" t="s">
        <v>49</v>
      </c>
      <c r="AE24" s="141">
        <f>AC24*AA12</f>
        <v>0</v>
      </c>
      <c r="AF24" s="142">
        <f>AE24/$H$12</f>
        <v>0</v>
      </c>
    </row>
    <row r="25" spans="3:45" s="1" customFormat="1" ht="13.5" thickTop="1" x14ac:dyDescent="0.2">
      <c r="C25" s="1" t="s">
        <v>51</v>
      </c>
      <c r="J25" s="75"/>
      <c r="K25" s="75"/>
      <c r="L25" s="478">
        <f>L22+L24</f>
        <v>5212738.8327598833</v>
      </c>
      <c r="M25" s="479">
        <f>L25/$H$12</f>
        <v>316.4413787870991</v>
      </c>
      <c r="O25" s="544"/>
      <c r="P25" s="69"/>
      <c r="Q25" s="545">
        <f>L25/L22</f>
        <v>0.18558181658248024</v>
      </c>
      <c r="R25" s="73"/>
      <c r="T25" s="464"/>
      <c r="U25" s="129"/>
      <c r="V25" s="129" t="s">
        <v>51</v>
      </c>
      <c r="W25" s="129"/>
      <c r="X25" s="129"/>
      <c r="Y25" s="129"/>
      <c r="Z25" s="129"/>
      <c r="AA25" s="129"/>
      <c r="AB25" s="129"/>
      <c r="AC25" s="125"/>
      <c r="AD25" s="125"/>
      <c r="AE25" s="154">
        <f>AE22+AE24</f>
        <v>0</v>
      </c>
      <c r="AF25" s="150">
        <f>AE25/$H$12</f>
        <v>0</v>
      </c>
    </row>
    <row r="26" spans="3:45" x14ac:dyDescent="0.2">
      <c r="L26" s="451"/>
      <c r="M26" s="470"/>
      <c r="T26" s="121"/>
      <c r="U26" s="123"/>
      <c r="V26" s="123"/>
      <c r="W26" s="123"/>
      <c r="X26" s="123"/>
      <c r="Y26" s="123"/>
      <c r="Z26" s="123"/>
      <c r="AA26" s="123"/>
      <c r="AB26" s="123"/>
      <c r="AC26" s="123"/>
      <c r="AD26" s="123"/>
      <c r="AE26" s="123"/>
      <c r="AF26" s="137"/>
    </row>
    <row r="27" spans="3:45" x14ac:dyDescent="0.2">
      <c r="D27" s="371" t="s">
        <v>20</v>
      </c>
      <c r="E27" s="371"/>
      <c r="F27" s="371"/>
      <c r="L27" s="469">
        <f>'5.Lisäosat'!J47</f>
        <v>409064.89318643126</v>
      </c>
      <c r="M27" s="470">
        <f>L27/$H$12</f>
        <v>24.832446620920976</v>
      </c>
      <c r="O27" s="353"/>
      <c r="T27" s="121"/>
      <c r="U27" s="123"/>
      <c r="V27" s="123"/>
      <c r="W27" s="123" t="s">
        <v>20</v>
      </c>
      <c r="X27" s="123"/>
      <c r="Y27" s="123"/>
      <c r="Z27" s="123"/>
      <c r="AA27" s="123"/>
      <c r="AB27" s="123"/>
      <c r="AC27" s="123"/>
      <c r="AD27" s="123"/>
      <c r="AE27" s="136">
        <f>'5.Lisäosat'!AB47</f>
        <v>0</v>
      </c>
      <c r="AF27" s="137">
        <f>AE27/$H$12</f>
        <v>0</v>
      </c>
    </row>
    <row r="28" spans="3:45" x14ac:dyDescent="0.2">
      <c r="L28" s="451"/>
      <c r="M28" s="470"/>
      <c r="O28" s="354"/>
      <c r="T28" s="121"/>
      <c r="U28" s="123"/>
      <c r="V28" s="123"/>
      <c r="W28" s="123"/>
      <c r="X28" s="123"/>
      <c r="Y28" s="123"/>
      <c r="Z28" s="123"/>
      <c r="AA28" s="123"/>
      <c r="AB28" s="123"/>
      <c r="AC28" s="123"/>
      <c r="AD28" s="123"/>
      <c r="AE28" s="123"/>
      <c r="AF28" s="137"/>
    </row>
    <row r="29" spans="3:45" x14ac:dyDescent="0.2">
      <c r="D29" t="s">
        <v>52</v>
      </c>
      <c r="L29" s="469">
        <f>'6.Vähennykset ja lisäykset'!I36</f>
        <v>-7294941.5012032259</v>
      </c>
      <c r="M29" s="470">
        <f>L29/$H$12</f>
        <v>-442.84231780508867</v>
      </c>
      <c r="O29" s="327"/>
      <c r="T29" s="121"/>
      <c r="U29" s="123"/>
      <c r="V29" s="123"/>
      <c r="W29" s="123" t="s">
        <v>52</v>
      </c>
      <c r="X29" s="123"/>
      <c r="Y29" s="123"/>
      <c r="Z29" s="123"/>
      <c r="AA29" s="123"/>
      <c r="AB29" s="123"/>
      <c r="AC29" s="123"/>
      <c r="AD29" s="123"/>
      <c r="AE29" s="136">
        <f>'6.Vähennykset ja lisäykset'!AA36</f>
        <v>0</v>
      </c>
      <c r="AF29" s="137">
        <f>AE29/$H$12</f>
        <v>0</v>
      </c>
    </row>
    <row r="30" spans="3:45" x14ac:dyDescent="0.2">
      <c r="F30" s="371"/>
      <c r="G30" s="1" t="s">
        <v>727</v>
      </c>
      <c r="H30" s="371"/>
      <c r="I30" s="78"/>
      <c r="J30" s="78"/>
      <c r="K30" s="78"/>
      <c r="L30" s="474"/>
      <c r="M30" s="470"/>
      <c r="N30" s="78"/>
      <c r="O30" s="353"/>
      <c r="P30" s="78"/>
      <c r="Q30" s="78"/>
      <c r="T30" s="121"/>
      <c r="U30" s="123"/>
      <c r="V30" s="123"/>
      <c r="W30" s="123"/>
      <c r="X30" s="123"/>
      <c r="Y30" s="123"/>
      <c r="Z30" s="123"/>
      <c r="AA30" s="123"/>
      <c r="AB30" s="123"/>
      <c r="AC30" s="123"/>
      <c r="AD30" s="123"/>
      <c r="AE30" s="175"/>
      <c r="AF30" s="137"/>
    </row>
    <row r="31" spans="3:45" x14ac:dyDescent="0.2">
      <c r="F31" s="371"/>
      <c r="G31" s="371"/>
      <c r="H31" s="371" t="s">
        <v>53</v>
      </c>
      <c r="L31" s="475">
        <f>INDEX(sote_1,MATCH($G$11,kunta,0),1,1)</f>
        <v>-2787357.7915534563</v>
      </c>
      <c r="M31" s="470">
        <f>L31/$H$12</f>
        <v>-169.20766050831398</v>
      </c>
      <c r="O31" s="354"/>
      <c r="T31" s="121"/>
      <c r="U31" s="123"/>
      <c r="V31" s="123"/>
      <c r="W31" s="123"/>
      <c r="X31" s="123"/>
      <c r="Y31" s="123"/>
      <c r="Z31" s="123"/>
      <c r="AA31" s="123"/>
      <c r="AB31" s="123"/>
      <c r="AC31" s="123"/>
      <c r="AD31" s="123"/>
      <c r="AE31" s="123"/>
      <c r="AF31" s="137"/>
    </row>
    <row r="32" spans="3:45" x14ac:dyDescent="0.2">
      <c r="F32" s="371"/>
      <c r="G32" s="371"/>
      <c r="H32" s="371" t="s">
        <v>54</v>
      </c>
      <c r="L32" s="475">
        <f>INDEX(sote_2,MATCH($G$11,kunta,0),1,1)</f>
        <v>-2346290.6684623654</v>
      </c>
      <c r="M32" s="470">
        <f>L32/$H$12</f>
        <v>-142.43250582543345</v>
      </c>
      <c r="O32" s="353"/>
      <c r="T32" s="121"/>
      <c r="U32" s="123"/>
      <c r="V32" s="123"/>
      <c r="W32" s="123"/>
      <c r="X32" s="123"/>
      <c r="Y32" s="123"/>
      <c r="Z32" s="123"/>
      <c r="AA32" s="123"/>
      <c r="AB32" s="123"/>
      <c r="AC32" s="123"/>
      <c r="AD32" s="123"/>
      <c r="AE32" s="136"/>
      <c r="AF32" s="137"/>
    </row>
    <row r="33" spans="2:37" x14ac:dyDescent="0.2">
      <c r="F33" s="371"/>
      <c r="G33" s="371"/>
      <c r="H33" s="430" t="s">
        <v>55</v>
      </c>
      <c r="I33" s="371"/>
      <c r="J33" s="371"/>
      <c r="K33" s="371"/>
      <c r="L33" s="475">
        <f>INDEX(sote_3,MATCH($G$11,kunta,0),1,1)</f>
        <v>-1490311.5726760752</v>
      </c>
      <c r="M33" s="470">
        <f t="shared" ref="M33:M34" si="0">L33/$H$12</f>
        <v>-90.469955240458646</v>
      </c>
      <c r="O33" s="353"/>
      <c r="T33" s="121"/>
      <c r="U33" s="123"/>
      <c r="V33" s="123"/>
      <c r="W33" s="123"/>
      <c r="X33" s="123"/>
      <c r="Y33" s="123"/>
      <c r="Z33" s="123"/>
      <c r="AA33" s="123"/>
      <c r="AB33" s="123"/>
      <c r="AC33" s="123"/>
      <c r="AD33" s="123"/>
      <c r="AE33" s="406"/>
      <c r="AF33" s="137"/>
    </row>
    <row r="34" spans="2:37" x14ac:dyDescent="0.2">
      <c r="F34" s="371"/>
      <c r="G34" s="371"/>
      <c r="H34" s="430" t="s">
        <v>733</v>
      </c>
      <c r="I34" s="371"/>
      <c r="J34" s="371"/>
      <c r="K34" s="371"/>
      <c r="L34" s="475">
        <f>INDEX(sote_4,MATCH($G$11,kunta,0),1,1)</f>
        <v>571564.5714886717</v>
      </c>
      <c r="M34" s="470">
        <f t="shared" si="0"/>
        <v>34.69705405746808</v>
      </c>
      <c r="O34" s="353"/>
      <c r="T34" s="121"/>
      <c r="U34" s="123"/>
      <c r="V34" s="123"/>
      <c r="W34" s="123"/>
      <c r="X34" s="123"/>
      <c r="Y34" s="123"/>
      <c r="Z34" s="123"/>
      <c r="AA34" s="123"/>
      <c r="AB34" s="123"/>
      <c r="AC34" s="123"/>
      <c r="AD34" s="123"/>
      <c r="AE34" s="406"/>
      <c r="AF34" s="137"/>
    </row>
    <row r="35" spans="2:37" x14ac:dyDescent="0.2">
      <c r="C35" s="79"/>
      <c r="D35" s="79"/>
      <c r="E35" s="79"/>
      <c r="F35" s="79"/>
      <c r="G35" s="79"/>
      <c r="H35" s="79"/>
      <c r="I35" s="79"/>
      <c r="J35" s="79"/>
      <c r="K35" s="79"/>
      <c r="L35" s="476"/>
      <c r="M35" s="477"/>
      <c r="O35" s="354"/>
      <c r="T35" s="121"/>
      <c r="U35" s="123"/>
      <c r="V35" s="147"/>
      <c r="W35" s="147"/>
      <c r="X35" s="147"/>
      <c r="Y35" s="147"/>
      <c r="Z35" s="147"/>
      <c r="AA35" s="147"/>
      <c r="AB35" s="147"/>
      <c r="AC35" s="147"/>
      <c r="AD35" s="147"/>
      <c r="AE35" s="147"/>
      <c r="AF35" s="148"/>
    </row>
    <row r="36" spans="2:37" x14ac:dyDescent="0.2">
      <c r="C36" s="1" t="s">
        <v>56</v>
      </c>
      <c r="D36" s="1"/>
      <c r="E36" s="1"/>
      <c r="L36" s="478">
        <f>SUM(L25:L29)</f>
        <v>-1673137.7752569113</v>
      </c>
      <c r="M36" s="479">
        <f>L36/$H$12</f>
        <v>-101.56849239706861</v>
      </c>
      <c r="O36" s="353"/>
      <c r="T36" s="121"/>
      <c r="U36" s="123"/>
      <c r="V36" s="129" t="s">
        <v>57</v>
      </c>
      <c r="W36" s="129"/>
      <c r="X36" s="129"/>
      <c r="Y36" s="123"/>
      <c r="Z36" s="123"/>
      <c r="AA36" s="123"/>
      <c r="AB36" s="123"/>
      <c r="AC36" s="123"/>
      <c r="AD36" s="123"/>
      <c r="AE36" s="149">
        <f>SUM(AE25:AE32)</f>
        <v>0</v>
      </c>
      <c r="AF36" s="150">
        <f>AE36/$H$12</f>
        <v>0</v>
      </c>
    </row>
    <row r="37" spans="2:37" x14ac:dyDescent="0.2">
      <c r="L37" s="451"/>
      <c r="M37" s="451"/>
      <c r="O37" s="354"/>
      <c r="T37" s="121"/>
      <c r="U37" s="123"/>
      <c r="V37" s="123"/>
      <c r="W37" s="123"/>
      <c r="X37" s="123"/>
      <c r="Y37" s="123"/>
      <c r="Z37" s="123"/>
      <c r="AA37" s="123"/>
      <c r="AB37" s="123"/>
      <c r="AC37" s="123"/>
      <c r="AD37" s="123"/>
      <c r="AE37" s="123"/>
      <c r="AF37" s="124"/>
    </row>
    <row r="38" spans="2:37" x14ac:dyDescent="0.2">
      <c r="C38" s="371" t="s">
        <v>58</v>
      </c>
      <c r="D38" s="371"/>
      <c r="E38" s="371"/>
      <c r="L38" s="469">
        <f>INDEX(tasa_1,MATCH($G$11,kunta,0),1,1)</f>
        <v>7090798.5108171748</v>
      </c>
      <c r="M38" s="470">
        <f>L38/$H$12</f>
        <v>430.4497365881852</v>
      </c>
      <c r="O38" s="353"/>
      <c r="T38" s="121"/>
      <c r="U38" s="123"/>
      <c r="V38" s="123" t="s">
        <v>59</v>
      </c>
      <c r="W38" s="123"/>
      <c r="X38" s="123"/>
      <c r="Y38" s="123"/>
      <c r="Z38" s="123"/>
      <c r="AA38" s="123"/>
      <c r="AB38" s="123"/>
      <c r="AC38" s="123"/>
      <c r="AD38" s="123"/>
      <c r="AE38" s="151">
        <f>INDEX(tasa_1,MATCH($G$11,kunta,0),1,1)</f>
        <v>7090798.5108171748</v>
      </c>
      <c r="AF38" s="137">
        <f>AE38/$H$12</f>
        <v>430.4497365881852</v>
      </c>
    </row>
    <row r="39" spans="2:37" ht="13.5" thickBot="1" x14ac:dyDescent="0.25">
      <c r="B39" s="50"/>
      <c r="C39" s="50"/>
      <c r="D39" s="50"/>
      <c r="E39" s="50"/>
      <c r="F39" s="50"/>
      <c r="G39" s="50"/>
      <c r="H39" s="50"/>
      <c r="I39" s="50"/>
      <c r="J39" s="50"/>
      <c r="K39" s="50"/>
      <c r="L39" s="480"/>
      <c r="M39" s="473"/>
      <c r="O39" s="354"/>
      <c r="T39" s="121"/>
      <c r="U39" s="138"/>
      <c r="V39" s="138"/>
      <c r="W39" s="138"/>
      <c r="X39" s="138"/>
      <c r="Y39" s="138"/>
      <c r="Z39" s="138"/>
      <c r="AA39" s="138"/>
      <c r="AB39" s="138"/>
      <c r="AC39" s="138"/>
      <c r="AD39" s="138"/>
      <c r="AE39" s="138"/>
      <c r="AF39" s="142"/>
    </row>
    <row r="40" spans="2:37" ht="13.5" thickTop="1" x14ac:dyDescent="0.2">
      <c r="B40" s="1" t="s">
        <v>60</v>
      </c>
      <c r="C40" s="1"/>
      <c r="D40" s="1"/>
      <c r="E40" s="1"/>
      <c r="L40" s="478">
        <f>L36+L38</f>
        <v>5417660.7355602635</v>
      </c>
      <c r="M40" s="479">
        <f>L40/$H$12</f>
        <v>328.88124419111659</v>
      </c>
      <c r="O40" s="353"/>
      <c r="T40" s="121"/>
      <c r="U40" s="129" t="s">
        <v>61</v>
      </c>
      <c r="V40" s="129"/>
      <c r="W40" s="129"/>
      <c r="X40" s="129"/>
      <c r="Y40" s="123"/>
      <c r="Z40" s="123"/>
      <c r="AA40" s="123"/>
      <c r="AB40" s="123"/>
      <c r="AC40" s="123"/>
      <c r="AD40" s="123"/>
      <c r="AE40" s="149">
        <f>AE36+AE38</f>
        <v>7090798.5108171748</v>
      </c>
      <c r="AF40" s="137">
        <f>AE40/$H$12</f>
        <v>430.4497365881852</v>
      </c>
    </row>
    <row r="41" spans="2:37" x14ac:dyDescent="0.2">
      <c r="L41" s="451"/>
      <c r="M41" s="470"/>
      <c r="O41" s="354"/>
      <c r="T41" s="121"/>
      <c r="U41" s="123"/>
      <c r="V41" s="123"/>
      <c r="W41" s="123"/>
      <c r="X41" s="123"/>
      <c r="Y41" s="123"/>
      <c r="Z41" s="123"/>
      <c r="AA41" s="123"/>
      <c r="AB41" s="123"/>
      <c r="AC41" s="123"/>
      <c r="AD41" s="123"/>
      <c r="AE41" s="123"/>
      <c r="AF41" s="137"/>
      <c r="AJ41" s="197" t="s">
        <v>62</v>
      </c>
    </row>
    <row r="42" spans="2:37" x14ac:dyDescent="0.2">
      <c r="B42" s="1" t="s">
        <v>63</v>
      </c>
      <c r="C42" s="1"/>
      <c r="D42" s="1"/>
      <c r="E42" s="1"/>
      <c r="L42" s="481"/>
      <c r="M42" s="451"/>
      <c r="O42" s="354"/>
      <c r="T42" s="121"/>
      <c r="U42" s="129" t="s">
        <v>64</v>
      </c>
      <c r="V42" s="129"/>
      <c r="W42" s="129"/>
      <c r="X42" s="129"/>
      <c r="Y42" s="123"/>
      <c r="Z42" s="123"/>
      <c r="AA42" s="123"/>
      <c r="AB42" s="123"/>
      <c r="AC42" s="123"/>
      <c r="AD42" s="123"/>
      <c r="AE42" s="152">
        <f>INDEX(okm,MATCH($G$11,kunta,0),1,1)</f>
        <v>-2441149</v>
      </c>
      <c r="AF42" s="137">
        <f>AE42/$H$12</f>
        <v>-148.19091847265221</v>
      </c>
      <c r="AJ42" s="198" t="s">
        <v>65</v>
      </c>
    </row>
    <row r="43" spans="2:37" ht="15" customHeight="1" x14ac:dyDescent="0.2">
      <c r="C43" s="371" t="s">
        <v>738</v>
      </c>
      <c r="D43" s="1"/>
      <c r="E43" s="1"/>
      <c r="L43" s="478">
        <f>INDEX(okm,MATCH($G$11,kunta,0),1,1)</f>
        <v>-2441149</v>
      </c>
      <c r="M43" s="479">
        <f>L43/$H$12</f>
        <v>-148.19091847265221</v>
      </c>
      <c r="O43" s="353"/>
      <c r="Q43" s="327"/>
      <c r="T43" s="121"/>
      <c r="U43" s="129"/>
      <c r="V43" s="129"/>
      <c r="W43" s="129"/>
      <c r="X43" s="129"/>
      <c r="Y43" s="123"/>
      <c r="Z43" s="123"/>
      <c r="AA43" s="123"/>
      <c r="AB43" s="123"/>
      <c r="AC43" s="123"/>
      <c r="AD43" s="123"/>
      <c r="AE43" s="192"/>
      <c r="AF43" s="137"/>
      <c r="AJ43" s="194">
        <f>'8.Opetus ja kulttuuri, muu vos'!K98</f>
        <v>0</v>
      </c>
    </row>
    <row r="44" spans="2:37" s="88" customFormat="1" ht="14.45" customHeight="1" x14ac:dyDescent="0.2">
      <c r="C44" s="390" t="s">
        <v>66</v>
      </c>
      <c r="D44" s="391"/>
      <c r="E44" s="391"/>
      <c r="L44" s="482">
        <f>('8.Opetus ja kulttuuri, muu vos'!K103)</f>
        <v>-4876436.2980000004</v>
      </c>
      <c r="M44" s="483">
        <f>L44/$H$12</f>
        <v>-296.02600000000001</v>
      </c>
      <c r="O44" s="384"/>
      <c r="T44" s="381"/>
      <c r="U44" s="392"/>
      <c r="V44" s="392"/>
      <c r="W44" s="392"/>
      <c r="X44" s="392"/>
      <c r="Y44" s="382"/>
      <c r="Z44" s="382"/>
      <c r="AA44" s="382"/>
      <c r="AB44" s="382"/>
      <c r="AC44" s="382"/>
      <c r="AD44" s="382"/>
      <c r="AE44" s="393"/>
      <c r="AF44" s="383"/>
      <c r="AJ44" s="394"/>
    </row>
    <row r="45" spans="2:37" s="5" customFormat="1" ht="14.45" customHeight="1" x14ac:dyDescent="0.2">
      <c r="B45" s="112"/>
      <c r="D45" s="347" t="s">
        <v>67</v>
      </c>
      <c r="E45" s="347"/>
      <c r="F45" s="112"/>
      <c r="G45" s="112"/>
      <c r="H45" s="112"/>
      <c r="I45" s="112"/>
      <c r="J45" s="112"/>
      <c r="L45" s="484"/>
      <c r="M45" s="485"/>
      <c r="O45" s="355"/>
      <c r="T45" s="153"/>
      <c r="U45" s="130"/>
      <c r="V45" s="130" t="s">
        <v>68</v>
      </c>
      <c r="W45" s="130"/>
      <c r="X45" s="130"/>
      <c r="Y45" s="130"/>
      <c r="Z45" s="130"/>
      <c r="AA45" s="130"/>
      <c r="AB45" s="130"/>
      <c r="AC45" s="130"/>
      <c r="AD45" s="130"/>
      <c r="AE45" s="154"/>
      <c r="AF45" s="137"/>
      <c r="AJ45" s="114"/>
      <c r="AK45" s="114"/>
    </row>
    <row r="46" spans="2:37" s="114" customFormat="1" ht="12" x14ac:dyDescent="0.2">
      <c r="D46" s="348" t="s">
        <v>725</v>
      </c>
      <c r="E46" s="349"/>
      <c r="J46" s="407">
        <v>-98</v>
      </c>
      <c r="K46" s="349" t="s">
        <v>49</v>
      </c>
      <c r="L46" s="486">
        <f>J46*$H$12</f>
        <v>-1614354</v>
      </c>
      <c r="M46" s="487"/>
      <c r="O46" s="355"/>
      <c r="T46" s="155"/>
      <c r="U46" s="156"/>
      <c r="V46" s="156"/>
      <c r="W46" s="157" t="s">
        <v>69</v>
      </c>
      <c r="X46" s="156"/>
      <c r="Y46" s="156"/>
      <c r="Z46" s="156"/>
      <c r="AA46" s="156"/>
      <c r="AB46" s="156"/>
      <c r="AC46" s="158">
        <v>-255</v>
      </c>
      <c r="AD46" s="156" t="s">
        <v>49</v>
      </c>
      <c r="AE46" s="159">
        <f>AC46*AA12</f>
        <v>-4200615</v>
      </c>
      <c r="AF46" s="160"/>
      <c r="AJ46" s="193">
        <f>'8.Opetus ja kulttuuri, muu vos'!K25</f>
        <v>-1571030.01</v>
      </c>
    </row>
    <row r="47" spans="2:37" s="114" customFormat="1" ht="12" x14ac:dyDescent="0.2">
      <c r="D47" s="348" t="s">
        <v>726</v>
      </c>
      <c r="E47" s="349"/>
      <c r="J47" s="407">
        <v>-206</v>
      </c>
      <c r="K47" s="349" t="s">
        <v>49</v>
      </c>
      <c r="L47" s="486">
        <f>J47*$H$12</f>
        <v>-3393438</v>
      </c>
      <c r="M47" s="487"/>
      <c r="O47" s="355"/>
      <c r="T47" s="155"/>
      <c r="U47" s="156"/>
      <c r="V47" s="156"/>
      <c r="W47" s="157"/>
      <c r="X47" s="156"/>
      <c r="Y47" s="156"/>
      <c r="Z47" s="156"/>
      <c r="AA47" s="156"/>
      <c r="AB47" s="156"/>
      <c r="AC47" s="176"/>
      <c r="AD47" s="156"/>
      <c r="AE47" s="159"/>
      <c r="AF47" s="160"/>
      <c r="AJ47" s="193">
        <f>'8.Opetus ja kulttuuri, muu vos'!K26</f>
        <v>-3364116.06</v>
      </c>
    </row>
    <row r="48" spans="2:37" s="114" customFormat="1" ht="12" x14ac:dyDescent="0.2">
      <c r="D48" s="348" t="s">
        <v>70</v>
      </c>
      <c r="E48" s="349"/>
      <c r="L48" s="486">
        <f>L44-L46-L47</f>
        <v>131355.70199999958</v>
      </c>
      <c r="M48" s="487"/>
      <c r="O48" s="355"/>
      <c r="T48" s="155"/>
      <c r="U48" s="156"/>
      <c r="V48" s="156"/>
      <c r="W48" s="157" t="s">
        <v>71</v>
      </c>
      <c r="X48" s="156"/>
      <c r="Y48" s="156"/>
      <c r="Z48" s="156"/>
      <c r="AA48" s="156"/>
      <c r="AB48" s="156"/>
      <c r="AC48" s="156"/>
      <c r="AD48" s="156"/>
      <c r="AE48" s="159">
        <f>AE42-AE46</f>
        <v>1759466</v>
      </c>
      <c r="AF48" s="160"/>
      <c r="AJ48" s="193">
        <f>AJ43-AJ46-AJ47</f>
        <v>4935146.07</v>
      </c>
    </row>
    <row r="49" spans="1:37" x14ac:dyDescent="0.2">
      <c r="L49" s="451"/>
      <c r="M49" s="451"/>
      <c r="O49" s="354"/>
      <c r="S49" s="114"/>
      <c r="T49" s="114"/>
      <c r="U49" s="114"/>
      <c r="V49" s="114"/>
      <c r="W49" s="114"/>
      <c r="X49" s="114"/>
      <c r="Y49" s="114"/>
      <c r="Z49" s="114"/>
      <c r="AA49" s="114"/>
      <c r="AB49" s="114"/>
      <c r="AC49" s="114"/>
      <c r="AD49" s="114"/>
      <c r="AE49" s="114"/>
      <c r="AF49" s="114"/>
      <c r="AG49" s="114"/>
      <c r="AH49" s="114"/>
      <c r="AJ49" s="114" t="s">
        <v>72</v>
      </c>
    </row>
    <row r="50" spans="1:37" x14ac:dyDescent="0.2">
      <c r="A50" s="378" t="s">
        <v>73</v>
      </c>
      <c r="B50" s="379"/>
      <c r="C50" s="380"/>
      <c r="D50" s="380"/>
      <c r="E50" s="380"/>
      <c r="F50" s="379"/>
      <c r="G50" s="379"/>
      <c r="H50" s="379"/>
      <c r="I50" s="379"/>
      <c r="J50" s="379"/>
      <c r="K50" s="379"/>
      <c r="L50" s="488">
        <f>L40+L43</f>
        <v>2976511.7355602635</v>
      </c>
      <c r="M50" s="489">
        <f>L50/$H$12</f>
        <v>180.69032571846438</v>
      </c>
      <c r="O50" s="353"/>
      <c r="Q50" s="377"/>
      <c r="S50" s="114"/>
      <c r="T50" s="114"/>
      <c r="U50" s="114"/>
      <c r="V50" s="114"/>
      <c r="W50" s="114"/>
      <c r="X50" s="114"/>
      <c r="Y50" s="114"/>
      <c r="Z50" s="114"/>
      <c r="AA50" s="114"/>
      <c r="AB50" s="114"/>
      <c r="AC50" s="114"/>
      <c r="AD50" s="114"/>
      <c r="AE50" s="114"/>
      <c r="AF50" s="114"/>
      <c r="AG50" s="114"/>
      <c r="AH50" s="114"/>
      <c r="AJ50" s="195">
        <f>L40+AJ43</f>
        <v>5417660.7355602635</v>
      </c>
      <c r="AK50" s="199">
        <f>AJ50/H12</f>
        <v>328.88124419111659</v>
      </c>
    </row>
    <row r="51" spans="1:37" s="88" customFormat="1" ht="11.25" x14ac:dyDescent="0.2">
      <c r="A51" s="509" t="s">
        <v>74</v>
      </c>
      <c r="B51" s="510"/>
      <c r="C51" s="510"/>
      <c r="D51" s="510"/>
      <c r="E51" s="510"/>
      <c r="F51" s="510"/>
      <c r="G51" s="510"/>
      <c r="H51" s="510"/>
      <c r="I51" s="510"/>
      <c r="J51" s="510"/>
      <c r="K51" s="510"/>
      <c r="L51" s="511">
        <f>L40+L44</f>
        <v>541224.43756026309</v>
      </c>
      <c r="M51" s="512">
        <f>L51/$H$12</f>
        <v>32.855244191116562</v>
      </c>
      <c r="O51" s="351"/>
      <c r="T51" s="381"/>
      <c r="U51" s="382"/>
      <c r="V51" s="382"/>
      <c r="W51" s="382"/>
      <c r="X51" s="382"/>
      <c r="Y51" s="382"/>
      <c r="Z51" s="382"/>
      <c r="AA51" s="382"/>
      <c r="AB51" s="382"/>
      <c r="AC51" s="382"/>
      <c r="AD51" s="382"/>
      <c r="AE51" s="382"/>
      <c r="AF51" s="383"/>
      <c r="AK51" s="100"/>
    </row>
    <row r="52" spans="1:37" x14ac:dyDescent="0.2">
      <c r="A52" s="513"/>
      <c r="B52" s="513"/>
      <c r="C52" s="513"/>
      <c r="D52" s="514"/>
      <c r="E52" s="515"/>
      <c r="F52" s="513"/>
      <c r="G52" s="513"/>
      <c r="H52" s="513"/>
      <c r="I52" s="513"/>
      <c r="J52" s="513"/>
      <c r="K52" s="513"/>
      <c r="L52" s="516"/>
      <c r="M52" s="517"/>
      <c r="O52" s="353"/>
      <c r="T52" s="121"/>
      <c r="U52" s="123"/>
      <c r="V52" s="123"/>
      <c r="W52" s="123"/>
      <c r="X52" s="123"/>
      <c r="Y52" s="123"/>
      <c r="Z52" s="123"/>
      <c r="AA52" s="123"/>
      <c r="AB52" s="123"/>
      <c r="AC52" s="123"/>
      <c r="AD52" s="123"/>
      <c r="AE52" s="175"/>
      <c r="AF52" s="137"/>
    </row>
    <row r="53" spans="1:37" s="1" customFormat="1" x14ac:dyDescent="0.2">
      <c r="A53" s="518"/>
      <c r="B53" s="518"/>
      <c r="C53" s="518"/>
      <c r="D53" s="518" t="s">
        <v>198</v>
      </c>
      <c r="E53" s="519"/>
      <c r="F53" s="518"/>
      <c r="G53" s="518"/>
      <c r="H53" s="518"/>
      <c r="I53" s="518"/>
      <c r="J53" s="518"/>
      <c r="K53" s="518"/>
      <c r="L53" s="520">
        <f>'6.Vähennykset ja lisäykset'!I70</f>
        <v>2687797.7412677575</v>
      </c>
      <c r="M53" s="521">
        <f>L53/$H$12</f>
        <v>163.16382815927625</v>
      </c>
      <c r="O53" s="463"/>
      <c r="T53" s="464"/>
      <c r="U53" s="129"/>
      <c r="V53" s="129"/>
      <c r="W53" s="129"/>
      <c r="X53" s="129"/>
      <c r="Y53" s="129"/>
      <c r="Z53" s="129"/>
      <c r="AA53" s="129"/>
      <c r="AB53" s="129"/>
      <c r="AC53" s="129"/>
      <c r="AD53" s="129"/>
      <c r="AE53" s="465"/>
      <c r="AF53" s="150"/>
    </row>
    <row r="54" spans="1:37" x14ac:dyDescent="0.2">
      <c r="A54" s="513"/>
      <c r="B54" s="513"/>
      <c r="C54" s="513"/>
      <c r="D54" s="513"/>
      <c r="E54" s="515"/>
      <c r="F54" s="513"/>
      <c r="G54" s="513"/>
      <c r="H54" s="513"/>
      <c r="I54" s="513"/>
      <c r="J54" s="513"/>
      <c r="K54" s="513"/>
      <c r="L54" s="516"/>
      <c r="M54" s="517"/>
      <c r="O54" s="353"/>
      <c r="T54" s="121"/>
      <c r="U54" s="123"/>
      <c r="V54" s="123"/>
      <c r="W54" s="123"/>
      <c r="X54" s="123"/>
      <c r="Y54" s="123"/>
      <c r="Z54" s="123"/>
      <c r="AA54" s="123"/>
      <c r="AB54" s="123"/>
      <c r="AC54" s="123"/>
      <c r="AD54" s="123"/>
      <c r="AE54" s="175"/>
      <c r="AF54" s="137"/>
    </row>
    <row r="55" spans="1:37" x14ac:dyDescent="0.2">
      <c r="A55" s="378" t="s">
        <v>739</v>
      </c>
      <c r="B55" s="379"/>
      <c r="C55" s="380"/>
      <c r="D55" s="380"/>
      <c r="E55" s="380"/>
      <c r="F55" s="379"/>
      <c r="G55" s="379"/>
      <c r="H55" s="379"/>
      <c r="I55" s="379"/>
      <c r="J55" s="379"/>
      <c r="K55" s="379"/>
      <c r="L55" s="488">
        <f>L50+L53</f>
        <v>5664309.476828021</v>
      </c>
      <c r="M55" s="489">
        <f>L55/$H$12</f>
        <v>343.8541538777406</v>
      </c>
      <c r="O55" s="353"/>
      <c r="S55" s="114"/>
      <c r="T55" s="114"/>
      <c r="U55" s="114"/>
      <c r="V55" s="114"/>
      <c r="W55" s="114"/>
      <c r="X55" s="114"/>
      <c r="Y55" s="114"/>
      <c r="Z55" s="114"/>
      <c r="AA55" s="114"/>
      <c r="AB55" s="114"/>
      <c r="AC55" s="114"/>
      <c r="AD55" s="114"/>
      <c r="AE55" s="114"/>
      <c r="AF55" s="114"/>
      <c r="AG55" s="114"/>
      <c r="AH55" s="114"/>
      <c r="AJ55" s="195" t="e">
        <f>L46+AJ49</f>
        <v>#VALUE!</v>
      </c>
      <c r="AK55" s="199" t="e">
        <f>AJ55/H17</f>
        <v>#VALUE!</v>
      </c>
    </row>
    <row r="56" spans="1:37" s="88" customFormat="1" ht="11.25" x14ac:dyDescent="0.2">
      <c r="A56" s="522" t="s">
        <v>728</v>
      </c>
      <c r="B56" s="510"/>
      <c r="C56" s="509"/>
      <c r="D56" s="509"/>
      <c r="E56" s="509"/>
      <c r="F56" s="510"/>
      <c r="G56" s="510"/>
      <c r="H56" s="510"/>
      <c r="I56" s="510"/>
      <c r="J56" s="510"/>
      <c r="K56" s="510"/>
      <c r="L56" s="511">
        <f>L51+L54</f>
        <v>541224.43756026309</v>
      </c>
      <c r="M56" s="512">
        <f>L56/$H$12</f>
        <v>32.855244191116562</v>
      </c>
      <c r="O56" s="384"/>
      <c r="T56" s="381"/>
      <c r="U56" s="382"/>
      <c r="V56" s="382"/>
      <c r="W56" s="382"/>
      <c r="X56" s="382"/>
      <c r="Y56" s="382"/>
      <c r="Z56" s="382"/>
      <c r="AA56" s="382"/>
      <c r="AB56" s="382"/>
      <c r="AC56" s="382"/>
      <c r="AD56" s="382"/>
      <c r="AE56" s="385"/>
      <c r="AF56" s="383"/>
    </row>
    <row r="57" spans="1:37" x14ac:dyDescent="0.2">
      <c r="A57" s="518"/>
      <c r="B57" s="513"/>
      <c r="C57" s="518"/>
      <c r="D57" s="518"/>
      <c r="E57" s="518"/>
      <c r="F57" s="513"/>
      <c r="G57" s="513"/>
      <c r="H57" s="513"/>
      <c r="I57" s="513"/>
      <c r="J57" s="513"/>
      <c r="K57" s="513"/>
      <c r="L57" s="520"/>
      <c r="M57" s="521"/>
      <c r="O57" s="352"/>
      <c r="T57" s="121"/>
      <c r="U57" s="123"/>
      <c r="V57" s="123"/>
      <c r="W57" s="123"/>
      <c r="X57" s="123"/>
      <c r="Y57" s="123"/>
      <c r="Z57" s="123"/>
      <c r="AA57" s="123"/>
      <c r="AB57" s="123"/>
      <c r="AC57" s="123"/>
      <c r="AD57" s="123"/>
      <c r="AE57" s="175"/>
      <c r="AF57" s="137"/>
    </row>
    <row r="58" spans="1:37" x14ac:dyDescent="0.2">
      <c r="A58" s="513"/>
      <c r="B58" s="518" t="s">
        <v>75</v>
      </c>
      <c r="C58" s="518"/>
      <c r="D58" s="518"/>
      <c r="E58" s="518"/>
      <c r="F58" s="513"/>
      <c r="G58" s="513"/>
      <c r="H58" s="513"/>
      <c r="I58" s="513"/>
      <c r="J58" s="513"/>
      <c r="K58" s="513"/>
      <c r="L58" s="516"/>
      <c r="M58" s="517"/>
      <c r="T58" s="121"/>
      <c r="U58" s="129" t="s">
        <v>76</v>
      </c>
      <c r="V58" s="129"/>
      <c r="W58" s="129"/>
      <c r="X58" s="129"/>
      <c r="Y58" s="123"/>
      <c r="Z58" s="123"/>
      <c r="AA58" s="123"/>
      <c r="AB58" s="123"/>
      <c r="AC58" s="123"/>
      <c r="AD58" s="123"/>
      <c r="AE58" s="123"/>
      <c r="AF58" s="137"/>
      <c r="AJ58" s="198" t="s">
        <v>77</v>
      </c>
      <c r="AK58" s="11"/>
    </row>
    <row r="59" spans="1:37" hidden="1" x14ac:dyDescent="0.2">
      <c r="A59" s="513"/>
      <c r="B59" s="513"/>
      <c r="C59" s="513"/>
      <c r="D59" s="513"/>
      <c r="E59" s="513"/>
      <c r="F59" s="513" t="s">
        <v>78</v>
      </c>
      <c r="G59" s="513"/>
      <c r="H59" s="513"/>
      <c r="I59" s="513"/>
      <c r="J59" s="513"/>
      <c r="K59" s="513"/>
      <c r="L59" s="523">
        <f>-'7.Kotikuntakorvaukset'!I40</f>
        <v>585670.47299999988</v>
      </c>
      <c r="M59" s="517"/>
      <c r="T59" s="121"/>
      <c r="U59" s="123"/>
      <c r="V59" s="123"/>
      <c r="W59" s="123"/>
      <c r="X59" s="123"/>
      <c r="Y59" s="123" t="s">
        <v>78</v>
      </c>
      <c r="Z59" s="123"/>
      <c r="AA59" s="123"/>
      <c r="AB59" s="123"/>
      <c r="AC59" s="123"/>
      <c r="AD59" s="123"/>
      <c r="AE59" s="136">
        <f>'7.Kotikuntakorvaukset'!Z47*(-1)</f>
        <v>0</v>
      </c>
      <c r="AF59" s="137"/>
      <c r="AJ59" s="35">
        <f>'7.Kotikuntakorvaukset'!H40</f>
        <v>0</v>
      </c>
      <c r="AK59" s="11"/>
    </row>
    <row r="60" spans="1:37" ht="13.5" hidden="1" thickBot="1" x14ac:dyDescent="0.25">
      <c r="A60" s="513"/>
      <c r="B60" s="513"/>
      <c r="C60" s="513"/>
      <c r="D60" s="513"/>
      <c r="E60" s="513"/>
      <c r="F60" s="524" t="s">
        <v>79</v>
      </c>
      <c r="G60" s="524"/>
      <c r="H60" s="524"/>
      <c r="I60" s="524"/>
      <c r="J60" s="524"/>
      <c r="K60" s="524"/>
      <c r="L60" s="525">
        <f>'7.Kotikuntakorvaukset'!I47</f>
        <v>0</v>
      </c>
      <c r="M60" s="517"/>
      <c r="Q60" s="11"/>
      <c r="T60" s="121"/>
      <c r="U60" s="123"/>
      <c r="V60" s="123"/>
      <c r="W60" s="123"/>
      <c r="X60" s="123"/>
      <c r="Y60" s="138" t="s">
        <v>79</v>
      </c>
      <c r="Z60" s="138"/>
      <c r="AA60" s="138"/>
      <c r="AB60" s="138"/>
      <c r="AC60" s="138"/>
      <c r="AD60" s="138"/>
      <c r="AE60" s="141">
        <f>'7.Kotikuntakorvaukset'!Z40</f>
        <v>0</v>
      </c>
      <c r="AF60" s="137"/>
      <c r="AJ60" s="110">
        <f>'7.Kotikuntakorvaukset'!H47</f>
        <v>0</v>
      </c>
      <c r="AK60" s="11"/>
    </row>
    <row r="61" spans="1:37" x14ac:dyDescent="0.2">
      <c r="A61" s="513"/>
      <c r="B61" s="513"/>
      <c r="C61" s="513"/>
      <c r="D61" s="513"/>
      <c r="E61" s="514" t="s">
        <v>80</v>
      </c>
      <c r="F61" s="514"/>
      <c r="G61" s="513"/>
      <c r="H61" s="513"/>
      <c r="I61" s="513"/>
      <c r="J61" s="513"/>
      <c r="K61" s="513"/>
      <c r="L61" s="523">
        <f>INDEX(kkk_3,MATCH($G$11,kunta,0),1,1)</f>
        <v>-585670.47299999988</v>
      </c>
      <c r="M61" s="517"/>
      <c r="T61" s="121"/>
      <c r="U61" s="123"/>
      <c r="V61" s="123"/>
      <c r="W61" s="123"/>
      <c r="X61" s="123" t="s">
        <v>81</v>
      </c>
      <c r="Y61" s="123"/>
      <c r="Z61" s="123"/>
      <c r="AA61" s="123"/>
      <c r="AB61" s="123"/>
      <c r="AC61" s="123"/>
      <c r="AD61" s="123"/>
      <c r="AE61" s="161">
        <f>'7.Kotikuntakorvaukset'!Z50</f>
        <v>0</v>
      </c>
      <c r="AF61" s="137"/>
      <c r="AJ61" s="111">
        <f>AJ60-AJ59</f>
        <v>0</v>
      </c>
      <c r="AK61" s="11"/>
    </row>
    <row r="62" spans="1:37" x14ac:dyDescent="0.2">
      <c r="A62" s="513"/>
      <c r="B62" s="513"/>
      <c r="C62" s="513"/>
      <c r="D62" s="513"/>
      <c r="E62" s="514"/>
      <c r="F62" s="514"/>
      <c r="G62" s="513"/>
      <c r="H62" s="513"/>
      <c r="I62" s="513"/>
      <c r="J62" s="513"/>
      <c r="K62" s="513"/>
      <c r="L62" s="517"/>
      <c r="M62" s="517"/>
      <c r="T62" s="121"/>
      <c r="U62" s="123"/>
      <c r="V62" s="123"/>
      <c r="W62" s="123"/>
      <c r="X62" s="123"/>
      <c r="Y62" s="123"/>
      <c r="Z62" s="123"/>
      <c r="AA62" s="123"/>
      <c r="AB62" s="123"/>
      <c r="AC62" s="123"/>
      <c r="AD62" s="123"/>
      <c r="AE62" s="175"/>
      <c r="AF62" s="137"/>
      <c r="AJ62" s="255"/>
      <c r="AK62" s="11"/>
    </row>
    <row r="63" spans="1:37" x14ac:dyDescent="0.2">
      <c r="A63" s="505" t="s">
        <v>740</v>
      </c>
      <c r="B63" s="543"/>
      <c r="C63" s="506"/>
      <c r="D63" s="506"/>
      <c r="E63" s="506"/>
      <c r="F63" s="543"/>
      <c r="G63" s="543"/>
      <c r="H63" s="543"/>
      <c r="I63" s="543"/>
      <c r="J63" s="543"/>
      <c r="K63" s="543"/>
      <c r="L63" s="507">
        <f>L55+L61</f>
        <v>5078639.0038280208</v>
      </c>
      <c r="M63" s="508">
        <f>L63/$H$12</f>
        <v>308.30079547307844</v>
      </c>
      <c r="O63" s="352"/>
      <c r="Q63" s="11"/>
      <c r="S63" s="114"/>
      <c r="T63" s="114"/>
      <c r="U63" s="114"/>
      <c r="V63" s="114"/>
      <c r="W63" s="114"/>
      <c r="X63" s="114"/>
      <c r="Y63" s="114"/>
      <c r="Z63" s="114"/>
      <c r="AA63" s="114"/>
      <c r="AB63" s="114"/>
      <c r="AC63" s="114"/>
      <c r="AD63" s="114"/>
      <c r="AE63" s="114"/>
      <c r="AF63" s="114"/>
      <c r="AG63" s="114"/>
      <c r="AH63" s="114"/>
      <c r="AJ63" s="195">
        <f>L53+AJ56</f>
        <v>2687797.7412677575</v>
      </c>
      <c r="AK63" s="199" t="e">
        <f>AJ63/H23</f>
        <v>#DIV/0!</v>
      </c>
    </row>
    <row r="64" spans="1:37" x14ac:dyDescent="0.2">
      <c r="A64" s="514"/>
      <c r="B64" s="514"/>
      <c r="C64" s="514"/>
      <c r="D64" s="514"/>
      <c r="E64" s="514"/>
      <c r="F64" s="514"/>
      <c r="G64" s="514"/>
      <c r="H64" s="514"/>
      <c r="I64" s="514"/>
      <c r="J64" s="514"/>
      <c r="K64" s="526" t="s">
        <v>82</v>
      </c>
      <c r="L64" s="517">
        <f>L63/12</f>
        <v>423219.91698566842</v>
      </c>
      <c r="M64" s="517" t="s">
        <v>83</v>
      </c>
      <c r="T64" s="121"/>
      <c r="U64" s="123"/>
      <c r="V64" s="123"/>
      <c r="W64" s="123"/>
      <c r="X64" s="123"/>
      <c r="Y64" s="123"/>
      <c r="Z64" s="123"/>
      <c r="AA64" s="123"/>
      <c r="AB64" s="123"/>
      <c r="AC64" s="123"/>
      <c r="AD64" s="123"/>
      <c r="AE64" s="123"/>
      <c r="AF64" s="124"/>
      <c r="AK64" s="11"/>
    </row>
    <row r="65" spans="1:66" hidden="1" x14ac:dyDescent="0.2">
      <c r="A65" s="513"/>
      <c r="B65" s="513"/>
      <c r="C65" s="513"/>
      <c r="D65" s="513"/>
      <c r="E65" s="515"/>
      <c r="F65" s="513"/>
      <c r="G65" s="513"/>
      <c r="H65" s="513"/>
      <c r="I65" s="513"/>
      <c r="J65" s="513"/>
      <c r="K65" s="513"/>
      <c r="L65" s="516"/>
      <c r="M65" s="517"/>
      <c r="O65" s="352"/>
      <c r="T65" s="121"/>
      <c r="U65" s="123"/>
      <c r="V65" s="123"/>
      <c r="W65" s="123"/>
      <c r="X65" s="123"/>
      <c r="Y65" s="123"/>
      <c r="Z65" s="123"/>
      <c r="AA65" s="123"/>
      <c r="AB65" s="123"/>
      <c r="AC65" s="123"/>
      <c r="AD65" s="123"/>
      <c r="AE65" s="175"/>
      <c r="AF65" s="137"/>
    </row>
    <row r="66" spans="1:66" s="88" customFormat="1" hidden="1" x14ac:dyDescent="0.2">
      <c r="A66" s="527" t="s">
        <v>84</v>
      </c>
      <c r="B66" s="528"/>
      <c r="C66" s="529"/>
      <c r="D66" s="529"/>
      <c r="E66" s="529"/>
      <c r="F66" s="528"/>
      <c r="G66" s="528"/>
      <c r="H66" s="528"/>
      <c r="I66" s="528"/>
      <c r="J66" s="528"/>
      <c r="K66" s="528"/>
      <c r="L66" s="530" t="s">
        <v>38</v>
      </c>
      <c r="M66" s="531" t="s">
        <v>39</v>
      </c>
      <c r="O66" s="351"/>
      <c r="T66" s="178" t="s">
        <v>85</v>
      </c>
      <c r="U66" s="179"/>
      <c r="V66" s="180"/>
      <c r="W66" s="180"/>
      <c r="X66" s="180"/>
      <c r="Y66" s="179"/>
      <c r="Z66" s="179"/>
      <c r="AA66" s="179"/>
      <c r="AB66" s="179"/>
      <c r="AC66" s="179"/>
      <c r="AD66" s="179"/>
      <c r="AE66" s="181" t="s">
        <v>38</v>
      </c>
      <c r="AF66" s="182" t="s">
        <v>39</v>
      </c>
      <c r="AJ66" s="114" t="s">
        <v>86</v>
      </c>
      <c r="AK66" s="11"/>
    </row>
    <row r="67" spans="1:66" s="88" customFormat="1" ht="12" hidden="1" x14ac:dyDescent="0.2">
      <c r="A67" s="532"/>
      <c r="B67" s="533" t="s">
        <v>87</v>
      </c>
      <c r="C67" s="534"/>
      <c r="D67" s="534"/>
      <c r="E67" s="534"/>
      <c r="F67" s="533"/>
      <c r="G67" s="533"/>
      <c r="H67" s="533"/>
      <c r="I67" s="533"/>
      <c r="J67" s="533"/>
      <c r="K67" s="533"/>
      <c r="L67" s="535">
        <f>INDEX(vos_maksatus,MATCH($G$11,kunta,0),1,1)</f>
        <v>-2346290.6684623654</v>
      </c>
      <c r="M67" s="536">
        <f>L67/H12</f>
        <v>-142.43250582543345</v>
      </c>
      <c r="O67" s="351"/>
      <c r="T67" s="183"/>
      <c r="U67" s="184" t="s">
        <v>88</v>
      </c>
      <c r="V67" s="185"/>
      <c r="W67" s="185"/>
      <c r="X67" s="185"/>
      <c r="Y67" s="184"/>
      <c r="Z67" s="184"/>
      <c r="AA67" s="184"/>
      <c r="AB67" s="184"/>
      <c r="AC67" s="184"/>
      <c r="AD67" s="184"/>
      <c r="AE67" s="186">
        <f>INDEX(vos_maks,MATCH($G$11,kunta,0),1,1)</f>
        <v>-2787357.7915534563</v>
      </c>
      <c r="AF67" s="187">
        <f>AE67/AA12</f>
        <v>-169.20766050831398</v>
      </c>
      <c r="AJ67" s="196">
        <f>AJ50+AJ61</f>
        <v>5417660.7355602635</v>
      </c>
      <c r="AK67" s="200">
        <f>AJ67/H12</f>
        <v>328.88124419111659</v>
      </c>
    </row>
    <row r="68" spans="1:66" s="88" customFormat="1" hidden="1" x14ac:dyDescent="0.2">
      <c r="A68" s="537"/>
      <c r="B68" s="538" t="s">
        <v>89</v>
      </c>
      <c r="C68" s="538"/>
      <c r="D68" s="538"/>
      <c r="E68" s="538"/>
      <c r="F68" s="538"/>
      <c r="G68" s="538"/>
      <c r="H68" s="538"/>
      <c r="I68" s="538"/>
      <c r="J68" s="538"/>
      <c r="K68" s="538"/>
      <c r="L68" s="539">
        <f>L67/12</f>
        <v>-195524.22237186378</v>
      </c>
      <c r="M68" s="540">
        <f>L68/H12</f>
        <v>-11.869375485452789</v>
      </c>
      <c r="O68" s="351"/>
      <c r="T68" s="188"/>
      <c r="U68" s="189" t="s">
        <v>90</v>
      </c>
      <c r="V68" s="189"/>
      <c r="W68" s="189"/>
      <c r="X68" s="189"/>
      <c r="Y68" s="189"/>
      <c r="Z68" s="189"/>
      <c r="AA68" s="189"/>
      <c r="AB68" s="189"/>
      <c r="AC68" s="189"/>
      <c r="AD68" s="189"/>
      <c r="AE68" s="190">
        <f>AE67/12</f>
        <v>-232279.81596278804</v>
      </c>
      <c r="AF68" s="191">
        <f>AE68/AA12</f>
        <v>-14.100638375692833</v>
      </c>
      <c r="AJ68"/>
      <c r="AK68" s="11"/>
    </row>
    <row r="69" spans="1:66" s="88" customFormat="1" ht="11.25" hidden="1" x14ac:dyDescent="0.2">
      <c r="A69" s="541"/>
      <c r="B69" s="541"/>
      <c r="C69" s="541"/>
      <c r="D69" s="541"/>
      <c r="E69" s="541"/>
      <c r="F69" s="541"/>
      <c r="G69" s="541"/>
      <c r="H69" s="541"/>
      <c r="I69" s="541"/>
      <c r="J69" s="541"/>
      <c r="K69" s="541"/>
      <c r="L69" s="542"/>
      <c r="M69" s="542"/>
      <c r="O69" s="351"/>
    </row>
    <row r="70" spans="1:66" hidden="1" x14ac:dyDescent="0.2">
      <c r="A70" s="513"/>
      <c r="B70" s="513"/>
      <c r="C70" s="513"/>
      <c r="D70" s="513"/>
      <c r="E70" s="513"/>
      <c r="F70" s="513"/>
      <c r="G70" s="513"/>
      <c r="H70" s="513"/>
      <c r="I70" s="513"/>
      <c r="J70" s="513"/>
      <c r="K70" s="513"/>
      <c r="L70" s="516"/>
      <c r="M70" s="516"/>
    </row>
    <row r="71" spans="1:66" x14ac:dyDescent="0.2">
      <c r="A71" s="513"/>
      <c r="B71" s="513"/>
      <c r="C71" s="513"/>
      <c r="D71" s="513"/>
      <c r="E71" s="513"/>
      <c r="F71" s="513"/>
      <c r="G71" s="513"/>
      <c r="H71" s="513"/>
      <c r="I71" s="513"/>
      <c r="J71" s="513"/>
      <c r="K71" s="513"/>
      <c r="L71" s="516"/>
      <c r="M71" s="516"/>
      <c r="R71" s="11"/>
    </row>
    <row r="72" spans="1:66" s="88" customFormat="1" ht="22.5" customHeight="1" x14ac:dyDescent="0.2">
      <c r="A72" s="522" t="s">
        <v>729</v>
      </c>
      <c r="B72" s="510"/>
      <c r="C72" s="509"/>
      <c r="D72" s="509"/>
      <c r="E72" s="509"/>
      <c r="F72" s="510"/>
      <c r="G72" s="510"/>
      <c r="H72" s="510"/>
      <c r="I72" s="510"/>
      <c r="J72" s="510"/>
      <c r="K72" s="510"/>
      <c r="L72" s="511">
        <f>L56+L61</f>
        <v>-44446.035439736792</v>
      </c>
      <c r="M72" s="512">
        <f>L72/$H$12</f>
        <v>-2.6981142135456073</v>
      </c>
      <c r="O72" s="384"/>
      <c r="Q72" s="100"/>
      <c r="S72" s="22"/>
      <c r="T72" s="22"/>
      <c r="U72" s="22"/>
      <c r="V72" s="22"/>
      <c r="W72" s="22"/>
      <c r="X72" s="22"/>
      <c r="Y72" s="22"/>
      <c r="Z72" s="22"/>
      <c r="AA72" s="22"/>
      <c r="AB72" s="22"/>
      <c r="AC72" s="22"/>
      <c r="AD72" s="22"/>
      <c r="AE72" s="22"/>
      <c r="AF72" s="22"/>
      <c r="AG72" s="22"/>
      <c r="AH72" s="22"/>
      <c r="AJ72" s="386" t="e">
        <f>L63+AJ66</f>
        <v>#VALUE!</v>
      </c>
      <c r="AK72" s="387" t="e">
        <f>AJ72/H32</f>
        <v>#VALUE!</v>
      </c>
    </row>
    <row r="73" spans="1:66" s="88" customFormat="1" ht="11.25" x14ac:dyDescent="0.2">
      <c r="K73" s="22" t="s">
        <v>82</v>
      </c>
      <c r="L73" s="483">
        <f>L72/12</f>
        <v>-3703.8362866447328</v>
      </c>
      <c r="M73" s="483" t="s">
        <v>83</v>
      </c>
      <c r="O73" s="351"/>
    </row>
    <row r="79" spans="1:66" x14ac:dyDescent="0.2">
      <c r="BN79" s="86"/>
    </row>
    <row r="80" spans="1:66" x14ac:dyDescent="0.2">
      <c r="BN80" s="86"/>
    </row>
    <row r="81" spans="66:66" x14ac:dyDescent="0.2">
      <c r="BN81" s="86"/>
    </row>
    <row r="82" spans="66:66" x14ac:dyDescent="0.2">
      <c r="BN82" s="86"/>
    </row>
    <row r="83" spans="66:66" x14ac:dyDescent="0.2">
      <c r="BN83" s="86"/>
    </row>
    <row r="84" spans="66:66" x14ac:dyDescent="0.2">
      <c r="BN84" s="86"/>
    </row>
    <row r="85" spans="66:66" x14ac:dyDescent="0.2">
      <c r="BN85" s="86"/>
    </row>
    <row r="86" spans="66:66" x14ac:dyDescent="0.2">
      <c r="BN86" s="86"/>
    </row>
    <row r="87" spans="66:66" x14ac:dyDescent="0.2">
      <c r="BN87" s="86"/>
    </row>
    <row r="88" spans="66:66" x14ac:dyDescent="0.2">
      <c r="BN88" s="86"/>
    </row>
    <row r="89" spans="66:66" x14ac:dyDescent="0.2">
      <c r="BN89" s="86"/>
    </row>
    <row r="90" spans="66:66" x14ac:dyDescent="0.2">
      <c r="BN90" s="86"/>
    </row>
    <row r="91" spans="66:66" x14ac:dyDescent="0.2">
      <c r="BN91" s="86"/>
    </row>
    <row r="92" spans="66:66" x14ac:dyDescent="0.2">
      <c r="BN92" s="86"/>
    </row>
    <row r="93" spans="66:66" x14ac:dyDescent="0.2">
      <c r="BN93" s="86"/>
    </row>
    <row r="94" spans="66:66" x14ac:dyDescent="0.2">
      <c r="BN94" s="86"/>
    </row>
    <row r="95" spans="66:66" x14ac:dyDescent="0.2">
      <c r="BN95" s="86"/>
    </row>
    <row r="96" spans="66:66" x14ac:dyDescent="0.2">
      <c r="BN96" s="86"/>
    </row>
    <row r="97" spans="66:66" x14ac:dyDescent="0.2">
      <c r="BN97" s="86"/>
    </row>
    <row r="98" spans="66:66" x14ac:dyDescent="0.2">
      <c r="BN98" s="86"/>
    </row>
    <row r="99" spans="66:66" x14ac:dyDescent="0.2">
      <c r="BN99" s="86"/>
    </row>
    <row r="100" spans="66:66" x14ac:dyDescent="0.2">
      <c r="BN100" s="86"/>
    </row>
    <row r="101" spans="66:66" x14ac:dyDescent="0.2">
      <c r="BN101" s="86"/>
    </row>
    <row r="102" spans="66:66" x14ac:dyDescent="0.2">
      <c r="BN102" s="86"/>
    </row>
    <row r="103" spans="66:66" x14ac:dyDescent="0.2">
      <c r="BN103" s="86"/>
    </row>
    <row r="104" spans="66:66" x14ac:dyDescent="0.2">
      <c r="BN104" s="86"/>
    </row>
    <row r="105" spans="66:66" x14ac:dyDescent="0.2">
      <c r="BN105" s="86"/>
    </row>
    <row r="106" spans="66:66" x14ac:dyDescent="0.2">
      <c r="BN106" s="86"/>
    </row>
    <row r="107" spans="66:66" x14ac:dyDescent="0.2">
      <c r="BN107" s="86"/>
    </row>
    <row r="108" spans="66:66" x14ac:dyDescent="0.2">
      <c r="BN108" s="86"/>
    </row>
    <row r="109" spans="66:66" x14ac:dyDescent="0.2">
      <c r="BN109" s="86"/>
    </row>
    <row r="110" spans="66:66" x14ac:dyDescent="0.2">
      <c r="BN110" s="86"/>
    </row>
  </sheetData>
  <protectedRanges>
    <protectedRange sqref="G11:H11" name="Alue1"/>
    <protectedRange sqref="J24 AC24 AC46:AC47" name="Alue2"/>
    <protectedRange sqref="AE38 L38 L61 L31:L34" name="Alue3"/>
    <protectedRange sqref="J46:J47" name="Alue2_1"/>
  </protectedRanges>
  <mergeCells count="4">
    <mergeCell ref="B3:M3"/>
    <mergeCell ref="G11:H11"/>
    <mergeCell ref="U3:AF3"/>
    <mergeCell ref="Z11:AA11"/>
  </mergeCells>
  <phoneticPr fontId="3" type="noConversion"/>
  <dataValidations count="1">
    <dataValidation type="list" allowBlank="1" showInputMessage="1" showErrorMessage="1" sqref="G11:H11" xr:uid="{00000000-0002-0000-0100-000000000000}">
      <formula1>kunta</formula1>
    </dataValidation>
  </dataValidations>
  <hyperlinks>
    <hyperlink ref="I16" r:id="rId1" display="https://budjetti.vm.fi/indox/sisalto.jsp?year=2024&amp;lang=fi&amp;maindoc=/2024/tae/valtiovarainministerionKanta/valtiovarainministerionKanta.xml&amp;opennode=0:1:251:541:657:659:" xr:uid="{3C3C1221-AA17-481D-B46B-1730E167086B}"/>
  </hyperlinks>
  <pageMargins left="0.25" right="0.25" top="0.75" bottom="0.75" header="0.3" footer="0.3"/>
  <pageSetup paperSize="9" orientation="portrait"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21"/>
  <sheetViews>
    <sheetView zoomScaleNormal="100" workbookViewId="0"/>
  </sheetViews>
  <sheetFormatPr defaultColWidth="9.28515625" defaultRowHeight="12.75" x14ac:dyDescent="0.2"/>
  <cols>
    <col min="1" max="4" width="2.28515625" style="4" customWidth="1"/>
    <col min="5" max="5" width="18.28515625" style="4" customWidth="1"/>
    <col min="6" max="6" width="17" style="4" customWidth="1"/>
    <col min="7" max="7" width="10.140625" style="4" bestFit="1" customWidth="1"/>
    <col min="8" max="8" width="18.5703125" style="4" customWidth="1"/>
    <col min="9" max="10" width="10.7109375" style="4" bestFit="1" customWidth="1"/>
    <col min="11" max="11" width="14.5703125" style="4" customWidth="1"/>
    <col min="12" max="12" width="11.85546875" style="4" bestFit="1" customWidth="1"/>
    <col min="13" max="13" width="15.5703125" style="4" bestFit="1" customWidth="1"/>
    <col min="14" max="16384" width="9.28515625" style="4"/>
  </cols>
  <sheetData>
    <row r="1" spans="1:10" x14ac:dyDescent="0.2">
      <c r="A1" s="36" t="str">
        <f>'2.Yhteenveto'!A1</f>
        <v>5.1.2024, Kuntaliitto / Olli Riikonen. Lähde: VM:n valtionosuuslaskelmat 8.12.2023 ja OKM:n vos-päätös 29.12.2023</v>
      </c>
      <c r="B1" s="371"/>
      <c r="C1" s="371"/>
      <c r="D1" s="371"/>
      <c r="E1" s="44"/>
      <c r="F1" s="371"/>
      <c r="G1" s="371"/>
      <c r="H1" s="371"/>
      <c r="I1" s="371"/>
      <c r="J1" s="371"/>
    </row>
    <row r="2" spans="1:10" x14ac:dyDescent="0.2">
      <c r="A2" s="371"/>
      <c r="B2" s="371"/>
      <c r="C2" s="371"/>
      <c r="D2" s="371"/>
      <c r="E2" s="44"/>
      <c r="F2" s="371"/>
      <c r="G2" s="371"/>
      <c r="H2" s="410"/>
      <c r="I2" s="371"/>
      <c r="J2" s="371"/>
    </row>
    <row r="3" spans="1:10" ht="18" x14ac:dyDescent="0.25">
      <c r="A3" s="499" t="s">
        <v>715</v>
      </c>
      <c r="B3" s="500"/>
      <c r="C3" s="500"/>
      <c r="D3" s="500"/>
      <c r="E3" s="500"/>
      <c r="F3" s="500"/>
      <c r="G3" s="500"/>
      <c r="H3" s="501"/>
      <c r="I3" s="371"/>
      <c r="J3" s="371"/>
    </row>
    <row r="4" spans="1:10" x14ac:dyDescent="0.2">
      <c r="A4" s="371"/>
      <c r="B4" s="371"/>
      <c r="C4" s="371"/>
      <c r="D4" s="371"/>
      <c r="E4" s="371"/>
      <c r="F4" s="1"/>
      <c r="G4" s="371"/>
      <c r="H4" s="371"/>
      <c r="I4" s="371"/>
      <c r="J4" s="371"/>
    </row>
    <row r="5" spans="1:10" x14ac:dyDescent="0.2">
      <c r="A5" s="371"/>
      <c r="B5" s="22" t="s">
        <v>91</v>
      </c>
      <c r="C5" s="371"/>
      <c r="D5" s="371"/>
      <c r="E5" s="411"/>
      <c r="F5" s="23" t="s">
        <v>92</v>
      </c>
      <c r="G5" s="371"/>
      <c r="H5" s="27"/>
      <c r="I5" s="371"/>
      <c r="J5" s="371"/>
    </row>
    <row r="6" spans="1:10" x14ac:dyDescent="0.2">
      <c r="A6" s="371"/>
      <c r="B6" s="371"/>
      <c r="C6" s="371"/>
      <c r="D6" s="371"/>
      <c r="E6" s="76"/>
      <c r="F6" s="23" t="s">
        <v>93</v>
      </c>
      <c r="G6" s="371"/>
      <c r="H6" s="27"/>
      <c r="I6" s="371"/>
      <c r="J6" s="371"/>
    </row>
    <row r="7" spans="1:10" x14ac:dyDescent="0.2">
      <c r="A7" s="371"/>
      <c r="B7" s="371"/>
      <c r="C7" s="371"/>
      <c r="D7" s="371"/>
      <c r="E7" s="371"/>
      <c r="F7" s="1"/>
      <c r="G7" s="371"/>
      <c r="H7" s="371"/>
      <c r="I7" s="371"/>
      <c r="J7" s="371"/>
    </row>
    <row r="8" spans="1:10" x14ac:dyDescent="0.2">
      <c r="A8" s="371"/>
      <c r="B8" s="412" t="s">
        <v>29</v>
      </c>
      <c r="C8" s="371"/>
      <c r="D8" s="371"/>
      <c r="E8" s="371"/>
      <c r="F8" s="6" t="str">
        <f>'2.Yhteenveto'!G11</f>
        <v>Akaa</v>
      </c>
      <c r="G8" s="371"/>
      <c r="H8" s="371"/>
      <c r="I8" s="371"/>
      <c r="J8" s="371"/>
    </row>
    <row r="9" spans="1:10" x14ac:dyDescent="0.2">
      <c r="A9" s="371"/>
      <c r="B9" s="412" t="str">
        <f>'2.Yhteenveto'!B12</f>
        <v>Asukasluku 31.12.2022:</v>
      </c>
      <c r="C9" s="371"/>
      <c r="D9" s="371"/>
      <c r="E9" s="371"/>
      <c r="F9" s="29">
        <f>'2.Yhteenveto'!$H$12</f>
        <v>16473</v>
      </c>
      <c r="G9" s="371"/>
      <c r="H9" s="371"/>
      <c r="I9" s="371"/>
      <c r="J9" s="371"/>
    </row>
    <row r="10" spans="1:10" x14ac:dyDescent="0.2">
      <c r="A10" s="371"/>
      <c r="B10" s="371"/>
      <c r="C10" s="371"/>
      <c r="D10" s="371"/>
      <c r="E10" s="1"/>
      <c r="F10" s="371"/>
      <c r="G10" s="371"/>
      <c r="H10" s="28" t="s">
        <v>94</v>
      </c>
      <c r="I10" s="371"/>
      <c r="J10" s="371"/>
    </row>
    <row r="11" spans="1:10" x14ac:dyDescent="0.2">
      <c r="A11" s="371"/>
      <c r="B11" s="1"/>
      <c r="C11" s="371"/>
      <c r="D11" s="371"/>
      <c r="E11" s="371"/>
      <c r="F11" s="371"/>
      <c r="G11" s="371"/>
      <c r="H11" s="28" t="s">
        <v>95</v>
      </c>
      <c r="I11" s="371"/>
      <c r="J11" s="371"/>
    </row>
    <row r="12" spans="1:10" ht="18" customHeight="1" x14ac:dyDescent="0.2">
      <c r="A12" s="371"/>
      <c r="B12" s="371"/>
      <c r="C12" s="1" t="s">
        <v>41</v>
      </c>
      <c r="D12" s="1"/>
      <c r="E12" s="371"/>
      <c r="F12" s="47" t="s">
        <v>96</v>
      </c>
      <c r="G12" s="47" t="s">
        <v>97</v>
      </c>
      <c r="H12" s="413"/>
      <c r="I12" s="371"/>
      <c r="J12" s="371"/>
    </row>
    <row r="13" spans="1:10" x14ac:dyDescent="0.2">
      <c r="A13" s="371"/>
      <c r="B13" s="371"/>
      <c r="C13" s="371"/>
      <c r="D13" s="371"/>
      <c r="E13" s="371" t="s">
        <v>98</v>
      </c>
      <c r="F13" s="411">
        <f>INDEX(ikar_1,MATCH($F$8,kunta,0),1,1)</f>
        <v>782</v>
      </c>
      <c r="G13" s="356">
        <v>8186.31</v>
      </c>
      <c r="H13" s="409">
        <f>F13*G13</f>
        <v>6401694.4199999999</v>
      </c>
      <c r="I13" s="371"/>
      <c r="J13" s="371"/>
    </row>
    <row r="14" spans="1:10" x14ac:dyDescent="0.2">
      <c r="A14" s="371"/>
      <c r="B14" s="371"/>
      <c r="C14" s="371"/>
      <c r="D14" s="371"/>
      <c r="E14" s="371" t="s">
        <v>99</v>
      </c>
      <c r="F14" s="411">
        <f>INDEX(ikar_2,MATCH($F$8,kunta,0),1,1)</f>
        <v>154</v>
      </c>
      <c r="G14" s="356">
        <v>8686.5</v>
      </c>
      <c r="H14" s="409">
        <f>F14*G14</f>
        <v>1337721</v>
      </c>
      <c r="I14" s="371"/>
      <c r="J14" s="371"/>
    </row>
    <row r="15" spans="1:10" x14ac:dyDescent="0.2">
      <c r="A15" s="371"/>
      <c r="B15" s="371"/>
      <c r="C15" s="371"/>
      <c r="D15" s="371"/>
      <c r="E15" s="371" t="s">
        <v>100</v>
      </c>
      <c r="F15" s="411">
        <f>INDEX(ikar_3,MATCH($F$8,kunta,0),1,1)</f>
        <v>1222</v>
      </c>
      <c r="G15" s="356">
        <v>7231.33</v>
      </c>
      <c r="H15" s="409">
        <f>F15*G15</f>
        <v>8836685.2599999998</v>
      </c>
      <c r="I15" s="371"/>
      <c r="J15" s="371"/>
    </row>
    <row r="16" spans="1:10" x14ac:dyDescent="0.2">
      <c r="A16" s="371"/>
      <c r="B16" s="371"/>
      <c r="C16" s="371"/>
      <c r="D16" s="371"/>
      <c r="E16" s="371" t="s">
        <v>101</v>
      </c>
      <c r="F16" s="411">
        <f>INDEX(ikar_4,MATCH($F$8,kunta,0),1,1)</f>
        <v>664</v>
      </c>
      <c r="G16" s="356">
        <v>12434.58</v>
      </c>
      <c r="H16" s="409">
        <f>F16*G16</f>
        <v>8256561.1200000001</v>
      </c>
      <c r="I16" s="371"/>
      <c r="J16" s="414"/>
    </row>
    <row r="17" spans="1:11" ht="13.5" thickBot="1" x14ac:dyDescent="0.25">
      <c r="A17" s="371"/>
      <c r="B17" s="371"/>
      <c r="C17" s="371"/>
      <c r="D17" s="371"/>
      <c r="E17" s="371" t="s">
        <v>102</v>
      </c>
      <c r="F17" s="411">
        <f>INDEX(ikar_5,MATCH($F$8,kunta,0),1,1)</f>
        <v>13651</v>
      </c>
      <c r="G17" s="356">
        <v>64.06</v>
      </c>
      <c r="H17" s="409">
        <f>F17*G17</f>
        <v>874483.06</v>
      </c>
      <c r="I17" s="371"/>
      <c r="J17" s="415"/>
      <c r="K17" s="371"/>
    </row>
    <row r="18" spans="1:11" ht="13.5" thickTop="1" x14ac:dyDescent="0.2">
      <c r="A18" s="371"/>
      <c r="B18" s="371"/>
      <c r="C18" s="8" t="s">
        <v>103</v>
      </c>
      <c r="D18" s="8"/>
      <c r="E18" s="371"/>
      <c r="F18" s="409">
        <f>SUM(F13:F17)</f>
        <v>16473</v>
      </c>
      <c r="G18" s="416">
        <f>H18/F18</f>
        <v>1560.5624270017604</v>
      </c>
      <c r="H18" s="8">
        <f>SUM(H13:H17)</f>
        <v>25707144.859999999</v>
      </c>
      <c r="I18" s="371"/>
      <c r="J18" s="371"/>
      <c r="K18" s="409"/>
    </row>
    <row r="19" spans="1:11" x14ac:dyDescent="0.2">
      <c r="A19" s="371"/>
      <c r="B19" s="371"/>
      <c r="C19" s="371"/>
      <c r="D19" s="371"/>
      <c r="E19" s="371"/>
      <c r="F19" s="371"/>
      <c r="G19" s="417"/>
      <c r="H19" s="371"/>
      <c r="I19" s="371"/>
      <c r="J19" s="371"/>
      <c r="K19" s="371"/>
    </row>
    <row r="20" spans="1:11" x14ac:dyDescent="0.2">
      <c r="A20" s="37" t="s">
        <v>104</v>
      </c>
      <c r="B20" s="418"/>
      <c r="C20" s="418"/>
      <c r="D20" s="418"/>
      <c r="E20" s="418"/>
      <c r="F20" s="43"/>
      <c r="G20" s="45"/>
      <c r="H20" s="39">
        <f>H18</f>
        <v>25707144.859999999</v>
      </c>
      <c r="I20" s="371"/>
      <c r="J20" s="371"/>
      <c r="K20" s="371"/>
    </row>
    <row r="21" spans="1:11" x14ac:dyDescent="0.2">
      <c r="A21" s="371"/>
      <c r="B21" s="371"/>
      <c r="C21" s="371"/>
      <c r="D21" s="371"/>
      <c r="E21" s="371"/>
      <c r="F21" s="371"/>
      <c r="G21" s="371"/>
      <c r="H21" s="47" t="s">
        <v>105</v>
      </c>
      <c r="I21" s="371"/>
      <c r="J21" s="371"/>
      <c r="K21" s="371"/>
    </row>
  </sheetData>
  <protectedRanges>
    <protectedRange sqref="F13:F17" name="Alue1"/>
    <protectedRange sqref="G13:G17" name="Alue6"/>
  </protectedRanges>
  <mergeCells count="1">
    <mergeCell ref="A3:H3"/>
  </mergeCells>
  <phoneticPr fontId="3" type="noConversion"/>
  <pageMargins left="0.75" right="0.75" top="1" bottom="1" header="0.4921259845" footer="0.4921259845"/>
  <pageSetup paperSize="9" scale="94" orientation="portrait" r:id="rId1"/>
  <headerFooter alignWithMargins="0"/>
  <ignoredErrors>
    <ignoredError sqref="G18" formula="1"/>
    <ignoredError sqref="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L75"/>
  <sheetViews>
    <sheetView topLeftCell="A28" zoomScaleNormal="100" workbookViewId="0">
      <selection activeCell="N64" sqref="N64"/>
    </sheetView>
  </sheetViews>
  <sheetFormatPr defaultRowHeight="12.75" x14ac:dyDescent="0.2"/>
  <cols>
    <col min="1" max="2" width="2" customWidth="1"/>
    <col min="3" max="3" width="3.28515625" customWidth="1"/>
    <col min="4" max="4" width="3.7109375" customWidth="1"/>
    <col min="5" max="5" width="16.7109375" customWidth="1"/>
    <col min="6" max="6" width="14.28515625" customWidth="1"/>
    <col min="7" max="7" width="16" customWidth="1"/>
    <col min="8" max="8" width="11.28515625" customWidth="1"/>
    <col min="9" max="9" width="6.28515625" customWidth="1"/>
    <col min="10" max="10" width="21.28515625" bestFit="1" customWidth="1"/>
  </cols>
  <sheetData>
    <row r="1" spans="1:10" x14ac:dyDescent="0.2">
      <c r="A1" s="36" t="str">
        <f>'2.Yhteenveto'!A1</f>
        <v>5.1.2024, Kuntaliitto / Olli Riikonen. Lähde: VM:n valtionosuuslaskelmat 8.12.2023 ja OKM:n vos-päätös 29.12.2023</v>
      </c>
      <c r="F1" s="44"/>
    </row>
    <row r="2" spans="1:10" x14ac:dyDescent="0.2">
      <c r="F2" s="44"/>
    </row>
    <row r="3" spans="1:10" s="376" customFormat="1" ht="18" x14ac:dyDescent="0.25">
      <c r="A3" s="499" t="s">
        <v>714</v>
      </c>
      <c r="B3" s="500"/>
      <c r="C3" s="500"/>
      <c r="D3" s="500"/>
      <c r="E3" s="500"/>
      <c r="F3" s="500"/>
      <c r="G3" s="500"/>
      <c r="H3" s="500"/>
      <c r="I3" s="500"/>
      <c r="J3" s="501"/>
    </row>
    <row r="5" spans="1:10" x14ac:dyDescent="0.2">
      <c r="C5" s="22" t="s">
        <v>91</v>
      </c>
      <c r="D5" s="371"/>
      <c r="E5" s="330"/>
      <c r="F5" s="23" t="s">
        <v>92</v>
      </c>
    </row>
    <row r="6" spans="1:10" x14ac:dyDescent="0.2">
      <c r="C6" s="371"/>
      <c r="D6" s="371"/>
      <c r="E6" s="76"/>
      <c r="F6" s="23" t="s">
        <v>93</v>
      </c>
    </row>
    <row r="8" spans="1:10" ht="15.75" customHeight="1" x14ac:dyDescent="0.2">
      <c r="B8" s="412" t="s">
        <v>29</v>
      </c>
      <c r="F8" s="29" t="str">
        <f>'2.Yhteenveto'!G11</f>
        <v>Akaa</v>
      </c>
    </row>
    <row r="9" spans="1:10" ht="15.75" customHeight="1" x14ac:dyDescent="0.2">
      <c r="B9" s="412" t="str">
        <f>'2.Yhteenveto'!B12</f>
        <v>Asukasluku 31.12.2022:</v>
      </c>
      <c r="F9" s="29">
        <f>'2.Yhteenveto'!$H$12</f>
        <v>16473</v>
      </c>
    </row>
    <row r="10" spans="1:10" ht="15.75" customHeight="1" x14ac:dyDescent="0.2">
      <c r="B10" s="412"/>
      <c r="H10" s="47"/>
    </row>
    <row r="11" spans="1:10" ht="15.75" customHeight="1" x14ac:dyDescent="0.2">
      <c r="B11" s="1" t="s">
        <v>106</v>
      </c>
      <c r="C11" s="371"/>
      <c r="G11" s="371"/>
      <c r="I11" s="371"/>
    </row>
    <row r="12" spans="1:10" ht="15.75" customHeight="1" x14ac:dyDescent="0.2">
      <c r="C12" s="1"/>
      <c r="G12" s="49"/>
      <c r="H12" s="371"/>
      <c r="I12" s="371"/>
    </row>
    <row r="13" spans="1:10" ht="15.75" customHeight="1" x14ac:dyDescent="0.2">
      <c r="C13" s="1" t="s">
        <v>107</v>
      </c>
      <c r="F13" s="49" t="str">
        <f>$F$8</f>
        <v>Akaa</v>
      </c>
      <c r="G13" s="47" t="s">
        <v>108</v>
      </c>
      <c r="H13" s="13"/>
      <c r="I13" s="13"/>
      <c r="J13" s="14"/>
    </row>
    <row r="14" spans="1:10" ht="15.75" customHeight="1" x14ac:dyDescent="0.2">
      <c r="D14" s="371" t="s">
        <v>109</v>
      </c>
      <c r="F14" s="330">
        <f>INDEX(muutla_1,MATCH($F$8,kunta,0),1,1)</f>
        <v>600.91666666666663</v>
      </c>
      <c r="G14" s="11">
        <f>SUM(muutla_1)</f>
        <v>248773.91666666674</v>
      </c>
      <c r="H14" s="9"/>
      <c r="I14" s="10"/>
      <c r="J14" s="11"/>
    </row>
    <row r="15" spans="1:10" ht="15.75" customHeight="1" thickBot="1" x14ac:dyDescent="0.25">
      <c r="D15" s="408" t="s">
        <v>110</v>
      </c>
      <c r="E15" s="93"/>
      <c r="F15" s="331">
        <f>INDEX(muutla_2,MATCH($F$8,kunta,0),1,1)</f>
        <v>7532</v>
      </c>
      <c r="G15" s="51">
        <f>SUM(muutla_2)</f>
        <v>2621163</v>
      </c>
      <c r="H15" s="9"/>
      <c r="I15" s="10"/>
      <c r="J15" s="11"/>
    </row>
    <row r="16" spans="1:10" ht="15.75" customHeight="1" thickTop="1" x14ac:dyDescent="0.2">
      <c r="D16" s="371" t="s">
        <v>111</v>
      </c>
      <c r="F16" s="91">
        <f>F14/F15</f>
        <v>7.978181979111347E-2</v>
      </c>
      <c r="G16" s="90">
        <f>G14/G15</f>
        <v>9.4909746805775436E-2</v>
      </c>
      <c r="H16" s="329">
        <f>F16/G16</f>
        <v>0.84060723451702013</v>
      </c>
      <c r="I16" s="10"/>
    </row>
    <row r="17" spans="3:10" ht="15.75" customHeight="1" thickBot="1" x14ac:dyDescent="0.25">
      <c r="C17" s="50"/>
      <c r="D17" s="408" t="s">
        <v>112</v>
      </c>
      <c r="E17" s="50"/>
      <c r="F17" s="96"/>
      <c r="G17" s="50"/>
      <c r="H17" s="358">
        <v>69.27</v>
      </c>
      <c r="I17" s="95"/>
      <c r="J17" s="97" t="s">
        <v>38</v>
      </c>
    </row>
    <row r="18" spans="3:10" ht="15.75" customHeight="1" thickTop="1" x14ac:dyDescent="0.2">
      <c r="C18" s="5" t="s">
        <v>113</v>
      </c>
      <c r="D18" s="371"/>
      <c r="H18" s="9"/>
      <c r="I18" s="10"/>
      <c r="J18" s="8">
        <f>H17*$F$9*H16</f>
        <v>959204.06242275587</v>
      </c>
    </row>
    <row r="19" spans="3:10" ht="15.75" customHeight="1" x14ac:dyDescent="0.2">
      <c r="D19" s="371"/>
      <c r="H19" s="9"/>
      <c r="I19" s="10"/>
      <c r="J19" s="11"/>
    </row>
    <row r="20" spans="3:10" ht="15.75" customHeight="1" x14ac:dyDescent="0.2">
      <c r="C20" s="1" t="s">
        <v>114</v>
      </c>
      <c r="D20" s="371"/>
      <c r="F20" s="49" t="str">
        <f>$F$8</f>
        <v>Akaa</v>
      </c>
      <c r="G20" s="47"/>
      <c r="H20" s="13"/>
      <c r="I20" s="13"/>
      <c r="J20" s="14"/>
    </row>
    <row r="21" spans="3:10" ht="15.75" customHeight="1" x14ac:dyDescent="0.2">
      <c r="D21" s="371" t="s">
        <v>115</v>
      </c>
      <c r="F21" s="330">
        <f>INDEX(muutla_4,MATCH($F$8,kunta,0),1,1)</f>
        <v>469</v>
      </c>
      <c r="G21" s="339"/>
      <c r="H21" s="9"/>
      <c r="I21" s="10"/>
      <c r="J21" s="11"/>
    </row>
    <row r="22" spans="3:10" ht="15.75" customHeight="1" thickBot="1" x14ac:dyDescent="0.25">
      <c r="C22" s="50"/>
      <c r="D22" s="408" t="s">
        <v>112</v>
      </c>
      <c r="E22" s="50"/>
      <c r="F22" s="96"/>
      <c r="G22" s="50"/>
      <c r="H22" s="358">
        <v>1717.54</v>
      </c>
      <c r="I22" s="95"/>
      <c r="J22" s="97" t="s">
        <v>38</v>
      </c>
    </row>
    <row r="23" spans="3:10" ht="15.75" customHeight="1" thickTop="1" x14ac:dyDescent="0.2">
      <c r="C23" s="5" t="s">
        <v>116</v>
      </c>
      <c r="D23" s="371"/>
      <c r="H23" s="9"/>
      <c r="I23" s="10"/>
      <c r="J23" s="8">
        <f>H22*F21</f>
        <v>805526.26</v>
      </c>
    </row>
    <row r="24" spans="3:10" ht="15.75" customHeight="1" x14ac:dyDescent="0.2">
      <c r="D24" s="371"/>
      <c r="H24" s="9"/>
      <c r="I24" s="10"/>
    </row>
    <row r="25" spans="3:10" ht="15.75" customHeight="1" x14ac:dyDescent="0.2">
      <c r="C25" s="1" t="s">
        <v>117</v>
      </c>
      <c r="D25" s="371"/>
      <c r="F25" s="89"/>
      <c r="G25" s="419"/>
      <c r="H25" s="13"/>
      <c r="I25" s="13"/>
      <c r="J25" s="14"/>
    </row>
    <row r="26" spans="3:10" ht="15.75" customHeight="1" x14ac:dyDescent="0.2">
      <c r="D26" s="371" t="s">
        <v>118</v>
      </c>
      <c r="G26" s="330">
        <f>INDEX(muutla_7,MATCH($F$8,kunta,0),1,1)</f>
        <v>0</v>
      </c>
      <c r="H26" s="9"/>
      <c r="I26" s="10"/>
      <c r="J26" s="11"/>
    </row>
    <row r="27" spans="3:10" ht="15.75" customHeight="1" x14ac:dyDescent="0.2">
      <c r="D27" s="371"/>
      <c r="E27" s="5" t="s">
        <v>119</v>
      </c>
      <c r="G27" s="9"/>
      <c r="H27" s="9"/>
      <c r="I27" s="10"/>
      <c r="J27" s="11"/>
    </row>
    <row r="28" spans="3:10" ht="15.75" customHeight="1" x14ac:dyDescent="0.2">
      <c r="D28" s="371"/>
      <c r="E28" s="5" t="s">
        <v>120</v>
      </c>
      <c r="G28" s="9"/>
      <c r="H28" s="9"/>
      <c r="I28" s="10"/>
      <c r="J28" s="11"/>
    </row>
    <row r="29" spans="3:10" ht="15.75" customHeight="1" x14ac:dyDescent="0.2">
      <c r="D29" s="371"/>
      <c r="E29" s="5" t="s">
        <v>121</v>
      </c>
      <c r="G29" s="9"/>
      <c r="H29" s="9"/>
      <c r="I29" s="10"/>
      <c r="J29" s="11"/>
    </row>
    <row r="30" spans="3:10" ht="15.75" customHeight="1" x14ac:dyDescent="0.2">
      <c r="D30" s="371"/>
      <c r="E30" s="5" t="s">
        <v>122</v>
      </c>
      <c r="G30" s="9"/>
      <c r="H30" s="9"/>
      <c r="I30" s="10"/>
      <c r="J30" s="11"/>
    </row>
    <row r="31" spans="3:10" ht="15.75" customHeight="1" x14ac:dyDescent="0.2">
      <c r="D31" s="371"/>
      <c r="E31" s="5"/>
      <c r="F31" s="49" t="str">
        <f>$F$8</f>
        <v>Akaa</v>
      </c>
      <c r="G31" s="47" t="s">
        <v>108</v>
      </c>
      <c r="H31" s="9"/>
      <c r="I31" s="10"/>
      <c r="J31" s="11"/>
    </row>
    <row r="32" spans="3:10" ht="15.75" customHeight="1" x14ac:dyDescent="0.2">
      <c r="D32" s="371" t="s">
        <v>123</v>
      </c>
      <c r="E32" s="5"/>
      <c r="F32" s="330">
        <f>INDEX(muutla_8,MATCH($F$8,kunta,0),1,1)</f>
        <v>25</v>
      </c>
      <c r="G32" s="11">
        <f>SUM(muutla_8)</f>
        <v>260995</v>
      </c>
      <c r="H32" s="9"/>
      <c r="I32" s="10"/>
      <c r="J32" s="11"/>
    </row>
    <row r="33" spans="3:12" ht="15.75" customHeight="1" x14ac:dyDescent="0.2">
      <c r="D33" s="371" t="s">
        <v>112</v>
      </c>
      <c r="F33" s="91"/>
      <c r="H33" s="76">
        <v>294.01</v>
      </c>
      <c r="I33" s="10"/>
      <c r="J33" s="49" t="s">
        <v>38</v>
      </c>
    </row>
    <row r="34" spans="3:12" ht="15.75" customHeight="1" x14ac:dyDescent="0.2">
      <c r="D34" s="371" t="s">
        <v>124</v>
      </c>
      <c r="E34" s="5"/>
      <c r="G34" s="9"/>
      <c r="H34" s="9"/>
      <c r="I34" s="10"/>
      <c r="J34" s="11">
        <f>IF(OR($G$26=1,$G$26=3),$F$9*$H$33*0.07,0)</f>
        <v>0</v>
      </c>
    </row>
    <row r="35" spans="3:12" ht="15.75" customHeight="1" thickBot="1" x14ac:dyDescent="0.25">
      <c r="C35" s="50"/>
      <c r="D35" s="408" t="s">
        <v>125</v>
      </c>
      <c r="E35" s="92"/>
      <c r="F35" s="50"/>
      <c r="G35" s="94"/>
      <c r="H35" s="94"/>
      <c r="I35" s="95"/>
      <c r="J35" s="51">
        <f>IF(OR($G$26=1,$G$26=3),$H$33*F32*0.93,0)</f>
        <v>0</v>
      </c>
    </row>
    <row r="36" spans="3:12" ht="15.75" customHeight="1" thickTop="1" x14ac:dyDescent="0.2">
      <c r="C36" s="5" t="s">
        <v>126</v>
      </c>
      <c r="D36" s="371"/>
      <c r="E36" s="5"/>
      <c r="G36" s="9"/>
      <c r="H36" s="9"/>
      <c r="I36" s="10"/>
      <c r="J36" s="8">
        <f>SUM(J34:J35)</f>
        <v>0</v>
      </c>
    </row>
    <row r="37" spans="3:12" ht="15.75" customHeight="1" x14ac:dyDescent="0.2">
      <c r="D37" s="5"/>
      <c r="E37" s="5"/>
      <c r="G37" s="9"/>
      <c r="H37" s="9"/>
      <c r="I37" s="10"/>
      <c r="J37" s="11"/>
    </row>
    <row r="38" spans="3:12" ht="15.75" customHeight="1" x14ac:dyDescent="0.2">
      <c r="C38" s="1" t="s">
        <v>127</v>
      </c>
      <c r="D38" s="371"/>
      <c r="F38" s="89"/>
      <c r="G38" s="419"/>
      <c r="H38" s="13"/>
      <c r="I38" s="13"/>
      <c r="J38" s="14"/>
      <c r="L38" s="207"/>
    </row>
    <row r="39" spans="3:12" ht="15.75" customHeight="1" x14ac:dyDescent="0.2">
      <c r="D39" s="371" t="s">
        <v>128</v>
      </c>
      <c r="G39" s="330">
        <f>INDEX(muutla_10,MATCH($F$8,kunta,0),1,1)</f>
        <v>0</v>
      </c>
      <c r="H39" s="9"/>
      <c r="I39" s="10"/>
      <c r="J39" s="11"/>
    </row>
    <row r="40" spans="3:12" ht="15.75" customHeight="1" x14ac:dyDescent="0.2">
      <c r="D40" s="371"/>
      <c r="E40" s="5" t="s">
        <v>129</v>
      </c>
      <c r="G40" s="9"/>
      <c r="H40" s="9"/>
      <c r="I40" s="10"/>
      <c r="J40" s="11"/>
    </row>
    <row r="41" spans="3:12" ht="15.75" customHeight="1" x14ac:dyDescent="0.2">
      <c r="D41" s="371"/>
      <c r="E41" s="5" t="s">
        <v>130</v>
      </c>
      <c r="G41" s="9"/>
      <c r="H41" s="9"/>
      <c r="I41" s="10"/>
      <c r="J41" s="11"/>
    </row>
    <row r="42" spans="3:12" ht="15.75" customHeight="1" x14ac:dyDescent="0.2">
      <c r="D42" s="371"/>
      <c r="E42" s="5" t="s">
        <v>131</v>
      </c>
      <c r="G42" s="9"/>
      <c r="H42" s="9"/>
      <c r="I42" s="10"/>
      <c r="J42" s="11"/>
    </row>
    <row r="43" spans="3:12" ht="15.75" customHeight="1" x14ac:dyDescent="0.2">
      <c r="D43" s="371"/>
      <c r="E43" s="5" t="s">
        <v>132</v>
      </c>
      <c r="G43" s="9"/>
      <c r="H43" s="9"/>
      <c r="I43" s="10"/>
      <c r="J43" s="49"/>
    </row>
    <row r="44" spans="3:12" ht="15.75" customHeight="1" thickBot="1" x14ac:dyDescent="0.25">
      <c r="C44" s="50"/>
      <c r="D44" s="408" t="s">
        <v>112</v>
      </c>
      <c r="E44" s="50"/>
      <c r="F44" s="96"/>
      <c r="G44" s="50"/>
      <c r="H44" s="358">
        <v>404.68</v>
      </c>
      <c r="I44" s="95"/>
      <c r="J44" s="97" t="s">
        <v>38</v>
      </c>
    </row>
    <row r="45" spans="3:12" ht="15.75" customHeight="1" thickTop="1" x14ac:dyDescent="0.2">
      <c r="C45" s="5" t="s">
        <v>133</v>
      </c>
      <c r="D45" s="371"/>
      <c r="H45" s="9"/>
      <c r="I45" s="10"/>
      <c r="J45" s="8">
        <f>IF($G$39=2,3*$H$44*$F$9,IF($G$39=1,$H$44*$F$9,0))</f>
        <v>0</v>
      </c>
    </row>
    <row r="46" spans="3:12" ht="15.75" customHeight="1" x14ac:dyDescent="0.2">
      <c r="D46" s="5"/>
      <c r="E46" s="5"/>
      <c r="G46" s="9"/>
      <c r="H46" s="9"/>
      <c r="I46" s="10"/>
      <c r="J46" s="11"/>
    </row>
    <row r="47" spans="3:12" ht="15.75" customHeight="1" x14ac:dyDescent="0.2">
      <c r="C47" s="1" t="s">
        <v>134</v>
      </c>
      <c r="D47" s="371"/>
      <c r="F47" s="89"/>
      <c r="G47" s="259">
        <f>G39</f>
        <v>0</v>
      </c>
      <c r="H47" s="13"/>
      <c r="I47" s="13"/>
      <c r="J47" s="14"/>
      <c r="L47" s="207"/>
    </row>
    <row r="48" spans="3:12" ht="15.75" customHeight="1" x14ac:dyDescent="0.2">
      <c r="D48" s="371" t="s">
        <v>135</v>
      </c>
      <c r="G48" s="330">
        <f>INDEX(muutla_18,MATCH($F$8,kunta,0),1,1)</f>
        <v>0</v>
      </c>
      <c r="H48" s="9"/>
      <c r="I48" s="10"/>
      <c r="J48" s="11"/>
    </row>
    <row r="49" spans="3:12" ht="15.75" customHeight="1" thickBot="1" x14ac:dyDescent="0.25">
      <c r="C49" s="50"/>
      <c r="D49" s="408" t="s">
        <v>112</v>
      </c>
      <c r="E49" s="50"/>
      <c r="F49" s="96"/>
      <c r="G49" s="50"/>
      <c r="H49" s="358">
        <v>296.02</v>
      </c>
      <c r="I49" s="95"/>
      <c r="J49" s="97" t="s">
        <v>38</v>
      </c>
    </row>
    <row r="50" spans="3:12" ht="15.75" customHeight="1" thickTop="1" x14ac:dyDescent="0.2">
      <c r="C50" s="5" t="s">
        <v>136</v>
      </c>
      <c r="D50" s="371"/>
      <c r="H50" s="9"/>
      <c r="I50" s="10"/>
      <c r="J50" s="8">
        <f>IF($G$39=3,$H$49*$G$48,0)</f>
        <v>0</v>
      </c>
    </row>
    <row r="51" spans="3:12" ht="15.75" customHeight="1" x14ac:dyDescent="0.2">
      <c r="D51" s="5"/>
      <c r="E51" s="5"/>
      <c r="G51" s="9"/>
      <c r="H51" s="9"/>
      <c r="I51" s="10"/>
      <c r="J51" s="11"/>
    </row>
    <row r="52" spans="3:12" ht="15.75" customHeight="1" x14ac:dyDescent="0.2">
      <c r="C52" s="1" t="s">
        <v>137</v>
      </c>
      <c r="D52" s="371"/>
      <c r="F52" s="49" t="str">
        <f>$F$8</f>
        <v>Akaa</v>
      </c>
      <c r="G52" s="47" t="s">
        <v>108</v>
      </c>
      <c r="H52" s="13"/>
      <c r="I52" s="13"/>
      <c r="J52" s="14"/>
    </row>
    <row r="53" spans="3:12" ht="15.75" customHeight="1" x14ac:dyDescent="0.2">
      <c r="D53" s="371" t="s">
        <v>138</v>
      </c>
      <c r="F53" s="330">
        <f>INDEX(muutla_11,MATCH($F$8,kunta,0),1,1)</f>
        <v>293.26</v>
      </c>
      <c r="G53" s="11">
        <f>SUM(muutla_11)</f>
        <v>302409.10000000021</v>
      </c>
      <c r="H53" s="9"/>
      <c r="I53" s="10"/>
      <c r="J53" s="11"/>
    </row>
    <row r="54" spans="3:12" ht="15.75" customHeight="1" x14ac:dyDescent="0.2">
      <c r="D54" s="371" t="s">
        <v>137</v>
      </c>
      <c r="E54" s="21"/>
      <c r="F54" s="332">
        <f>$F$9/F53</f>
        <v>56.171997544840757</v>
      </c>
      <c r="G54" s="18">
        <f>SUM(vosC)/G53</f>
        <v>18.298427527478491</v>
      </c>
      <c r="H54" s="9"/>
      <c r="I54" s="10"/>
      <c r="J54" s="11"/>
    </row>
    <row r="55" spans="3:12" ht="15.75" customHeight="1" x14ac:dyDescent="0.2">
      <c r="D55" s="371" t="s">
        <v>139</v>
      </c>
      <c r="F55" s="91"/>
      <c r="G55" s="90"/>
      <c r="H55" s="332">
        <f>$G$54/$F$54</f>
        <v>0.32575710900918731</v>
      </c>
      <c r="I55" s="10"/>
    </row>
    <row r="56" spans="3:12" ht="15.75" customHeight="1" thickBot="1" x14ac:dyDescent="0.25">
      <c r="C56" s="50"/>
      <c r="D56" s="408" t="s">
        <v>112</v>
      </c>
      <c r="E56" s="50"/>
      <c r="F56" s="96"/>
      <c r="G56" s="50"/>
      <c r="H56" s="358">
        <v>41.53</v>
      </c>
      <c r="I56" s="95"/>
      <c r="J56" s="97" t="s">
        <v>38</v>
      </c>
    </row>
    <row r="57" spans="3:12" ht="15.75" customHeight="1" thickTop="1" x14ac:dyDescent="0.2">
      <c r="C57" s="5" t="s">
        <v>140</v>
      </c>
      <c r="D57" s="371"/>
      <c r="H57" s="9"/>
      <c r="I57" s="10"/>
      <c r="J57" s="8">
        <f>$H$56*$F$9*MIN(20,H55)</f>
        <v>222858.15545909747</v>
      </c>
    </row>
    <row r="58" spans="3:12" ht="15.75" customHeight="1" x14ac:dyDescent="0.2">
      <c r="D58" s="5"/>
      <c r="E58" s="5"/>
      <c r="G58" s="9"/>
      <c r="H58" s="9"/>
      <c r="I58" s="10"/>
      <c r="J58" s="11"/>
    </row>
    <row r="59" spans="3:12" ht="15.75" customHeight="1" x14ac:dyDescent="0.2">
      <c r="C59" s="1" t="s">
        <v>141</v>
      </c>
      <c r="D59" s="371"/>
      <c r="F59" s="49" t="str">
        <f>$F$8</f>
        <v>Akaa</v>
      </c>
      <c r="G59" s="47" t="s">
        <v>108</v>
      </c>
      <c r="H59" s="13"/>
      <c r="I59" s="13"/>
      <c r="J59" s="14"/>
    </row>
    <row r="60" spans="3:12" ht="15.75" customHeight="1" x14ac:dyDescent="0.2">
      <c r="C60" s="1"/>
      <c r="D60" s="371" t="s">
        <v>142</v>
      </c>
      <c r="F60" s="49"/>
      <c r="G60" s="47"/>
      <c r="H60" s="13"/>
      <c r="I60" s="13"/>
      <c r="J60" s="14"/>
    </row>
    <row r="61" spans="3:12" ht="15.75" customHeight="1" x14ac:dyDescent="0.2">
      <c r="F61" s="330">
        <f>INDEX(muutla_14,MATCH($F$8,kunta,0),1,1)</f>
        <v>632</v>
      </c>
      <c r="G61" s="11">
        <f>SUM(muutla_14)</f>
        <v>247077</v>
      </c>
      <c r="H61" s="9"/>
      <c r="I61" s="10"/>
      <c r="J61" s="11"/>
    </row>
    <row r="62" spans="3:12" ht="15.75" customHeight="1" x14ac:dyDescent="0.2">
      <c r="D62" s="371" t="s">
        <v>143</v>
      </c>
      <c r="E62" s="21"/>
      <c r="F62" s="330">
        <f>INDEX(muutla_15,MATCH($F$8,kunta,0),1,1)</f>
        <v>5302</v>
      </c>
      <c r="G62" s="11">
        <f>SUM(muutla_15)</f>
        <v>1743359</v>
      </c>
      <c r="H62" s="9"/>
      <c r="I62" s="10"/>
      <c r="J62" s="11" t="s">
        <v>144</v>
      </c>
    </row>
    <row r="63" spans="3:12" ht="15.75" customHeight="1" x14ac:dyDescent="0.2">
      <c r="D63" s="371" t="s">
        <v>145</v>
      </c>
      <c r="F63" s="361">
        <f>F61/F62</f>
        <v>0.11920030177291588</v>
      </c>
      <c r="G63" s="345">
        <f>G61/G62</f>
        <v>0.14172468206491032</v>
      </c>
      <c r="H63" s="9"/>
      <c r="I63" s="10"/>
      <c r="J63" s="11"/>
    </row>
    <row r="64" spans="3:12" ht="15.75" customHeight="1" x14ac:dyDescent="0.2">
      <c r="D64" s="371" t="s">
        <v>146</v>
      </c>
      <c r="F64" s="91"/>
      <c r="G64" s="90"/>
      <c r="H64" s="333">
        <f>F63/G63</f>
        <v>0.8410694597171281</v>
      </c>
      <c r="I64" s="10"/>
      <c r="L64" s="345"/>
    </row>
    <row r="65" spans="2:12" ht="15.75" customHeight="1" thickBot="1" x14ac:dyDescent="0.25">
      <c r="C65" s="50"/>
      <c r="D65" s="408" t="s">
        <v>112</v>
      </c>
      <c r="E65" s="50"/>
      <c r="F65" s="96"/>
      <c r="G65" s="50"/>
      <c r="H65" s="358">
        <v>28.43</v>
      </c>
      <c r="I65" s="95"/>
      <c r="J65" s="97" t="s">
        <v>38</v>
      </c>
    </row>
    <row r="66" spans="2:12" ht="15.75" customHeight="1" thickTop="1" x14ac:dyDescent="0.2">
      <c r="C66" s="5" t="s">
        <v>147</v>
      </c>
      <c r="D66" s="371"/>
      <c r="H66" s="9"/>
      <c r="I66" s="10"/>
      <c r="J66" s="8">
        <f>$H$65*$F$9*H64</f>
        <v>393895.86487803276</v>
      </c>
      <c r="L66" s="371"/>
    </row>
    <row r="67" spans="2:12" ht="15.75" customHeight="1" x14ac:dyDescent="0.2">
      <c r="D67" s="5"/>
      <c r="E67" s="5"/>
      <c r="G67" s="9"/>
      <c r="H67" s="9"/>
      <c r="I67" s="10"/>
      <c r="J67" s="8"/>
    </row>
    <row r="68" spans="2:12" ht="12.75" customHeight="1" x14ac:dyDescent="0.2">
      <c r="C68" s="1"/>
      <c r="H68" s="12"/>
      <c r="I68" s="12"/>
      <c r="J68" s="8"/>
    </row>
    <row r="69" spans="2:12" ht="15.75" customHeight="1" x14ac:dyDescent="0.2">
      <c r="B69" s="37" t="s">
        <v>148</v>
      </c>
      <c r="C69" s="38"/>
      <c r="D69" s="38"/>
      <c r="E69" s="43"/>
      <c r="F69" s="38"/>
      <c r="G69" s="38"/>
      <c r="H69" s="83"/>
      <c r="I69" s="83"/>
      <c r="J69" s="39">
        <f>J18+J23+J36+J45+J50+J57+J66</f>
        <v>2381484.3427598863</v>
      </c>
    </row>
    <row r="70" spans="2:12" ht="12" customHeight="1" x14ac:dyDescent="0.2">
      <c r="E70" s="7"/>
    </row>
    <row r="71" spans="2:12" ht="12" customHeight="1" x14ac:dyDescent="0.2">
      <c r="G71" s="1"/>
      <c r="H71" s="1"/>
      <c r="I71" s="1"/>
      <c r="J71" s="47" t="s">
        <v>105</v>
      </c>
    </row>
    <row r="72" spans="2:12" ht="15.75" customHeight="1" x14ac:dyDescent="0.2">
      <c r="F72" s="1"/>
      <c r="H72" s="1"/>
      <c r="I72" s="1"/>
    </row>
    <row r="73" spans="2:12" ht="15.75" customHeight="1" x14ac:dyDescent="0.2"/>
    <row r="74" spans="2:12" ht="15.75" customHeight="1" x14ac:dyDescent="0.2"/>
    <row r="75" spans="2:12" ht="15.75" customHeight="1" x14ac:dyDescent="0.2"/>
  </sheetData>
  <protectedRanges>
    <protectedRange sqref="H65 H22 H17 H33 H44 H56 H49" name="Alue5"/>
    <protectedRange sqref="G34:G37 G18:G19 F14:F17 F32:F33 G23:G24 F44 G57:G58 F53:F56 G66:G67 G50:G51 F49 F21:F22 F61:F65 G39:G43 G26:G30 G45:G48" name="Alue3"/>
  </protectedRanges>
  <mergeCells count="1">
    <mergeCell ref="A3:J3"/>
  </mergeCells>
  <phoneticPr fontId="3" type="noConversion"/>
  <pageMargins left="0.75" right="0.75" top="1" bottom="1" header="0.4921259845" footer="0.4921259845"/>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L48"/>
  <sheetViews>
    <sheetView zoomScaleNormal="100" workbookViewId="0">
      <selection activeCell="E2" sqref="E2"/>
    </sheetView>
  </sheetViews>
  <sheetFormatPr defaultColWidth="9.28515625" defaultRowHeight="12.75" x14ac:dyDescent="0.2"/>
  <cols>
    <col min="1" max="2" width="2.28515625" customWidth="1"/>
    <col min="3" max="4" width="3.7109375" customWidth="1"/>
    <col min="5" max="5" width="23.7109375" customWidth="1"/>
    <col min="6" max="6" width="13.5703125" customWidth="1"/>
    <col min="7" max="7" width="10.7109375" bestFit="1" customWidth="1"/>
    <col min="8" max="8" width="10.42578125" customWidth="1"/>
    <col min="9" max="9" width="7" style="12" customWidth="1"/>
    <col min="10" max="10" width="12.28515625" style="11" customWidth="1"/>
    <col min="12" max="12" width="11.28515625" customWidth="1"/>
  </cols>
  <sheetData>
    <row r="1" spans="1:10" ht="15.75" x14ac:dyDescent="0.25">
      <c r="A1" s="36" t="str">
        <f>'2.Yhteenveto'!A1</f>
        <v>5.1.2024, Kuntaliitto / Olli Riikonen. Lähde: VM:n valtionosuuslaskelmat 8.12.2023 ja OKM:n vos-päätös 29.12.2023</v>
      </c>
      <c r="E1" s="3"/>
      <c r="F1" s="3"/>
    </row>
    <row r="2" spans="1:10" ht="15.75" x14ac:dyDescent="0.25">
      <c r="E2" s="3"/>
      <c r="F2" s="3"/>
    </row>
    <row r="3" spans="1:10" ht="18" x14ac:dyDescent="0.25">
      <c r="A3" s="499" t="s">
        <v>713</v>
      </c>
      <c r="B3" s="500"/>
      <c r="C3" s="500"/>
      <c r="D3" s="500"/>
      <c r="E3" s="500"/>
      <c r="F3" s="500"/>
      <c r="G3" s="500"/>
      <c r="H3" s="500"/>
      <c r="I3" s="500"/>
      <c r="J3" s="501"/>
    </row>
    <row r="4" spans="1:10" x14ac:dyDescent="0.2">
      <c r="E4" s="5"/>
      <c r="F4" s="5"/>
    </row>
    <row r="5" spans="1:10" x14ac:dyDescent="0.2">
      <c r="C5" s="22" t="s">
        <v>91</v>
      </c>
      <c r="D5" s="371"/>
      <c r="E5" s="411"/>
      <c r="F5" s="23" t="s">
        <v>92</v>
      </c>
    </row>
    <row r="6" spans="1:10" x14ac:dyDescent="0.2">
      <c r="C6" s="371"/>
      <c r="D6" s="371"/>
      <c r="E6" s="76"/>
      <c r="F6" s="23" t="s">
        <v>149</v>
      </c>
    </row>
    <row r="7" spans="1:10" x14ac:dyDescent="0.2">
      <c r="E7" s="5"/>
      <c r="F7" s="5"/>
    </row>
    <row r="8" spans="1:10" x14ac:dyDescent="0.2">
      <c r="B8" s="412" t="s">
        <v>29</v>
      </c>
      <c r="E8" s="1"/>
      <c r="F8" s="6" t="str">
        <f>'2.Yhteenveto'!G11</f>
        <v>Akaa</v>
      </c>
    </row>
    <row r="9" spans="1:10" x14ac:dyDescent="0.2">
      <c r="B9" s="412" t="str">
        <f>'2.Yhteenveto'!B12</f>
        <v>Asukasluku 31.12.2022:</v>
      </c>
      <c r="E9" s="5"/>
      <c r="F9" s="29">
        <f>'2.Yhteenveto'!$H$12</f>
        <v>16473</v>
      </c>
    </row>
    <row r="10" spans="1:10" x14ac:dyDescent="0.2">
      <c r="B10" s="412"/>
      <c r="E10" s="5"/>
      <c r="F10" s="29"/>
    </row>
    <row r="11" spans="1:10" x14ac:dyDescent="0.2">
      <c r="B11" s="412"/>
      <c r="C11" s="1" t="s">
        <v>150</v>
      </c>
      <c r="E11" s="5"/>
      <c r="F11" s="29"/>
    </row>
    <row r="12" spans="1:10" x14ac:dyDescent="0.2">
      <c r="B12" s="412"/>
      <c r="D12" s="371" t="s">
        <v>112</v>
      </c>
      <c r="E12" s="5"/>
      <c r="F12" s="29"/>
      <c r="H12" s="76">
        <v>19.309999999999999</v>
      </c>
    </row>
    <row r="13" spans="1:10" x14ac:dyDescent="0.2">
      <c r="B13" s="412"/>
      <c r="D13" s="371" t="s">
        <v>151</v>
      </c>
      <c r="E13" s="5"/>
      <c r="F13" s="29"/>
      <c r="H13" s="332">
        <f>INDEX(hyte_1,MATCH($F$8,kunta,0),1,1)</f>
        <v>0.81783971744737971</v>
      </c>
    </row>
    <row r="14" spans="1:10" ht="13.5" thickBot="1" x14ac:dyDescent="0.25">
      <c r="B14" s="412"/>
      <c r="D14" s="50"/>
      <c r="E14" s="420"/>
      <c r="F14" s="50"/>
      <c r="G14" s="50"/>
      <c r="H14" s="338"/>
      <c r="I14" s="98"/>
      <c r="J14" s="97" t="s">
        <v>38</v>
      </c>
    </row>
    <row r="15" spans="1:10" ht="13.5" thickTop="1" x14ac:dyDescent="0.2">
      <c r="B15" s="412"/>
      <c r="C15" t="s">
        <v>152</v>
      </c>
      <c r="D15" s="5"/>
      <c r="E15" s="405"/>
      <c r="I15" s="53"/>
      <c r="J15" s="8">
        <f>H12*F9*H13</f>
        <v>260149.60448101134</v>
      </c>
    </row>
    <row r="16" spans="1:10" x14ac:dyDescent="0.2">
      <c r="B16" s="412"/>
      <c r="D16" s="5"/>
      <c r="E16" s="405"/>
      <c r="I16" s="53"/>
      <c r="J16" s="8"/>
    </row>
    <row r="17" spans="2:10" x14ac:dyDescent="0.2">
      <c r="B17" s="412"/>
      <c r="C17" s="1" t="s">
        <v>153</v>
      </c>
      <c r="D17" s="5"/>
      <c r="E17" s="405"/>
      <c r="H17" s="78">
        <v>1.6174615048132299</v>
      </c>
      <c r="I17" s="53"/>
      <c r="J17" s="8"/>
    </row>
    <row r="18" spans="2:10" x14ac:dyDescent="0.2">
      <c r="B18" s="412"/>
      <c r="D18" s="371" t="s">
        <v>112</v>
      </c>
      <c r="E18" s="5"/>
      <c r="F18" s="29"/>
      <c r="H18" s="357">
        <v>10.24</v>
      </c>
    </row>
    <row r="19" spans="2:10" x14ac:dyDescent="0.2">
      <c r="B19" s="412"/>
      <c r="D19" s="371" t="s">
        <v>154</v>
      </c>
      <c r="E19" s="5"/>
      <c r="F19" s="29"/>
      <c r="H19" s="332">
        <f>INDEX(lo_5,MATCH($F$8,kunta,0),1,1)</f>
        <v>0</v>
      </c>
    </row>
    <row r="20" spans="2:10" ht="13.5" thickBot="1" x14ac:dyDescent="0.25">
      <c r="B20" s="412"/>
      <c r="D20" s="50"/>
      <c r="E20" s="420"/>
      <c r="F20" s="50"/>
      <c r="G20" s="50"/>
      <c r="H20" s="338"/>
      <c r="I20" s="98"/>
      <c r="J20" s="97" t="s">
        <v>38</v>
      </c>
    </row>
    <row r="21" spans="2:10" ht="13.5" thickTop="1" x14ac:dyDescent="0.2">
      <c r="B21" s="412"/>
      <c r="C21" s="371" t="s">
        <v>155</v>
      </c>
      <c r="D21" s="5"/>
      <c r="E21" s="405"/>
      <c r="I21" s="53"/>
      <c r="J21" s="8">
        <f>IF(H19&gt;0,F9*H18*H19,0)</f>
        <v>0</v>
      </c>
    </row>
    <row r="22" spans="2:10" x14ac:dyDescent="0.2">
      <c r="B22" s="412"/>
      <c r="E22" s="5"/>
      <c r="F22" s="29"/>
    </row>
    <row r="24" spans="2:10" x14ac:dyDescent="0.2">
      <c r="C24" s="1" t="s">
        <v>156</v>
      </c>
      <c r="G24" s="6"/>
      <c r="H24" s="6"/>
      <c r="I24" s="30"/>
      <c r="J24" s="29"/>
    </row>
    <row r="25" spans="2:10" x14ac:dyDescent="0.2">
      <c r="C25" s="371"/>
      <c r="D25" s="371" t="s">
        <v>112</v>
      </c>
      <c r="F25" s="91"/>
      <c r="H25" s="357">
        <v>62.59</v>
      </c>
      <c r="I25" s="30"/>
      <c r="J25" s="29"/>
    </row>
    <row r="26" spans="2:10" x14ac:dyDescent="0.2">
      <c r="C26" s="371"/>
      <c r="D26" s="371" t="s">
        <v>157</v>
      </c>
      <c r="G26" s="333">
        <f>INDEX(lo_1,MATCH($F$8,kunta,0),1,1)</f>
        <v>0</v>
      </c>
      <c r="H26" s="6"/>
      <c r="I26" s="30"/>
      <c r="J26" s="29"/>
    </row>
    <row r="27" spans="2:10" x14ac:dyDescent="0.2">
      <c r="D27" s="371" t="s">
        <v>158</v>
      </c>
      <c r="G27" s="335"/>
      <c r="H27" s="53" t="s">
        <v>159</v>
      </c>
      <c r="I27" s="82">
        <v>1</v>
      </c>
    </row>
    <row r="28" spans="2:10" x14ac:dyDescent="0.2">
      <c r="D28" s="371" t="s">
        <v>160</v>
      </c>
      <c r="G28" s="335"/>
      <c r="H28" s="53" t="s">
        <v>159</v>
      </c>
      <c r="I28" s="81">
        <v>1.5</v>
      </c>
    </row>
    <row r="29" spans="2:10" ht="13.5" thickBot="1" x14ac:dyDescent="0.25">
      <c r="C29" s="50"/>
      <c r="D29" s="420" t="s">
        <v>161</v>
      </c>
      <c r="E29" s="50"/>
      <c r="F29" s="50"/>
      <c r="G29" s="336"/>
      <c r="H29" s="98" t="s">
        <v>159</v>
      </c>
      <c r="I29" s="99">
        <v>3</v>
      </c>
      <c r="J29" s="97" t="s">
        <v>38</v>
      </c>
    </row>
    <row r="30" spans="2:10" ht="13.5" thickTop="1" x14ac:dyDescent="0.2">
      <c r="C30" s="5" t="s">
        <v>162</v>
      </c>
      <c r="D30" s="405"/>
      <c r="H30" s="53"/>
      <c r="I30" s="82"/>
      <c r="J30" s="8">
        <f>IF(G26&gt;=1.5,3*($H$25*$F$9*G26),IF(G26&gt;=1,1.5*($H$25*$F$9*G26),($H$25*$F$9*G26)))</f>
        <v>0</v>
      </c>
    </row>
    <row r="31" spans="2:10" x14ac:dyDescent="0.2">
      <c r="D31" s="405"/>
      <c r="H31" s="53"/>
      <c r="I31" s="82"/>
    </row>
    <row r="32" spans="2:10" x14ac:dyDescent="0.2">
      <c r="C32" s="1" t="s">
        <v>163</v>
      </c>
      <c r="F32" s="49" t="str">
        <f>$F$8</f>
        <v>Akaa</v>
      </c>
      <c r="G32" s="47" t="s">
        <v>108</v>
      </c>
      <c r="H32" s="53"/>
      <c r="I32" s="82"/>
    </row>
    <row r="33" spans="2:12" ht="15.75" customHeight="1" x14ac:dyDescent="0.2">
      <c r="D33" s="371" t="s">
        <v>164</v>
      </c>
      <c r="F33" s="330">
        <f>INDEX(lo_2,MATCH($F$8,kunta,0),1,1)</f>
        <v>4786</v>
      </c>
      <c r="G33" s="11">
        <f>SUM(lo_2)</f>
        <v>2362494</v>
      </c>
      <c r="H33" s="9"/>
      <c r="I33" s="10"/>
    </row>
    <row r="34" spans="2:12" ht="15.75" customHeight="1" x14ac:dyDescent="0.2">
      <c r="D34" s="371" t="s">
        <v>165</v>
      </c>
      <c r="E34" s="21"/>
      <c r="F34" s="330">
        <f>INDEX(lo_3,MATCH($F$8,kunta,0),1,1)</f>
        <v>6937</v>
      </c>
      <c r="G34" s="11">
        <f>SUM(lo_3)</f>
        <v>2363007</v>
      </c>
      <c r="H34" s="9"/>
      <c r="I34" s="10"/>
    </row>
    <row r="35" spans="2:12" ht="15.75" customHeight="1" x14ac:dyDescent="0.2">
      <c r="D35" s="371" t="s">
        <v>166</v>
      </c>
      <c r="F35" s="91">
        <f>F33/F34</f>
        <v>0.6899235980971602</v>
      </c>
      <c r="G35" s="90">
        <f>G33/G34</f>
        <v>0.99978290373240541</v>
      </c>
      <c r="I35" s="10"/>
      <c r="J35"/>
    </row>
    <row r="36" spans="2:12" ht="15.75" customHeight="1" x14ac:dyDescent="0.2">
      <c r="D36" s="371" t="s">
        <v>167</v>
      </c>
      <c r="F36" s="91"/>
      <c r="G36" s="90"/>
      <c r="H36" s="337">
        <f>F35/G35</f>
        <v>0.69007341045893711</v>
      </c>
      <c r="I36" s="10"/>
      <c r="J36"/>
    </row>
    <row r="37" spans="2:12" ht="15.75" customHeight="1" thickBot="1" x14ac:dyDescent="0.25">
      <c r="C37" s="50"/>
      <c r="D37" s="408" t="s">
        <v>112</v>
      </c>
      <c r="E37" s="50"/>
      <c r="F37" s="96"/>
      <c r="G37" s="50"/>
      <c r="H37" s="358">
        <v>13.1</v>
      </c>
      <c r="I37" s="95"/>
      <c r="J37" s="97" t="s">
        <v>38</v>
      </c>
    </row>
    <row r="38" spans="2:12" ht="15.75" customHeight="1" thickTop="1" x14ac:dyDescent="0.2">
      <c r="C38" s="5" t="s">
        <v>168</v>
      </c>
      <c r="D38" s="371"/>
      <c r="H38" s="9"/>
      <c r="I38" s="10"/>
      <c r="J38" s="8">
        <f>$F$9*$H$37*H36</f>
        <v>148915.28870541992</v>
      </c>
    </row>
    <row r="39" spans="2:12" x14ac:dyDescent="0.2">
      <c r="H39" s="53"/>
    </row>
    <row r="40" spans="2:12" x14ac:dyDescent="0.2">
      <c r="C40" s="1" t="s">
        <v>169</v>
      </c>
      <c r="H40" s="53"/>
    </row>
    <row r="41" spans="2:12" x14ac:dyDescent="0.2">
      <c r="C41" s="1"/>
      <c r="D41" s="371" t="s">
        <v>170</v>
      </c>
      <c r="G41" s="330">
        <f>INDEX(lo_6,MATCH($F$8,kunta,0),1,1)</f>
        <v>0</v>
      </c>
      <c r="H41" s="53"/>
    </row>
    <row r="42" spans="2:12" ht="15.75" customHeight="1" x14ac:dyDescent="0.2">
      <c r="D42" s="1" t="s">
        <v>153</v>
      </c>
      <c r="F42" s="330">
        <f>INDEX(lo_7,MATCH($F$8,kunta,0),1,1)</f>
        <v>0</v>
      </c>
      <c r="G42" s="11">
        <f>SUM(lo_7)</f>
        <v>2035</v>
      </c>
      <c r="H42" s="9"/>
      <c r="I42" s="10"/>
    </row>
    <row r="43" spans="2:12" ht="15.75" customHeight="1" thickBot="1" x14ac:dyDescent="0.25">
      <c r="C43" s="50"/>
      <c r="D43" s="408" t="s">
        <v>112</v>
      </c>
      <c r="E43" s="50"/>
      <c r="F43" s="96"/>
      <c r="G43" s="50"/>
      <c r="H43" s="358">
        <v>915.13</v>
      </c>
      <c r="I43" s="95"/>
      <c r="J43" s="97" t="s">
        <v>38</v>
      </c>
    </row>
    <row r="44" spans="2:12" ht="13.5" thickTop="1" x14ac:dyDescent="0.2">
      <c r="C44" s="1"/>
      <c r="D44" s="371"/>
      <c r="G44" s="12"/>
      <c r="H44" s="53"/>
      <c r="J44" s="8">
        <f>IF(G41=1,$H$43*$F$9*(F42/F9),0)</f>
        <v>0</v>
      </c>
    </row>
    <row r="45" spans="2:12" x14ac:dyDescent="0.2">
      <c r="C45" s="1"/>
      <c r="D45" s="371"/>
      <c r="G45" s="12"/>
      <c r="H45" s="53"/>
    </row>
    <row r="47" spans="2:12" ht="15.75" customHeight="1" x14ac:dyDescent="0.2">
      <c r="B47" s="37" t="s">
        <v>171</v>
      </c>
      <c r="C47" s="38"/>
      <c r="D47" s="38"/>
      <c r="E47" s="38"/>
      <c r="F47" s="43"/>
      <c r="G47" s="38"/>
      <c r="H47" s="38"/>
      <c r="I47" s="83"/>
      <c r="J47" s="39">
        <f>SUM(J14:J45)</f>
        <v>409064.89318643126</v>
      </c>
      <c r="L47" s="11"/>
    </row>
    <row r="48" spans="2:12" x14ac:dyDescent="0.2">
      <c r="J48" s="47" t="s">
        <v>105</v>
      </c>
    </row>
  </sheetData>
  <protectedRanges>
    <protectedRange sqref="G27:G31 G39:G40 G44:G45" name="Alue2"/>
    <protectedRange sqref="G26" name="Alue3"/>
    <protectedRange sqref="H25" name="Alue5"/>
    <protectedRange sqref="F25" name="Alue3_1"/>
    <protectedRange sqref="H37 H43" name="Alue5_1"/>
    <protectedRange sqref="G38 F42:F43 F33:F37 G41" name="Alue3_2"/>
  </protectedRanges>
  <mergeCells count="1">
    <mergeCell ref="A3:J3"/>
  </mergeCells>
  <phoneticPr fontId="3" type="noConversion"/>
  <pageMargins left="0.75" right="0.75" top="1" bottom="1" header="0.4921259845" footer="0.4921259845"/>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V77"/>
  <sheetViews>
    <sheetView zoomScaleNormal="100" workbookViewId="0">
      <selection activeCell="H25" sqref="H25"/>
    </sheetView>
  </sheetViews>
  <sheetFormatPr defaultRowHeight="14.25" customHeight="1" x14ac:dyDescent="0.2"/>
  <cols>
    <col min="1" max="4" width="2.5703125" customWidth="1"/>
    <col min="5" max="5" width="14.42578125" customWidth="1"/>
    <col min="6" max="6" width="24.28515625" customWidth="1"/>
    <col min="7" max="7" width="10.7109375" customWidth="1"/>
    <col min="8" max="8" width="16.28515625" customWidth="1"/>
    <col min="9" max="9" width="14.42578125" customWidth="1"/>
    <col min="10" max="10" width="9.5703125" style="2" bestFit="1" customWidth="1"/>
    <col min="11" max="11" width="14.42578125" customWidth="1"/>
    <col min="12" max="12" width="21.42578125" customWidth="1"/>
    <col min="14" max="14" width="9.28515625" bestFit="1" customWidth="1"/>
    <col min="15" max="17" width="10" bestFit="1" customWidth="1"/>
    <col min="18" max="19" width="9.28515625" bestFit="1" customWidth="1"/>
    <col min="20" max="20" width="10" bestFit="1" customWidth="1"/>
    <col min="22" max="22" width="10" bestFit="1" customWidth="1"/>
  </cols>
  <sheetData>
    <row r="1" spans="1:12" ht="14.25" customHeight="1" x14ac:dyDescent="0.25">
      <c r="A1" s="36" t="str">
        <f>'2.Yhteenveto'!A1</f>
        <v>5.1.2024, Kuntaliitto / Olli Riikonen. Lähde: VM:n valtionosuuslaskelmat 8.12.2023 ja OKM:n vos-päätös 29.12.2023</v>
      </c>
      <c r="F1" s="3"/>
      <c r="G1" s="3"/>
      <c r="H1" s="12"/>
      <c r="I1" s="11"/>
    </row>
    <row r="2" spans="1:12" ht="14.25" customHeight="1" x14ac:dyDescent="0.2">
      <c r="F2" s="22"/>
      <c r="G2" s="22"/>
      <c r="H2" s="12"/>
      <c r="I2" s="11"/>
    </row>
    <row r="3" spans="1:12" ht="17.649999999999999" customHeight="1" x14ac:dyDescent="0.25">
      <c r="A3" s="499" t="s">
        <v>712</v>
      </c>
      <c r="B3" s="500"/>
      <c r="C3" s="500"/>
      <c r="D3" s="500"/>
      <c r="E3" s="500"/>
      <c r="F3" s="500"/>
      <c r="G3" s="500"/>
      <c r="H3" s="500"/>
      <c r="I3" s="501"/>
    </row>
    <row r="4" spans="1:12" ht="14.25" customHeight="1" x14ac:dyDescent="0.2">
      <c r="H4" s="12"/>
      <c r="I4" s="11"/>
    </row>
    <row r="5" spans="1:12" ht="14.25" customHeight="1" x14ac:dyDescent="0.2">
      <c r="B5" s="22" t="s">
        <v>91</v>
      </c>
      <c r="C5" s="371"/>
      <c r="D5" s="371"/>
      <c r="E5" s="411"/>
      <c r="F5" s="23" t="s">
        <v>92</v>
      </c>
      <c r="G5" s="23"/>
      <c r="I5" s="11"/>
    </row>
    <row r="6" spans="1:12" ht="14.25" customHeight="1" x14ac:dyDescent="0.2">
      <c r="B6" s="371"/>
      <c r="C6" s="371"/>
      <c r="D6" s="371"/>
      <c r="E6" s="76"/>
      <c r="F6" s="23" t="s">
        <v>93</v>
      </c>
      <c r="G6" s="23"/>
      <c r="I6" s="11"/>
    </row>
    <row r="7" spans="1:12" ht="14.25" customHeight="1" x14ac:dyDescent="0.2">
      <c r="H7" s="12"/>
      <c r="I7" s="11"/>
    </row>
    <row r="8" spans="1:12" ht="14.25" customHeight="1" x14ac:dyDescent="0.2">
      <c r="B8" s="412" t="s">
        <v>29</v>
      </c>
      <c r="F8" s="84" t="str">
        <f>'2.Yhteenveto'!G11</f>
        <v>Akaa</v>
      </c>
      <c r="I8" s="11"/>
    </row>
    <row r="9" spans="1:12" ht="14.25" customHeight="1" x14ac:dyDescent="0.2">
      <c r="B9" s="412" t="str">
        <f>'2.Yhteenveto'!B12</f>
        <v>Asukasluku 31.12.2022:</v>
      </c>
      <c r="F9" s="85">
        <f>'2.Yhteenveto'!H12</f>
        <v>16473</v>
      </c>
      <c r="I9" s="11"/>
    </row>
    <row r="10" spans="1:12" ht="14.25" customHeight="1" x14ac:dyDescent="0.2">
      <c r="H10" s="12"/>
      <c r="I10" s="11"/>
    </row>
    <row r="11" spans="1:12" ht="14.25" customHeight="1" x14ac:dyDescent="0.2">
      <c r="B11" s="1" t="s">
        <v>172</v>
      </c>
      <c r="H11" s="56" t="s">
        <v>49</v>
      </c>
      <c r="I11" s="49" t="s">
        <v>38</v>
      </c>
    </row>
    <row r="12" spans="1:12" ht="14.25" customHeight="1" x14ac:dyDescent="0.2">
      <c r="B12" s="1"/>
      <c r="H12" s="56"/>
      <c r="I12" s="49"/>
    </row>
    <row r="13" spans="1:12" ht="14.25" customHeight="1" x14ac:dyDescent="0.2">
      <c r="C13" s="371" t="s">
        <v>173</v>
      </c>
      <c r="H13" s="359">
        <v>-0.99</v>
      </c>
      <c r="I13" s="409">
        <f>$F$9*H13</f>
        <v>-16308.27</v>
      </c>
      <c r="K13" s="22"/>
    </row>
    <row r="14" spans="1:12" ht="14.25" customHeight="1" x14ac:dyDescent="0.2">
      <c r="H14" s="12"/>
      <c r="I14" s="409"/>
    </row>
    <row r="15" spans="1:12" ht="14.25" customHeight="1" x14ac:dyDescent="0.2">
      <c r="C15" s="371" t="s">
        <v>174</v>
      </c>
      <c r="H15" s="359">
        <v>-1.81</v>
      </c>
      <c r="I15" s="409">
        <f>$F$9*H15</f>
        <v>-29816.13</v>
      </c>
      <c r="J15" s="413"/>
    </row>
    <row r="16" spans="1:12" ht="14.25" customHeight="1" x14ac:dyDescent="0.25">
      <c r="H16" s="12"/>
      <c r="I16" s="409"/>
      <c r="L16" s="435"/>
    </row>
    <row r="17" spans="2:11" ht="14.25" customHeight="1" x14ac:dyDescent="0.2">
      <c r="C17" s="371" t="s">
        <v>175</v>
      </c>
      <c r="H17" s="359">
        <v>-0.99</v>
      </c>
      <c r="I17" s="409">
        <f>$F$9*H17</f>
        <v>-16308.27</v>
      </c>
      <c r="J17" s="413"/>
    </row>
    <row r="18" spans="2:11" ht="14.25" customHeight="1" x14ac:dyDescent="0.2">
      <c r="H18" s="30"/>
      <c r="I18" s="409"/>
    </row>
    <row r="19" spans="2:11" ht="14.25" customHeight="1" x14ac:dyDescent="0.2">
      <c r="C19" s="371" t="s">
        <v>176</v>
      </c>
      <c r="H19" s="359">
        <v>-0.01</v>
      </c>
      <c r="I19" s="409">
        <f>$F$9*H19</f>
        <v>-164.73</v>
      </c>
      <c r="J19" s="371"/>
    </row>
    <row r="20" spans="2:11" ht="14.25" customHeight="1" x14ac:dyDescent="0.2">
      <c r="H20" s="12"/>
      <c r="I20" s="409"/>
      <c r="J20"/>
    </row>
    <row r="21" spans="2:11" ht="14.25" customHeight="1" x14ac:dyDescent="0.2">
      <c r="C21" s="371" t="s">
        <v>177</v>
      </c>
      <c r="H21" s="359">
        <v>-22.5</v>
      </c>
      <c r="I21" s="409">
        <f>$F$9*H21</f>
        <v>-370642.5</v>
      </c>
      <c r="K21" s="371"/>
    </row>
    <row r="22" spans="2:11" ht="14.25" customHeight="1" x14ac:dyDescent="0.2">
      <c r="C22" s="371"/>
      <c r="H22" s="12"/>
      <c r="I22" s="409"/>
      <c r="K22" s="371"/>
    </row>
    <row r="23" spans="2:11" ht="14.25" customHeight="1" x14ac:dyDescent="0.2">
      <c r="C23" s="371" t="s">
        <v>178</v>
      </c>
      <c r="H23" s="12"/>
      <c r="I23" s="330">
        <f>(INDEX(vl_1,MATCH($F$8,kunta,0),1,1))</f>
        <v>-809306.14</v>
      </c>
    </row>
    <row r="24" spans="2:11" ht="14.25" customHeight="1" x14ac:dyDescent="0.2">
      <c r="H24" s="12"/>
      <c r="I24" s="11"/>
    </row>
    <row r="25" spans="2:11" ht="14.25" customHeight="1" x14ac:dyDescent="0.2">
      <c r="B25" s="40" t="s">
        <v>179</v>
      </c>
      <c r="C25" s="41"/>
      <c r="D25" s="41"/>
      <c r="E25" s="41"/>
      <c r="F25" s="41"/>
      <c r="G25" s="41"/>
      <c r="H25" s="54">
        <f>SUM(H13:H24)</f>
        <v>-26.3</v>
      </c>
      <c r="I25" s="42">
        <f>SUM(I13:I24)</f>
        <v>-1242546.04</v>
      </c>
    </row>
    <row r="26" spans="2:11" ht="14.25" customHeight="1" x14ac:dyDescent="0.2">
      <c r="H26" s="12"/>
      <c r="I26" s="11"/>
    </row>
    <row r="27" spans="2:11" ht="14.25" customHeight="1" x14ac:dyDescent="0.2">
      <c r="H27" s="12"/>
      <c r="I27" s="11"/>
    </row>
    <row r="28" spans="2:11" ht="14.25" customHeight="1" x14ac:dyDescent="0.2">
      <c r="B28" s="1" t="s">
        <v>180</v>
      </c>
      <c r="H28" s="56" t="s">
        <v>49</v>
      </c>
      <c r="I28" s="49" t="s">
        <v>38</v>
      </c>
    </row>
    <row r="29" spans="2:11" ht="14.25" customHeight="1" x14ac:dyDescent="0.2">
      <c r="B29" s="1"/>
      <c r="H29" s="56"/>
      <c r="I29" s="49"/>
    </row>
    <row r="30" spans="2:11" ht="14.25" customHeight="1" x14ac:dyDescent="0.2">
      <c r="B30" s="1"/>
      <c r="C30" s="371" t="s">
        <v>53</v>
      </c>
      <c r="H30" s="12"/>
      <c r="I30" s="330">
        <f>(INDEX(sote_1,MATCH($F$8,kunta,0),1,1))</f>
        <v>-2787357.7915534563</v>
      </c>
    </row>
    <row r="31" spans="2:11" ht="14.25" customHeight="1" x14ac:dyDescent="0.2">
      <c r="B31" s="1"/>
      <c r="C31" s="371" t="s">
        <v>181</v>
      </c>
      <c r="H31" s="12"/>
      <c r="I31" s="330">
        <f>(INDEX(sote_2,MATCH($F$8,kunta,0),1,1))</f>
        <v>-2346290.6684623654</v>
      </c>
    </row>
    <row r="32" spans="2:11" ht="14.25" customHeight="1" x14ac:dyDescent="0.2">
      <c r="B32" s="1"/>
      <c r="C32" s="430" t="s">
        <v>55</v>
      </c>
      <c r="D32" s="371"/>
      <c r="H32" s="12"/>
      <c r="I32" s="330">
        <f>(INDEX(sote_3,MATCH($F$8,kunta,0),1,1))</f>
        <v>-1490311.5726760752</v>
      </c>
    </row>
    <row r="33" spans="1:9" ht="14.25" customHeight="1" x14ac:dyDescent="0.2">
      <c r="C33" s="430" t="s">
        <v>733</v>
      </c>
      <c r="D33" s="371"/>
      <c r="H33" s="12"/>
      <c r="I33" s="330">
        <f>(INDEX(sote_4,MATCH($F$8,kunta,0),1,1))</f>
        <v>571564.5714886717</v>
      </c>
    </row>
    <row r="34" spans="1:9" ht="14.25" customHeight="1" x14ac:dyDescent="0.2">
      <c r="B34" s="40" t="s">
        <v>182</v>
      </c>
      <c r="C34" s="41"/>
      <c r="D34" s="41"/>
      <c r="E34" s="41"/>
      <c r="F34" s="41"/>
      <c r="G34" s="41"/>
      <c r="H34" s="54"/>
      <c r="I34" s="395">
        <f>SUM(I30:I33)</f>
        <v>-6052395.4612032259</v>
      </c>
    </row>
    <row r="35" spans="1:9" ht="14.25" customHeight="1" x14ac:dyDescent="0.2">
      <c r="H35" s="12"/>
      <c r="I35" s="11"/>
    </row>
    <row r="36" spans="1:9" ht="14.25" customHeight="1" x14ac:dyDescent="0.2">
      <c r="A36" s="37" t="s">
        <v>183</v>
      </c>
      <c r="B36" s="38"/>
      <c r="C36" s="38"/>
      <c r="D36" s="38"/>
      <c r="E36" s="38"/>
      <c r="F36" s="38"/>
      <c r="G36" s="38"/>
      <c r="H36" s="55"/>
      <c r="I36" s="39">
        <f>I25+I34</f>
        <v>-7294941.5012032259</v>
      </c>
    </row>
    <row r="37" spans="1:9" ht="14.25" customHeight="1" x14ac:dyDescent="0.2">
      <c r="I37" s="47" t="s">
        <v>105</v>
      </c>
    </row>
    <row r="40" spans="1:9" ht="14.25" customHeight="1" x14ac:dyDescent="0.2">
      <c r="A40" s="1" t="s">
        <v>184</v>
      </c>
    </row>
    <row r="41" spans="1:9" ht="14.25" customHeight="1" x14ac:dyDescent="0.2">
      <c r="H41" s="12"/>
    </row>
    <row r="42" spans="1:9" ht="14.25" hidden="1" customHeight="1" x14ac:dyDescent="0.2">
      <c r="C42" s="371" t="s">
        <v>185</v>
      </c>
      <c r="H42" s="330">
        <f>(INDEX(vl_9,MATCH($F$8,kunta,0),1,1))*0.3</f>
        <v>400283.7</v>
      </c>
    </row>
    <row r="43" spans="1:9" ht="14.25" hidden="1" customHeight="1" x14ac:dyDescent="0.2">
      <c r="H43" s="11"/>
    </row>
    <row r="44" spans="1:9" ht="14.25" hidden="1" customHeight="1" x14ac:dyDescent="0.2">
      <c r="C44" s="371" t="s">
        <v>186</v>
      </c>
      <c r="H44" s="330">
        <f>(INDEX(vl_10,MATCH($F$8,kunta,0),1,1))*0.3</f>
        <v>123162.9</v>
      </c>
    </row>
    <row r="45" spans="1:9" ht="14.25" hidden="1" customHeight="1" x14ac:dyDescent="0.2">
      <c r="H45" s="11"/>
    </row>
    <row r="46" spans="1:9" ht="14.25" hidden="1" customHeight="1" x14ac:dyDescent="0.2">
      <c r="C46" s="371" t="s">
        <v>187</v>
      </c>
      <c r="H46" s="330">
        <f>(INDEX(vl_11,MATCH($F$8,kunta,0),1,1))*0.3</f>
        <v>269218.48274478747</v>
      </c>
    </row>
    <row r="47" spans="1:9" ht="14.25" hidden="1" customHeight="1" x14ac:dyDescent="0.2">
      <c r="H47" s="11"/>
    </row>
    <row r="48" spans="1:9" ht="14.25" hidden="1" customHeight="1" x14ac:dyDescent="0.2">
      <c r="C48" s="371" t="s">
        <v>188</v>
      </c>
      <c r="H48" s="330">
        <f>(INDEX(vl_12,MATCH($F$8,kunta,0),1,1))*0.3</f>
        <v>8228.6063684951059</v>
      </c>
    </row>
    <row r="49" spans="3:11" ht="14.25" hidden="1" customHeight="1" x14ac:dyDescent="0.2">
      <c r="H49" s="11"/>
    </row>
    <row r="50" spans="3:11" ht="14.25" hidden="1" customHeight="1" x14ac:dyDescent="0.2">
      <c r="C50" s="371" t="s">
        <v>189</v>
      </c>
      <c r="H50" s="330">
        <f>(INDEX(vl_13,MATCH($F$8,kunta,0),1,1))*0.3</f>
        <v>37784.501939051901</v>
      </c>
    </row>
    <row r="51" spans="3:11" ht="14.25" hidden="1" customHeight="1" x14ac:dyDescent="0.2">
      <c r="H51" s="11"/>
    </row>
    <row r="52" spans="3:11" ht="14.25" hidden="1" customHeight="1" x14ac:dyDescent="0.2">
      <c r="C52" s="371" t="s">
        <v>190</v>
      </c>
      <c r="H52" s="330">
        <f>(INDEX(vl_14,MATCH($F$8,kunta,0),1,1))*0.3</f>
        <v>124057.86701494157</v>
      </c>
    </row>
    <row r="53" spans="3:11" ht="14.25" hidden="1" customHeight="1" x14ac:dyDescent="0.2">
      <c r="C53" s="371"/>
    </row>
    <row r="54" spans="3:11" ht="14.25" hidden="1" customHeight="1" x14ac:dyDescent="0.2">
      <c r="C54" s="371" t="s">
        <v>191</v>
      </c>
      <c r="H54" s="330">
        <f>(INDEX(vl_19,MATCH($F$8,kunta,0),1,1))*0.3</f>
        <v>250133.10468227489</v>
      </c>
    </row>
    <row r="55" spans="3:11" ht="14.25" hidden="1" customHeight="1" x14ac:dyDescent="0.2">
      <c r="C55" s="371"/>
    </row>
    <row r="56" spans="3:11" ht="14.25" hidden="1" customHeight="1" x14ac:dyDescent="0.2">
      <c r="C56" s="371" t="s">
        <v>192</v>
      </c>
      <c r="H56" s="330">
        <f>(INDEX(vl_22,MATCH($F$8,kunta,0),1,1))*0.3</f>
        <v>404003.86593503691</v>
      </c>
    </row>
    <row r="57" spans="3:11" ht="14.25" hidden="1" customHeight="1" x14ac:dyDescent="0.2">
      <c r="C57" s="371"/>
    </row>
    <row r="58" spans="3:11" ht="14.25" hidden="1" customHeight="1" x14ac:dyDescent="0.2">
      <c r="C58" s="371" t="s">
        <v>193</v>
      </c>
      <c r="H58" s="330">
        <f>(INDEX(vl_23,MATCH($F$8,kunta,0),1,1))*0.3</f>
        <v>106767.67417128831</v>
      </c>
    </row>
    <row r="59" spans="3:11" ht="14.25" hidden="1" customHeight="1" x14ac:dyDescent="0.2">
      <c r="C59" s="371"/>
    </row>
    <row r="60" spans="3:11" ht="14.25" hidden="1" customHeight="1" x14ac:dyDescent="0.2">
      <c r="C60" s="371" t="s">
        <v>194</v>
      </c>
      <c r="H60" s="330">
        <f>(INDEX(vl_24,MATCH($F$8,kunta,0),1,1))*0.3</f>
        <v>209124.46724270171</v>
      </c>
    </row>
    <row r="61" spans="3:11" ht="14.25" hidden="1" customHeight="1" x14ac:dyDescent="0.2"/>
    <row r="62" spans="3:11" ht="14.25" hidden="1" customHeight="1" x14ac:dyDescent="0.2">
      <c r="C62" s="371" t="s">
        <v>195</v>
      </c>
      <c r="H62" s="330">
        <f>(INDEX(vl_26,MATCH($F$8,kunta,0),1,1))*0.3</f>
        <v>264379.17077709531</v>
      </c>
    </row>
    <row r="63" spans="3:11" ht="14.25" hidden="1" customHeight="1" x14ac:dyDescent="0.2"/>
    <row r="64" spans="3:11" ht="14.25" hidden="1" customHeight="1" x14ac:dyDescent="0.2">
      <c r="C64" s="371" t="s">
        <v>196</v>
      </c>
      <c r="H64" s="330">
        <f>(INDEX(vl_27,MATCH($F$8,kunta,0),1,1))*0.3</f>
        <v>165759.55459647183</v>
      </c>
      <c r="K64" s="82"/>
    </row>
    <row r="65" spans="1:22" ht="14.25" hidden="1" customHeight="1" x14ac:dyDescent="0.2">
      <c r="C65" s="371"/>
    </row>
    <row r="66" spans="1:22" ht="14.25" hidden="1" customHeight="1" x14ac:dyDescent="0.2">
      <c r="C66" s="371" t="s">
        <v>197</v>
      </c>
      <c r="H66" s="330">
        <f>(INDEX(vl_28,MATCH($F$8,kunta,0),1,1))*0.3</f>
        <v>159157.53087737496</v>
      </c>
    </row>
    <row r="67" spans="1:22" ht="14.25" customHeight="1" x14ac:dyDescent="0.2">
      <c r="C67" s="371"/>
      <c r="I67" s="260"/>
    </row>
    <row r="68" spans="1:22" ht="14.25" customHeight="1" x14ac:dyDescent="0.2">
      <c r="C68" s="371" t="s">
        <v>198</v>
      </c>
      <c r="I68" s="330">
        <f>INDEX(vl_29,MATCH($F$8,kunta,0),1,1)</f>
        <v>2687797.7412677575</v>
      </c>
    </row>
    <row r="70" spans="1:22" ht="14.25" customHeight="1" x14ac:dyDescent="0.2">
      <c r="A70" s="37" t="s">
        <v>199</v>
      </c>
      <c r="B70" s="38"/>
      <c r="C70" s="38"/>
      <c r="D70" s="38"/>
      <c r="E70" s="38"/>
      <c r="F70" s="38"/>
      <c r="G70" s="38"/>
      <c r="H70" s="55"/>
      <c r="I70" s="39">
        <f>SUM(I41:I66)+I68</f>
        <v>2687797.7412677575</v>
      </c>
    </row>
    <row r="72" spans="1:22" ht="14.25" customHeight="1" x14ac:dyDescent="0.2">
      <c r="I72" s="2"/>
    </row>
    <row r="77" spans="1:22" ht="14.25" customHeight="1" x14ac:dyDescent="0.2">
      <c r="E77" s="87"/>
      <c r="F77" s="87"/>
      <c r="G77" s="87"/>
      <c r="H77" s="87"/>
      <c r="I77" s="87"/>
      <c r="J77" s="340"/>
      <c r="K77" s="87"/>
      <c r="L77" s="87"/>
      <c r="M77" s="87"/>
      <c r="N77" s="87"/>
      <c r="O77" s="87"/>
      <c r="P77" s="87"/>
      <c r="Q77" s="87"/>
      <c r="R77" s="87"/>
      <c r="S77" s="87"/>
      <c r="T77" s="87"/>
      <c r="U77" s="87"/>
      <c r="V77" s="87"/>
    </row>
  </sheetData>
  <protectedRanges>
    <protectedRange sqref="H17:H18 H21:H23 H30:H32" name="Alue1"/>
    <protectedRange sqref="I41:I60 I64:I68 I23 H62:I62 H42:H60 H64:H66 I30:I34" name="Alue2"/>
    <protectedRange sqref="H19 H15" name="Alue1_2"/>
  </protectedRanges>
  <mergeCells count="1">
    <mergeCell ref="A3:I3"/>
  </mergeCells>
  <phoneticPr fontId="3" type="noConversion"/>
  <pageMargins left="0.75" right="0.75" top="1" bottom="1" header="0.4921259845" footer="0.4921259845"/>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AK312"/>
  <sheetViews>
    <sheetView workbookViewId="0">
      <selection activeCell="Q25" sqref="Q25"/>
    </sheetView>
  </sheetViews>
  <sheetFormatPr defaultRowHeight="12.75" x14ac:dyDescent="0.2"/>
  <cols>
    <col min="1" max="1" width="3.85546875" bestFit="1" customWidth="1"/>
    <col min="2" max="2" width="23" customWidth="1"/>
    <col min="3" max="3" width="8.5703125" customWidth="1"/>
    <col min="4" max="4" width="14.28515625" customWidth="1"/>
    <col min="5" max="6" width="12.28515625" customWidth="1"/>
    <col min="7" max="7" width="13.28515625" customWidth="1"/>
    <col min="8" max="8" width="8.42578125" style="2" customWidth="1"/>
    <col min="9" max="9" width="8.42578125" customWidth="1"/>
    <col min="10" max="10" width="9" customWidth="1"/>
    <col min="11" max="11" width="8.5703125" customWidth="1"/>
    <col min="12" max="12" width="6.7109375" style="1" customWidth="1"/>
    <col min="13" max="13" width="12.28515625" style="1" bestFit="1" customWidth="1"/>
    <col min="14" max="14" width="12.28515625" style="1" customWidth="1"/>
    <col min="15" max="15" width="8.28515625" customWidth="1"/>
    <col min="16" max="18" width="9.5703125" customWidth="1"/>
    <col min="21" max="21" width="11.7109375" bestFit="1" customWidth="1"/>
    <col min="25" max="25" width="10.42578125" customWidth="1"/>
    <col min="27" max="27" width="16.140625" bestFit="1" customWidth="1"/>
    <col min="28" max="28" width="20.7109375" bestFit="1" customWidth="1"/>
    <col min="29" max="29" width="13" customWidth="1"/>
    <col min="31" max="31" width="11.28515625" bestFit="1" customWidth="1"/>
  </cols>
  <sheetData>
    <row r="1" spans="2:32" ht="13.5" customHeight="1" x14ac:dyDescent="0.2">
      <c r="B1" s="201"/>
    </row>
    <row r="2" spans="2:32" ht="18.75" customHeight="1" x14ac:dyDescent="0.25">
      <c r="B2" s="202"/>
      <c r="C2" s="202"/>
      <c r="D2" s="202"/>
      <c r="E2" s="202"/>
      <c r="F2" s="202"/>
      <c r="G2" s="202"/>
      <c r="H2" s="203"/>
      <c r="I2" s="202"/>
      <c r="J2" s="202"/>
      <c r="K2" s="202"/>
      <c r="L2" s="204"/>
      <c r="M2" s="205"/>
      <c r="N2" s="205"/>
    </row>
    <row r="3" spans="2:32" ht="14.25" customHeight="1" x14ac:dyDescent="0.2">
      <c r="B3" s="409"/>
      <c r="M3" s="205"/>
      <c r="N3" s="205"/>
    </row>
    <row r="4" spans="2:32" ht="15" customHeight="1" x14ac:dyDescent="0.2">
      <c r="B4" s="206"/>
      <c r="M4" s="207"/>
      <c r="N4" s="207"/>
      <c r="AC4" s="207"/>
    </row>
    <row r="5" spans="2:32" ht="15" customHeight="1" x14ac:dyDescent="0.2">
      <c r="B5" s="206"/>
      <c r="L5" s="261"/>
    </row>
    <row r="6" spans="2:32" ht="14.25" customHeight="1" x14ac:dyDescent="0.2">
      <c r="B6" s="208"/>
    </row>
    <row r="7" spans="2:32" ht="14.25" customHeight="1" x14ac:dyDescent="0.2">
      <c r="B7" s="262"/>
      <c r="AA7" s="254"/>
      <c r="AB7" s="254"/>
      <c r="AC7" s="254"/>
    </row>
    <row r="8" spans="2:32" ht="10.5" customHeight="1" x14ac:dyDescent="0.2"/>
    <row r="9" spans="2:32" ht="17.25" customHeight="1" x14ac:dyDescent="0.25">
      <c r="B9" s="210"/>
      <c r="C9" s="211"/>
      <c r="D9" s="211"/>
      <c r="E9" s="211"/>
      <c r="F9" s="211"/>
      <c r="G9" s="210"/>
      <c r="H9" s="211"/>
      <c r="I9" s="211"/>
      <c r="J9" s="263"/>
      <c r="K9" s="263"/>
      <c r="L9" s="212"/>
      <c r="M9" s="212"/>
      <c r="N9" s="212"/>
      <c r="O9" s="264"/>
      <c r="P9" s="265"/>
      <c r="Q9" s="222"/>
      <c r="R9" s="266"/>
      <c r="S9" s="88"/>
      <c r="U9" s="371"/>
      <c r="Y9" s="213"/>
      <c r="Z9" s="227"/>
      <c r="AA9" s="223"/>
      <c r="AB9" s="213"/>
      <c r="AC9" s="213"/>
    </row>
    <row r="10" spans="2:32" ht="13.5" customHeight="1" x14ac:dyDescent="0.25">
      <c r="B10" s="210"/>
      <c r="C10" s="211"/>
      <c r="D10" s="211"/>
      <c r="E10" s="211"/>
      <c r="F10" s="211"/>
      <c r="G10" s="214"/>
      <c r="H10" s="215"/>
      <c r="I10" s="211"/>
      <c r="J10" s="263"/>
      <c r="K10" s="263"/>
      <c r="L10" s="216"/>
      <c r="M10" s="216"/>
      <c r="N10" s="212"/>
      <c r="O10" s="217"/>
      <c r="P10" s="218"/>
      <c r="Q10" s="222"/>
      <c r="R10" s="266"/>
      <c r="S10" s="88"/>
      <c r="U10" s="371"/>
      <c r="Y10" s="213"/>
      <c r="Z10" s="267"/>
      <c r="AA10" s="249"/>
      <c r="AB10" s="250"/>
      <c r="AC10" s="250"/>
      <c r="AD10" s="207"/>
      <c r="AE10" s="268"/>
      <c r="AF10" s="268"/>
    </row>
    <row r="11" spans="2:32" ht="13.5" customHeight="1" x14ac:dyDescent="0.25">
      <c r="B11" s="210"/>
      <c r="C11" s="219"/>
      <c r="D11" s="219"/>
      <c r="E11" s="219"/>
      <c r="F11" s="211"/>
      <c r="G11" s="210"/>
      <c r="H11" s="211"/>
      <c r="I11" s="211"/>
      <c r="J11" s="263"/>
      <c r="K11" s="269"/>
      <c r="L11" s="220"/>
      <c r="M11" s="220"/>
      <c r="N11" s="220"/>
      <c r="O11" s="221"/>
      <c r="P11" s="221"/>
      <c r="Q11" s="222"/>
      <c r="R11" s="266"/>
      <c r="S11" s="88"/>
      <c r="Y11" s="223"/>
      <c r="Z11" s="270"/>
      <c r="AA11" s="209"/>
      <c r="AB11" s="209"/>
      <c r="AC11" s="209"/>
      <c r="AE11" s="271"/>
    </row>
    <row r="12" spans="2:32" ht="13.5" customHeight="1" x14ac:dyDescent="0.25">
      <c r="B12" s="210"/>
      <c r="C12" s="219"/>
      <c r="D12" s="219"/>
      <c r="E12" s="219"/>
      <c r="F12" s="219"/>
      <c r="G12" s="211"/>
      <c r="H12" s="211"/>
      <c r="I12" s="211"/>
      <c r="J12" s="263"/>
      <c r="K12" s="269"/>
      <c r="L12" s="220"/>
      <c r="M12" s="212"/>
      <c r="N12" s="212"/>
      <c r="O12" s="221"/>
      <c r="P12" s="221"/>
      <c r="Q12" s="88"/>
      <c r="R12" s="266"/>
      <c r="Y12" s="209"/>
      <c r="Z12" s="224"/>
      <c r="AA12" s="226"/>
      <c r="AB12" s="226"/>
      <c r="AC12" s="226"/>
    </row>
    <row r="13" spans="2:32" ht="13.5" customHeight="1" x14ac:dyDescent="0.25">
      <c r="B13" s="210"/>
      <c r="C13" s="211"/>
      <c r="D13" s="211"/>
      <c r="E13" s="211"/>
      <c r="F13" s="219"/>
      <c r="G13" s="211"/>
      <c r="H13" s="211"/>
      <c r="I13" s="211"/>
      <c r="J13" s="263"/>
      <c r="K13" s="211"/>
      <c r="L13" s="220"/>
      <c r="M13" s="212"/>
      <c r="N13" s="212"/>
      <c r="O13" s="221"/>
      <c r="P13" s="221"/>
      <c r="Q13" s="225"/>
      <c r="Y13" s="226"/>
      <c r="Z13" s="227"/>
      <c r="AA13" s="235"/>
      <c r="AB13" s="235"/>
      <c r="AC13" s="235"/>
    </row>
    <row r="14" spans="2:32" ht="9.75" customHeight="1" x14ac:dyDescent="0.25">
      <c r="B14" s="221"/>
      <c r="C14" s="228"/>
      <c r="D14" s="229"/>
      <c r="E14" s="229"/>
      <c r="F14" s="229"/>
      <c r="G14" s="230"/>
      <c r="H14" s="231"/>
      <c r="I14" s="232"/>
      <c r="J14" s="232"/>
      <c r="K14" s="232"/>
      <c r="L14" s="233"/>
      <c r="M14" s="234"/>
      <c r="N14" s="234"/>
      <c r="O14" s="221"/>
      <c r="P14" s="221"/>
      <c r="Q14" s="221"/>
      <c r="R14" s="221"/>
      <c r="Y14" s="226"/>
      <c r="Z14" s="236"/>
      <c r="AA14" s="272"/>
      <c r="AB14" s="272"/>
      <c r="AC14" s="273"/>
    </row>
    <row r="15" spans="2:32" s="238" customFormat="1" ht="15" customHeight="1" x14ac:dyDescent="0.25">
      <c r="B15" s="274"/>
      <c r="C15" s="275"/>
      <c r="D15" s="275"/>
      <c r="E15" s="275"/>
      <c r="F15" s="275"/>
      <c r="G15" s="275"/>
      <c r="H15" s="276"/>
      <c r="I15" s="277"/>
      <c r="J15" s="277"/>
      <c r="K15" s="277"/>
      <c r="L15" s="278"/>
      <c r="M15" s="275"/>
      <c r="N15" s="275"/>
      <c r="O15" s="279"/>
      <c r="P15" s="274"/>
      <c r="Q15" s="237"/>
      <c r="R15" s="237"/>
      <c r="Y15" s="239"/>
      <c r="Z15" s="280"/>
      <c r="AA15" s="281"/>
      <c r="AB15" s="281"/>
      <c r="AC15" s="281"/>
    </row>
    <row r="16" spans="2:32" s="241" customFormat="1" ht="15" customHeight="1" x14ac:dyDescent="0.25">
      <c r="B16" s="282"/>
      <c r="C16" s="283"/>
      <c r="D16" s="284"/>
      <c r="E16" s="284"/>
      <c r="F16" s="284"/>
      <c r="G16" s="284"/>
      <c r="H16" s="285"/>
      <c r="I16" s="286"/>
      <c r="J16" s="286"/>
      <c r="K16" s="286"/>
      <c r="L16" s="287"/>
      <c r="M16" s="288"/>
      <c r="N16" s="288"/>
      <c r="O16" s="289"/>
      <c r="P16" s="282"/>
      <c r="Q16" s="240"/>
      <c r="R16" s="240"/>
      <c r="Y16" s="242"/>
      <c r="Z16" s="290"/>
      <c r="AA16" s="291"/>
      <c r="AB16" s="291"/>
      <c r="AC16" s="291"/>
    </row>
    <row r="17" spans="2:37" ht="15" customHeight="1" x14ac:dyDescent="0.25">
      <c r="B17" s="292"/>
      <c r="C17" s="293"/>
      <c r="E17" s="293"/>
      <c r="F17" s="293"/>
      <c r="G17" s="293"/>
      <c r="H17" s="294"/>
      <c r="I17" s="295"/>
      <c r="J17" s="295"/>
      <c r="K17" s="295"/>
      <c r="L17" s="296"/>
      <c r="M17" s="296"/>
      <c r="N17" s="296"/>
      <c r="O17" s="297"/>
      <c r="P17" s="298"/>
      <c r="Q17" s="243"/>
      <c r="R17" s="243"/>
      <c r="Y17" s="226"/>
      <c r="Z17" s="299"/>
      <c r="AA17" s="300"/>
      <c r="AB17" s="300"/>
      <c r="AC17" s="300"/>
    </row>
    <row r="18" spans="2:37" ht="13.5" x14ac:dyDescent="0.25">
      <c r="B18" s="301"/>
      <c r="C18" s="302"/>
      <c r="D18" s="302"/>
      <c r="E18" s="302"/>
      <c r="F18" s="302"/>
      <c r="G18" s="302"/>
      <c r="H18" s="303"/>
      <c r="I18" s="304"/>
      <c r="J18" s="304"/>
      <c r="K18" s="304"/>
      <c r="L18" s="305"/>
      <c r="M18" s="305"/>
      <c r="N18" s="305"/>
      <c r="O18" s="306"/>
      <c r="P18" s="307"/>
      <c r="Q18" s="243"/>
      <c r="R18" s="308"/>
      <c r="Y18" s="226"/>
      <c r="Z18" s="244"/>
      <c r="AA18" s="226"/>
      <c r="AB18" s="226"/>
      <c r="AC18" s="235"/>
    </row>
    <row r="19" spans="2:37" ht="15" customHeight="1" x14ac:dyDescent="0.25">
      <c r="B19" s="309"/>
      <c r="C19" s="245"/>
      <c r="D19" s="310"/>
      <c r="E19" s="310"/>
      <c r="F19" s="310"/>
      <c r="G19" s="310"/>
      <c r="H19" s="228"/>
      <c r="I19" s="304"/>
      <c r="J19" s="261"/>
      <c r="K19" s="261"/>
      <c r="L19" s="305"/>
      <c r="M19" s="311"/>
      <c r="N19" s="311"/>
      <c r="O19" s="312"/>
      <c r="P19" s="265"/>
      <c r="Q19" s="313"/>
      <c r="R19" s="314"/>
      <c r="Y19" s="315"/>
      <c r="Z19" s="246"/>
      <c r="AA19" s="235"/>
      <c r="AB19" s="247"/>
      <c r="AC19" s="235"/>
      <c r="AE19" s="235"/>
      <c r="AF19" s="316"/>
      <c r="AJ19" s="317"/>
      <c r="AK19" s="11"/>
    </row>
    <row r="20" spans="2:37" ht="15" customHeight="1" x14ac:dyDescent="0.25">
      <c r="B20" s="298"/>
      <c r="C20" s="245"/>
      <c r="D20" s="310"/>
      <c r="E20" s="310"/>
      <c r="F20" s="310"/>
      <c r="G20" s="310"/>
      <c r="H20" s="228"/>
      <c r="I20" s="304"/>
      <c r="J20" s="261"/>
      <c r="K20" s="261"/>
      <c r="L20" s="305"/>
      <c r="M20" s="311"/>
      <c r="N20" s="311"/>
      <c r="O20" s="221"/>
      <c r="P20" s="265"/>
      <c r="Q20" s="313"/>
      <c r="R20" s="314"/>
      <c r="Y20" s="315"/>
      <c r="Z20" s="246"/>
      <c r="AA20" s="235"/>
      <c r="AB20" s="247"/>
      <c r="AC20" s="235"/>
      <c r="AE20" s="235"/>
      <c r="AF20" s="316"/>
      <c r="AJ20" s="317"/>
      <c r="AK20" s="11"/>
    </row>
    <row r="21" spans="2:37" ht="15" customHeight="1" x14ac:dyDescent="0.25">
      <c r="B21" s="298"/>
      <c r="C21" s="245"/>
      <c r="D21" s="310"/>
      <c r="E21" s="310"/>
      <c r="F21" s="310"/>
      <c r="G21" s="310"/>
      <c r="H21" s="228"/>
      <c r="I21" s="304"/>
      <c r="J21" s="261"/>
      <c r="K21" s="261"/>
      <c r="L21" s="305"/>
      <c r="M21" s="311"/>
      <c r="N21" s="311"/>
      <c r="O21" s="221"/>
      <c r="P21" s="265"/>
      <c r="Q21" s="313"/>
      <c r="R21" s="314"/>
      <c r="Y21" s="315"/>
      <c r="Z21" s="246"/>
      <c r="AA21" s="235"/>
      <c r="AB21" s="247"/>
      <c r="AC21" s="235"/>
      <c r="AE21" s="235"/>
      <c r="AF21" s="316"/>
      <c r="AJ21" s="317"/>
      <c r="AK21" s="11"/>
    </row>
    <row r="22" spans="2:37" ht="15" customHeight="1" x14ac:dyDescent="0.25">
      <c r="B22" s="298"/>
      <c r="C22" s="245"/>
      <c r="D22" s="310"/>
      <c r="E22" s="310"/>
      <c r="F22" s="310"/>
      <c r="G22" s="310"/>
      <c r="H22" s="228"/>
      <c r="I22" s="304"/>
      <c r="J22" s="261"/>
      <c r="K22" s="261"/>
      <c r="L22" s="305"/>
      <c r="M22" s="311"/>
      <c r="N22" s="311"/>
      <c r="O22" s="221"/>
      <c r="P22" s="265"/>
      <c r="Q22" s="313"/>
      <c r="R22" s="314"/>
      <c r="Y22" s="315"/>
      <c r="Z22" s="246"/>
      <c r="AA22" s="235"/>
      <c r="AB22" s="247"/>
      <c r="AC22" s="235"/>
      <c r="AE22" s="235"/>
      <c r="AF22" s="316"/>
      <c r="AJ22" s="317"/>
      <c r="AK22" s="11"/>
    </row>
    <row r="23" spans="2:37" ht="15" customHeight="1" x14ac:dyDescent="0.25">
      <c r="B23" s="298"/>
      <c r="C23" s="245"/>
      <c r="D23" s="310"/>
      <c r="E23" s="310"/>
      <c r="F23" s="310"/>
      <c r="G23" s="310"/>
      <c r="H23" s="228"/>
      <c r="I23" s="304"/>
      <c r="J23" s="261"/>
      <c r="K23" s="261"/>
      <c r="L23" s="305"/>
      <c r="M23" s="311"/>
      <c r="N23" s="311"/>
      <c r="O23" s="221"/>
      <c r="P23" s="265"/>
      <c r="Q23" s="313"/>
      <c r="R23" s="314"/>
      <c r="Y23" s="315"/>
      <c r="Z23" s="246"/>
      <c r="AA23" s="235"/>
      <c r="AB23" s="247"/>
      <c r="AC23" s="235"/>
      <c r="AE23" s="235"/>
      <c r="AF23" s="316"/>
      <c r="AJ23" s="317"/>
      <c r="AK23" s="11"/>
    </row>
    <row r="24" spans="2:37" ht="15" customHeight="1" x14ac:dyDescent="0.25">
      <c r="B24" s="298"/>
      <c r="C24" s="245"/>
      <c r="D24" s="310"/>
      <c r="E24" s="310"/>
      <c r="F24" s="310"/>
      <c r="G24" s="310"/>
      <c r="H24" s="228"/>
      <c r="I24" s="304"/>
      <c r="J24" s="261"/>
      <c r="K24" s="261"/>
      <c r="L24" s="305"/>
      <c r="M24" s="311"/>
      <c r="N24" s="311"/>
      <c r="O24" s="221"/>
      <c r="P24" s="265"/>
      <c r="Q24" s="313"/>
      <c r="R24" s="314"/>
      <c r="Y24" s="315"/>
      <c r="Z24" s="246"/>
      <c r="AA24" s="235"/>
      <c r="AB24" s="247"/>
      <c r="AC24" s="235"/>
      <c r="AE24" s="235"/>
      <c r="AF24" s="316"/>
      <c r="AJ24" s="317"/>
      <c r="AK24" s="11"/>
    </row>
    <row r="25" spans="2:37" ht="15" customHeight="1" x14ac:dyDescent="0.25">
      <c r="B25" s="298"/>
      <c r="C25" s="245"/>
      <c r="D25" s="310"/>
      <c r="E25" s="310"/>
      <c r="F25" s="310"/>
      <c r="G25" s="310"/>
      <c r="H25" s="228"/>
      <c r="I25" s="304"/>
      <c r="J25" s="261"/>
      <c r="K25" s="261"/>
      <c r="L25" s="305"/>
      <c r="M25" s="311"/>
      <c r="N25" s="311"/>
      <c r="O25" s="221"/>
      <c r="P25" s="265"/>
      <c r="Q25" s="313"/>
      <c r="R25" s="314"/>
      <c r="Y25" s="315"/>
      <c r="Z25" s="246"/>
      <c r="AA25" s="235"/>
      <c r="AB25" s="247"/>
      <c r="AC25" s="235"/>
      <c r="AE25" s="235"/>
      <c r="AF25" s="316"/>
      <c r="AJ25" s="317"/>
      <c r="AK25" s="11"/>
    </row>
    <row r="26" spans="2:37" ht="15" customHeight="1" x14ac:dyDescent="0.25">
      <c r="B26" s="298"/>
      <c r="C26" s="245"/>
      <c r="D26" s="310"/>
      <c r="E26" s="310"/>
      <c r="F26" s="310"/>
      <c r="G26" s="310"/>
      <c r="H26" s="228"/>
      <c r="I26" s="304"/>
      <c r="J26" s="261"/>
      <c r="K26" s="261"/>
      <c r="L26" s="305"/>
      <c r="M26" s="311"/>
      <c r="N26" s="311"/>
      <c r="O26" s="221"/>
      <c r="P26" s="265"/>
      <c r="Q26" s="313"/>
      <c r="R26" s="314"/>
      <c r="Y26" s="315"/>
      <c r="Z26" s="246"/>
      <c r="AA26" s="235"/>
      <c r="AB26" s="247"/>
      <c r="AC26" s="235"/>
      <c r="AE26" s="235"/>
      <c r="AF26" s="316"/>
      <c r="AJ26" s="317"/>
      <c r="AK26" s="11"/>
    </row>
    <row r="27" spans="2:37" ht="15" customHeight="1" x14ac:dyDescent="0.25">
      <c r="B27" s="298"/>
      <c r="C27" s="245"/>
      <c r="D27" s="310"/>
      <c r="E27" s="310"/>
      <c r="F27" s="310"/>
      <c r="G27" s="310"/>
      <c r="H27" s="228"/>
      <c r="I27" s="304"/>
      <c r="J27" s="261"/>
      <c r="K27" s="261"/>
      <c r="L27" s="305"/>
      <c r="M27" s="311"/>
      <c r="N27" s="311"/>
      <c r="O27" s="221"/>
      <c r="P27" s="318"/>
      <c r="Q27" s="313"/>
      <c r="R27" s="314"/>
      <c r="Y27" s="315"/>
      <c r="Z27" s="246"/>
      <c r="AA27" s="235"/>
      <c r="AB27" s="247"/>
      <c r="AC27" s="235"/>
      <c r="AE27" s="235"/>
      <c r="AF27" s="316"/>
      <c r="AJ27" s="317"/>
      <c r="AK27" s="11"/>
    </row>
    <row r="28" spans="2:37" ht="15" customHeight="1" x14ac:dyDescent="0.25">
      <c r="B28" s="298"/>
      <c r="C28" s="245"/>
      <c r="D28" s="310"/>
      <c r="E28" s="310"/>
      <c r="F28" s="310"/>
      <c r="G28" s="310"/>
      <c r="H28" s="228"/>
      <c r="I28" s="304"/>
      <c r="J28" s="261"/>
      <c r="K28" s="261"/>
      <c r="L28" s="305"/>
      <c r="M28" s="311"/>
      <c r="N28" s="311"/>
      <c r="O28" s="221"/>
      <c r="P28" s="318"/>
      <c r="Q28" s="313"/>
      <c r="R28" s="314"/>
      <c r="U28" s="11"/>
      <c r="Y28" s="315"/>
      <c r="Z28" s="246"/>
      <c r="AA28" s="235"/>
      <c r="AB28" s="247"/>
      <c r="AC28" s="235"/>
      <c r="AE28" s="235"/>
      <c r="AF28" s="316"/>
      <c r="AJ28" s="317"/>
      <c r="AK28" s="11"/>
    </row>
    <row r="29" spans="2:37" ht="15" customHeight="1" x14ac:dyDescent="0.25">
      <c r="B29" s="309"/>
      <c r="C29" s="245"/>
      <c r="D29" s="310"/>
      <c r="E29" s="310"/>
      <c r="F29" s="310"/>
      <c r="G29" s="310"/>
      <c r="H29" s="228"/>
      <c r="I29" s="304"/>
      <c r="J29" s="261"/>
      <c r="K29" s="261"/>
      <c r="L29" s="305"/>
      <c r="M29" s="311"/>
      <c r="N29" s="311"/>
      <c r="O29" s="312"/>
      <c r="P29" s="265"/>
      <c r="Q29" s="313"/>
      <c r="R29" s="314"/>
      <c r="Y29" s="315"/>
      <c r="Z29" s="246"/>
      <c r="AA29" s="235"/>
      <c r="AB29" s="247"/>
      <c r="AC29" s="235"/>
      <c r="AD29" s="235"/>
      <c r="AE29" s="235"/>
      <c r="AF29" s="316"/>
      <c r="AJ29" s="317"/>
      <c r="AK29" s="11"/>
    </row>
    <row r="30" spans="2:37" ht="15" customHeight="1" x14ac:dyDescent="0.25">
      <c r="B30" s="298"/>
      <c r="C30" s="245"/>
      <c r="D30" s="310"/>
      <c r="E30" s="310"/>
      <c r="F30" s="310"/>
      <c r="G30" s="310"/>
      <c r="H30" s="228"/>
      <c r="I30" s="304"/>
      <c r="J30" s="261"/>
      <c r="K30" s="261"/>
      <c r="L30" s="305"/>
      <c r="M30" s="311"/>
      <c r="N30" s="311"/>
      <c r="O30" s="221"/>
      <c r="P30" s="318"/>
      <c r="Q30" s="313"/>
      <c r="R30" s="314"/>
      <c r="U30" s="319"/>
      <c r="V30" s="251"/>
      <c r="Y30" s="315"/>
      <c r="Z30" s="246"/>
      <c r="AA30" s="235"/>
      <c r="AB30" s="247"/>
      <c r="AC30" s="235"/>
      <c r="AD30" s="235"/>
      <c r="AE30" s="235"/>
      <c r="AF30" s="316"/>
      <c r="AJ30" s="317"/>
      <c r="AK30" s="11"/>
    </row>
    <row r="31" spans="2:37" ht="15" customHeight="1" x14ac:dyDescent="0.25">
      <c r="B31" s="298"/>
      <c r="C31" s="245"/>
      <c r="D31" s="310"/>
      <c r="E31" s="310"/>
      <c r="F31" s="310"/>
      <c r="G31" s="310"/>
      <c r="H31" s="228"/>
      <c r="I31" s="304"/>
      <c r="J31" s="261"/>
      <c r="K31" s="261"/>
      <c r="L31" s="305"/>
      <c r="M31" s="311"/>
      <c r="N31" s="311"/>
      <c r="O31" s="221"/>
      <c r="P31" s="265"/>
      <c r="Q31" s="313"/>
      <c r="R31" s="314"/>
      <c r="Y31" s="315"/>
      <c r="Z31" s="246"/>
      <c r="AA31" s="235"/>
      <c r="AB31" s="247"/>
      <c r="AC31" s="235"/>
      <c r="AE31" s="235"/>
      <c r="AF31" s="316"/>
      <c r="AJ31" s="317"/>
      <c r="AK31" s="11"/>
    </row>
    <row r="32" spans="2:37" ht="15" customHeight="1" x14ac:dyDescent="0.25">
      <c r="B32" s="298"/>
      <c r="C32" s="245"/>
      <c r="D32" s="310"/>
      <c r="E32" s="310"/>
      <c r="F32" s="310"/>
      <c r="G32" s="310"/>
      <c r="H32" s="228"/>
      <c r="I32" s="304"/>
      <c r="J32" s="261"/>
      <c r="K32" s="261"/>
      <c r="L32" s="305"/>
      <c r="M32" s="311"/>
      <c r="N32" s="311"/>
      <c r="O32" s="221"/>
      <c r="P32" s="265"/>
      <c r="Q32" s="313"/>
      <c r="R32" s="314"/>
      <c r="Y32" s="315"/>
      <c r="Z32" s="246"/>
      <c r="AA32" s="235"/>
      <c r="AB32" s="247"/>
      <c r="AC32" s="235"/>
      <c r="AE32" s="235"/>
      <c r="AF32" s="316"/>
      <c r="AJ32" s="317"/>
      <c r="AK32" s="11"/>
    </row>
    <row r="33" spans="2:37" ht="15" customHeight="1" x14ac:dyDescent="0.25">
      <c r="B33" s="298"/>
      <c r="C33" s="245"/>
      <c r="D33" s="310"/>
      <c r="E33" s="310"/>
      <c r="F33" s="310"/>
      <c r="G33" s="310"/>
      <c r="H33" s="228"/>
      <c r="I33" s="304"/>
      <c r="J33" s="261"/>
      <c r="K33" s="261"/>
      <c r="L33" s="305"/>
      <c r="M33" s="311"/>
      <c r="N33" s="311"/>
      <c r="O33" s="221"/>
      <c r="P33" s="265"/>
      <c r="Q33" s="313"/>
      <c r="R33" s="314"/>
      <c r="Y33" s="315"/>
      <c r="Z33" s="246"/>
      <c r="AA33" s="235"/>
      <c r="AB33" s="247"/>
      <c r="AC33" s="235"/>
      <c r="AE33" s="235"/>
      <c r="AF33" s="316"/>
      <c r="AJ33" s="317"/>
      <c r="AK33" s="11"/>
    </row>
    <row r="34" spans="2:37" ht="15" customHeight="1" x14ac:dyDescent="0.25">
      <c r="B34" s="298"/>
      <c r="C34" s="245"/>
      <c r="D34" s="310"/>
      <c r="E34" s="310"/>
      <c r="F34" s="310"/>
      <c r="G34" s="310"/>
      <c r="H34" s="228"/>
      <c r="I34" s="304"/>
      <c r="J34" s="261"/>
      <c r="K34" s="261"/>
      <c r="L34" s="305"/>
      <c r="M34" s="311"/>
      <c r="N34" s="311"/>
      <c r="O34" s="221"/>
      <c r="P34" s="265"/>
      <c r="Q34" s="313"/>
      <c r="R34" s="314"/>
      <c r="Y34" s="315"/>
      <c r="Z34" s="246"/>
      <c r="AA34" s="235"/>
      <c r="AB34" s="247"/>
      <c r="AC34" s="235"/>
      <c r="AE34" s="235"/>
      <c r="AF34" s="316"/>
      <c r="AJ34" s="317"/>
      <c r="AK34" s="11"/>
    </row>
    <row r="35" spans="2:37" ht="15" customHeight="1" x14ac:dyDescent="0.25">
      <c r="B35" s="298"/>
      <c r="C35" s="245"/>
      <c r="D35" s="310"/>
      <c r="E35" s="310"/>
      <c r="F35" s="310"/>
      <c r="G35" s="310"/>
      <c r="H35" s="228"/>
      <c r="I35" s="304"/>
      <c r="J35" s="261"/>
      <c r="K35" s="261"/>
      <c r="L35" s="305"/>
      <c r="M35" s="311"/>
      <c r="N35" s="311"/>
      <c r="O35" s="221"/>
      <c r="P35" s="318"/>
      <c r="Q35" s="313"/>
      <c r="R35" s="314"/>
      <c r="Y35" s="315"/>
      <c r="Z35" s="246"/>
      <c r="AA35" s="235"/>
      <c r="AB35" s="247"/>
      <c r="AC35" s="235"/>
      <c r="AE35" s="235"/>
      <c r="AF35" s="316"/>
      <c r="AJ35" s="317"/>
      <c r="AK35" s="11"/>
    </row>
    <row r="36" spans="2:37" ht="15" customHeight="1" x14ac:dyDescent="0.25">
      <c r="B36" s="298"/>
      <c r="C36" s="245"/>
      <c r="D36" s="310"/>
      <c r="E36" s="310"/>
      <c r="F36" s="310"/>
      <c r="G36" s="310"/>
      <c r="H36" s="228"/>
      <c r="I36" s="304"/>
      <c r="J36" s="261"/>
      <c r="K36" s="261"/>
      <c r="L36" s="305"/>
      <c r="M36" s="311"/>
      <c r="N36" s="311"/>
      <c r="O36" s="221"/>
      <c r="P36" s="265"/>
      <c r="Q36" s="313"/>
      <c r="R36" s="314"/>
      <c r="Y36" s="315"/>
      <c r="Z36" s="246"/>
      <c r="AA36" s="235"/>
      <c r="AB36" s="247"/>
      <c r="AC36" s="235"/>
      <c r="AE36" s="235"/>
      <c r="AF36" s="316"/>
      <c r="AJ36" s="317"/>
      <c r="AK36" s="11"/>
    </row>
    <row r="37" spans="2:37" ht="15" customHeight="1" x14ac:dyDescent="0.25">
      <c r="B37" s="298"/>
      <c r="C37" s="245"/>
      <c r="D37" s="310"/>
      <c r="E37" s="310"/>
      <c r="F37" s="310"/>
      <c r="G37" s="310"/>
      <c r="H37" s="228"/>
      <c r="I37" s="304"/>
      <c r="J37" s="261"/>
      <c r="K37" s="261"/>
      <c r="L37" s="305"/>
      <c r="M37" s="311"/>
      <c r="N37" s="311"/>
      <c r="O37" s="221"/>
      <c r="P37" s="318"/>
      <c r="Q37" s="313"/>
      <c r="R37" s="314"/>
      <c r="Y37" s="315"/>
      <c r="Z37" s="246"/>
      <c r="AA37" s="235"/>
      <c r="AB37" s="247"/>
      <c r="AC37" s="235"/>
      <c r="AE37" s="235"/>
      <c r="AF37" s="316"/>
      <c r="AJ37" s="317"/>
      <c r="AK37" s="11"/>
    </row>
    <row r="38" spans="2:37" ht="15" customHeight="1" x14ac:dyDescent="0.25">
      <c r="B38" s="298"/>
      <c r="C38" s="245"/>
      <c r="D38" s="310"/>
      <c r="E38" s="310"/>
      <c r="F38" s="310"/>
      <c r="G38" s="310"/>
      <c r="H38" s="228"/>
      <c r="I38" s="304"/>
      <c r="J38" s="261"/>
      <c r="K38" s="261"/>
      <c r="L38" s="305"/>
      <c r="M38" s="311"/>
      <c r="N38" s="311"/>
      <c r="O38" s="221"/>
      <c r="P38" s="265"/>
      <c r="Q38" s="313"/>
      <c r="R38" s="314"/>
      <c r="Y38" s="315"/>
      <c r="Z38" s="246"/>
      <c r="AA38" s="235"/>
      <c r="AB38" s="247"/>
      <c r="AC38" s="235"/>
      <c r="AE38" s="235"/>
      <c r="AF38" s="316"/>
      <c r="AJ38" s="317"/>
      <c r="AK38" s="11"/>
    </row>
    <row r="39" spans="2:37" ht="15" customHeight="1" x14ac:dyDescent="0.25">
      <c r="B39" s="298"/>
      <c r="C39" s="245"/>
      <c r="D39" s="310"/>
      <c r="E39" s="310"/>
      <c r="F39" s="310"/>
      <c r="G39" s="310"/>
      <c r="H39" s="228"/>
      <c r="I39" s="304"/>
      <c r="J39" s="261"/>
      <c r="K39" s="261"/>
      <c r="L39" s="305"/>
      <c r="M39" s="311"/>
      <c r="N39" s="311"/>
      <c r="O39" s="221"/>
      <c r="P39" s="318"/>
      <c r="Q39" s="313"/>
      <c r="R39" s="314"/>
      <c r="Y39" s="315"/>
      <c r="Z39" s="246"/>
      <c r="AA39" s="235"/>
      <c r="AB39" s="247"/>
      <c r="AC39" s="235"/>
      <c r="AE39" s="235"/>
      <c r="AF39" s="316"/>
      <c r="AJ39" s="317"/>
      <c r="AK39" s="11"/>
    </row>
    <row r="40" spans="2:37" ht="15" customHeight="1" x14ac:dyDescent="0.25">
      <c r="B40" s="298"/>
      <c r="C40" s="245"/>
      <c r="D40" s="310"/>
      <c r="E40" s="310"/>
      <c r="F40" s="310"/>
      <c r="G40" s="310"/>
      <c r="H40" s="228"/>
      <c r="I40" s="304"/>
      <c r="J40" s="261"/>
      <c r="K40" s="261"/>
      <c r="L40" s="305"/>
      <c r="M40" s="311"/>
      <c r="N40" s="311"/>
      <c r="O40" s="221"/>
      <c r="P40" s="265"/>
      <c r="Q40" s="313"/>
      <c r="R40" s="314"/>
      <c r="Y40" s="315"/>
      <c r="Z40" s="246"/>
      <c r="AA40" s="235"/>
      <c r="AB40" s="247"/>
      <c r="AC40" s="235"/>
      <c r="AE40" s="235"/>
      <c r="AF40" s="316"/>
      <c r="AJ40" s="317"/>
      <c r="AK40" s="11"/>
    </row>
    <row r="41" spans="2:37" ht="15" customHeight="1" x14ac:dyDescent="0.25">
      <c r="B41" s="298"/>
      <c r="C41" s="245"/>
      <c r="D41" s="310"/>
      <c r="E41" s="310"/>
      <c r="F41" s="310"/>
      <c r="G41" s="310"/>
      <c r="H41" s="228"/>
      <c r="I41" s="304"/>
      <c r="J41" s="261"/>
      <c r="K41" s="261"/>
      <c r="L41" s="305"/>
      <c r="M41" s="311"/>
      <c r="N41" s="311"/>
      <c r="O41" s="221"/>
      <c r="P41" s="265"/>
      <c r="Q41" s="313"/>
      <c r="R41" s="314"/>
      <c r="Y41" s="315"/>
      <c r="Z41" s="246"/>
      <c r="AA41" s="235"/>
      <c r="AB41" s="247"/>
      <c r="AC41" s="235"/>
      <c r="AE41" s="235"/>
      <c r="AF41" s="316"/>
      <c r="AJ41" s="317"/>
      <c r="AK41" s="11"/>
    </row>
    <row r="42" spans="2:37" ht="15" customHeight="1" x14ac:dyDescent="0.25">
      <c r="B42" s="298"/>
      <c r="C42" s="245"/>
      <c r="D42" s="310"/>
      <c r="E42" s="310"/>
      <c r="F42" s="310"/>
      <c r="G42" s="310"/>
      <c r="H42" s="228"/>
      <c r="I42" s="304"/>
      <c r="J42" s="261"/>
      <c r="K42" s="261"/>
      <c r="L42" s="305"/>
      <c r="M42" s="311"/>
      <c r="N42" s="311"/>
      <c r="O42" s="221"/>
      <c r="P42" s="265"/>
      <c r="Q42" s="313"/>
      <c r="R42" s="314"/>
      <c r="Y42" s="315"/>
      <c r="Z42" s="246"/>
      <c r="AA42" s="235"/>
      <c r="AB42" s="247"/>
      <c r="AC42" s="235"/>
      <c r="AE42" s="235"/>
      <c r="AF42" s="316"/>
      <c r="AJ42" s="317"/>
      <c r="AK42" s="11"/>
    </row>
    <row r="43" spans="2:37" ht="15" customHeight="1" x14ac:dyDescent="0.25">
      <c r="B43" s="298"/>
      <c r="C43" s="245"/>
      <c r="D43" s="310"/>
      <c r="E43" s="310"/>
      <c r="F43" s="310"/>
      <c r="G43" s="310"/>
      <c r="H43" s="228"/>
      <c r="I43" s="304"/>
      <c r="J43" s="261"/>
      <c r="K43" s="261"/>
      <c r="L43" s="305"/>
      <c r="M43" s="311"/>
      <c r="N43" s="311"/>
      <c r="O43" s="221"/>
      <c r="P43" s="265"/>
      <c r="Q43" s="313"/>
      <c r="R43" s="314"/>
      <c r="Y43" s="315"/>
      <c r="Z43" s="246"/>
      <c r="AA43" s="235"/>
      <c r="AB43" s="247"/>
      <c r="AC43" s="235"/>
      <c r="AE43" s="235"/>
      <c r="AF43" s="316"/>
      <c r="AJ43" s="317"/>
      <c r="AK43" s="11"/>
    </row>
    <row r="44" spans="2:37" ht="15" customHeight="1" x14ac:dyDescent="0.25">
      <c r="B44" s="298"/>
      <c r="C44" s="245"/>
      <c r="D44" s="310"/>
      <c r="E44" s="310"/>
      <c r="F44" s="310"/>
      <c r="G44" s="310"/>
      <c r="H44" s="228"/>
      <c r="I44" s="304"/>
      <c r="J44" s="261"/>
      <c r="K44" s="261"/>
      <c r="L44" s="305"/>
      <c r="M44" s="311"/>
      <c r="N44" s="311"/>
      <c r="O44" s="221"/>
      <c r="P44" s="265"/>
      <c r="Q44" s="313"/>
      <c r="R44" s="314"/>
      <c r="Y44" s="315"/>
      <c r="Z44" s="246"/>
      <c r="AA44" s="235"/>
      <c r="AB44" s="247"/>
      <c r="AC44" s="235"/>
      <c r="AE44" s="235"/>
      <c r="AF44" s="316"/>
      <c r="AJ44" s="317"/>
      <c r="AK44" s="11"/>
    </row>
    <row r="45" spans="2:37" ht="15" customHeight="1" x14ac:dyDescent="0.25">
      <c r="B45" s="298"/>
      <c r="C45" s="245"/>
      <c r="D45" s="310"/>
      <c r="E45" s="310"/>
      <c r="F45" s="310"/>
      <c r="G45" s="310"/>
      <c r="H45" s="228"/>
      <c r="I45" s="304"/>
      <c r="J45" s="261"/>
      <c r="K45" s="261"/>
      <c r="L45" s="305"/>
      <c r="M45" s="311"/>
      <c r="N45" s="311"/>
      <c r="O45" s="221"/>
      <c r="P45" s="318"/>
      <c r="Q45" s="313"/>
      <c r="R45" s="314"/>
      <c r="Y45" s="315"/>
      <c r="Z45" s="246"/>
      <c r="AA45" s="235"/>
      <c r="AB45" s="247"/>
      <c r="AC45" s="235"/>
      <c r="AE45" s="235"/>
      <c r="AF45" s="316"/>
      <c r="AJ45" s="317"/>
      <c r="AK45" s="11"/>
    </row>
    <row r="46" spans="2:37" ht="15" customHeight="1" x14ac:dyDescent="0.25">
      <c r="B46" s="298"/>
      <c r="C46" s="245"/>
      <c r="D46" s="310"/>
      <c r="E46" s="310"/>
      <c r="F46" s="310"/>
      <c r="G46" s="310"/>
      <c r="H46" s="228"/>
      <c r="I46" s="304"/>
      <c r="J46" s="261"/>
      <c r="K46" s="261"/>
      <c r="L46" s="305"/>
      <c r="M46" s="311"/>
      <c r="N46" s="311"/>
      <c r="O46" s="221"/>
      <c r="P46" s="318"/>
      <c r="Q46" s="313"/>
      <c r="R46" s="314"/>
      <c r="Y46" s="315"/>
      <c r="Z46" s="246"/>
      <c r="AA46" s="235"/>
      <c r="AB46" s="247"/>
      <c r="AC46" s="235"/>
      <c r="AE46" s="235"/>
      <c r="AF46" s="316"/>
      <c r="AJ46" s="317"/>
      <c r="AK46" s="11"/>
    </row>
    <row r="47" spans="2:37" ht="15" customHeight="1" x14ac:dyDescent="0.25">
      <c r="B47" s="298"/>
      <c r="C47" s="245"/>
      <c r="D47" s="310"/>
      <c r="E47" s="310"/>
      <c r="F47" s="310"/>
      <c r="G47" s="310"/>
      <c r="H47" s="228"/>
      <c r="I47" s="304"/>
      <c r="J47" s="261"/>
      <c r="K47" s="261"/>
      <c r="L47" s="305"/>
      <c r="M47" s="311"/>
      <c r="N47" s="311"/>
      <c r="O47" s="221"/>
      <c r="P47" s="265"/>
      <c r="Q47" s="313"/>
      <c r="R47" s="314"/>
      <c r="Y47" s="315"/>
      <c r="Z47" s="246"/>
      <c r="AA47" s="235"/>
      <c r="AB47" s="247"/>
      <c r="AC47" s="235"/>
      <c r="AE47" s="235"/>
      <c r="AF47" s="316"/>
      <c r="AJ47" s="317"/>
      <c r="AK47" s="11"/>
    </row>
    <row r="48" spans="2:37" s="1" customFormat="1" ht="15" customHeight="1" x14ac:dyDescent="0.25">
      <c r="B48" s="298"/>
      <c r="C48" s="245"/>
      <c r="D48" s="310"/>
      <c r="E48" s="310"/>
      <c r="F48" s="310"/>
      <c r="G48" s="310"/>
      <c r="H48" s="228"/>
      <c r="I48" s="304"/>
      <c r="J48" s="261"/>
      <c r="K48" s="261"/>
      <c r="L48" s="305"/>
      <c r="M48" s="311"/>
      <c r="N48" s="311"/>
      <c r="O48" s="221"/>
      <c r="P48" s="265"/>
      <c r="Q48" s="313"/>
      <c r="R48" s="314"/>
      <c r="S48"/>
      <c r="T48"/>
      <c r="U48"/>
      <c r="V48"/>
      <c r="W48"/>
      <c r="X48"/>
      <c r="Y48" s="315"/>
      <c r="Z48" s="246"/>
      <c r="AA48" s="235"/>
      <c r="AB48" s="247"/>
      <c r="AC48" s="235"/>
      <c r="AD48"/>
      <c r="AE48" s="235"/>
      <c r="AF48" s="316"/>
      <c r="AG48"/>
      <c r="AJ48" s="317"/>
      <c r="AK48" s="11"/>
    </row>
    <row r="49" spans="2:37" ht="15" customHeight="1" x14ac:dyDescent="0.25">
      <c r="B49" s="298"/>
      <c r="C49" s="245"/>
      <c r="D49" s="310"/>
      <c r="E49" s="310"/>
      <c r="F49" s="310"/>
      <c r="G49" s="310"/>
      <c r="H49" s="228"/>
      <c r="I49" s="304"/>
      <c r="J49" s="261"/>
      <c r="K49" s="261"/>
      <c r="L49" s="305"/>
      <c r="M49" s="311"/>
      <c r="N49" s="311"/>
      <c r="O49" s="221"/>
      <c r="P49" s="265"/>
      <c r="Q49" s="313"/>
      <c r="R49" s="314"/>
      <c r="Y49" s="315"/>
      <c r="Z49" s="246"/>
      <c r="AA49" s="235"/>
      <c r="AB49" s="247"/>
      <c r="AC49" s="235"/>
      <c r="AE49" s="235"/>
      <c r="AF49" s="316"/>
      <c r="AJ49" s="317"/>
      <c r="AK49" s="11"/>
    </row>
    <row r="50" spans="2:37" ht="15" customHeight="1" x14ac:dyDescent="0.25">
      <c r="B50" s="309"/>
      <c r="C50" s="245"/>
      <c r="D50" s="310"/>
      <c r="E50" s="310"/>
      <c r="F50" s="310"/>
      <c r="G50" s="310"/>
      <c r="H50" s="228"/>
      <c r="I50" s="304"/>
      <c r="J50" s="261"/>
      <c r="K50" s="261"/>
      <c r="L50" s="305"/>
      <c r="M50" s="311"/>
      <c r="N50" s="311"/>
      <c r="O50" s="312"/>
      <c r="P50" s="265"/>
      <c r="Q50" s="313"/>
      <c r="R50" s="314"/>
      <c r="Y50" s="315"/>
      <c r="Z50" s="246"/>
      <c r="AA50" s="235"/>
      <c r="AB50" s="247"/>
      <c r="AC50" s="235"/>
      <c r="AE50" s="235"/>
      <c r="AF50" s="316"/>
      <c r="AJ50" s="317"/>
      <c r="AK50" s="11"/>
    </row>
    <row r="51" spans="2:37" ht="15" customHeight="1" x14ac:dyDescent="0.25">
      <c r="B51" s="298"/>
      <c r="C51" s="245"/>
      <c r="D51" s="310"/>
      <c r="E51" s="310"/>
      <c r="F51" s="310"/>
      <c r="G51" s="310"/>
      <c r="H51" s="228"/>
      <c r="I51" s="304"/>
      <c r="J51" s="261"/>
      <c r="K51" s="261"/>
      <c r="L51" s="305"/>
      <c r="M51" s="311"/>
      <c r="N51" s="311"/>
      <c r="O51" s="221"/>
      <c r="P51" s="265"/>
      <c r="Q51" s="313"/>
      <c r="R51" s="314"/>
      <c r="Y51" s="315"/>
      <c r="Z51" s="246"/>
      <c r="AA51" s="235"/>
      <c r="AB51" s="247"/>
      <c r="AC51" s="235"/>
      <c r="AE51" s="235"/>
      <c r="AF51" s="316"/>
      <c r="AJ51" s="317"/>
      <c r="AK51" s="11"/>
    </row>
    <row r="52" spans="2:37" ht="15" customHeight="1" x14ac:dyDescent="0.25">
      <c r="B52" s="298"/>
      <c r="C52" s="245"/>
      <c r="D52" s="310"/>
      <c r="E52" s="310"/>
      <c r="F52" s="310"/>
      <c r="G52" s="310"/>
      <c r="H52" s="228"/>
      <c r="I52" s="304"/>
      <c r="J52" s="261"/>
      <c r="K52" s="261"/>
      <c r="L52" s="305"/>
      <c r="M52" s="311"/>
      <c r="N52" s="311"/>
      <c r="O52" s="221"/>
      <c r="P52" s="265"/>
      <c r="Q52" s="313"/>
      <c r="R52" s="314"/>
      <c r="Y52" s="315"/>
      <c r="Z52" s="246"/>
      <c r="AA52" s="235"/>
      <c r="AB52" s="247"/>
      <c r="AC52" s="235"/>
      <c r="AE52" s="235"/>
      <c r="AF52" s="316"/>
      <c r="AJ52" s="317"/>
      <c r="AK52" s="11"/>
    </row>
    <row r="53" spans="2:37" ht="15" customHeight="1" x14ac:dyDescent="0.25">
      <c r="B53" s="298"/>
      <c r="C53" s="245"/>
      <c r="D53" s="310"/>
      <c r="E53" s="310"/>
      <c r="F53" s="310"/>
      <c r="G53" s="310"/>
      <c r="H53" s="228"/>
      <c r="I53" s="304"/>
      <c r="J53" s="261"/>
      <c r="K53" s="261"/>
      <c r="L53" s="305"/>
      <c r="M53" s="311"/>
      <c r="N53" s="311"/>
      <c r="O53" s="221"/>
      <c r="P53" s="318"/>
      <c r="Q53" s="313"/>
      <c r="R53" s="314"/>
      <c r="Y53" s="315"/>
      <c r="Z53" s="246"/>
      <c r="AA53" s="235"/>
      <c r="AB53" s="247"/>
      <c r="AC53" s="235"/>
      <c r="AE53" s="235"/>
      <c r="AF53" s="316"/>
      <c r="AJ53" s="317"/>
      <c r="AK53" s="11"/>
    </row>
    <row r="54" spans="2:37" ht="15" customHeight="1" x14ac:dyDescent="0.25">
      <c r="B54" s="298"/>
      <c r="C54" s="245"/>
      <c r="D54" s="310"/>
      <c r="E54" s="310"/>
      <c r="F54" s="310"/>
      <c r="G54" s="310"/>
      <c r="H54" s="228"/>
      <c r="I54" s="304"/>
      <c r="J54" s="261"/>
      <c r="K54" s="261"/>
      <c r="L54" s="305"/>
      <c r="M54" s="311"/>
      <c r="N54" s="311"/>
      <c r="O54" s="221"/>
      <c r="P54" s="318"/>
      <c r="Q54" s="313"/>
      <c r="R54" s="314"/>
      <c r="T54" s="1"/>
      <c r="U54" s="1"/>
      <c r="V54" s="1"/>
      <c r="Y54" s="315"/>
      <c r="Z54" s="246"/>
      <c r="AA54" s="235"/>
      <c r="AB54" s="247"/>
      <c r="AC54" s="235"/>
      <c r="AD54" s="1"/>
      <c r="AE54" s="235"/>
      <c r="AF54" s="316"/>
      <c r="AJ54" s="317"/>
      <c r="AK54" s="11"/>
    </row>
    <row r="55" spans="2:37" ht="15" customHeight="1" x14ac:dyDescent="0.25">
      <c r="B55" s="309"/>
      <c r="C55" s="245"/>
      <c r="D55" s="310"/>
      <c r="E55" s="310"/>
      <c r="F55" s="310"/>
      <c r="G55" s="310"/>
      <c r="H55" s="228"/>
      <c r="I55" s="304"/>
      <c r="J55" s="261"/>
      <c r="K55" s="261"/>
      <c r="L55" s="305"/>
      <c r="M55" s="311"/>
      <c r="N55" s="311"/>
      <c r="O55" s="312"/>
      <c r="P55" s="318"/>
      <c r="Q55" s="313"/>
      <c r="R55" s="314"/>
      <c r="Y55" s="315"/>
      <c r="Z55" s="246"/>
      <c r="AA55" s="235"/>
      <c r="AB55" s="247"/>
      <c r="AC55" s="235"/>
      <c r="AE55" s="235"/>
      <c r="AF55" s="316"/>
      <c r="AJ55" s="317"/>
      <c r="AK55" s="11"/>
    </row>
    <row r="56" spans="2:37" ht="15" customHeight="1" x14ac:dyDescent="0.25">
      <c r="B56" s="298"/>
      <c r="C56" s="245"/>
      <c r="D56" s="310"/>
      <c r="E56" s="310"/>
      <c r="F56" s="310"/>
      <c r="G56" s="310"/>
      <c r="H56" s="228"/>
      <c r="I56" s="304"/>
      <c r="J56" s="261"/>
      <c r="K56" s="261"/>
      <c r="L56" s="305"/>
      <c r="M56" s="311"/>
      <c r="N56" s="311"/>
      <c r="O56" s="221"/>
      <c r="P56" s="265"/>
      <c r="Q56" s="313"/>
      <c r="R56" s="314"/>
      <c r="Y56" s="315"/>
      <c r="Z56" s="246"/>
      <c r="AA56" s="235"/>
      <c r="AB56" s="247"/>
      <c r="AC56" s="235"/>
      <c r="AE56" s="235"/>
      <c r="AF56" s="316"/>
      <c r="AJ56" s="317"/>
      <c r="AK56" s="11"/>
    </row>
    <row r="57" spans="2:37" ht="15" customHeight="1" x14ac:dyDescent="0.25">
      <c r="B57" s="298"/>
      <c r="C57" s="245"/>
      <c r="D57" s="310"/>
      <c r="E57" s="310"/>
      <c r="F57" s="310"/>
      <c r="G57" s="310"/>
      <c r="H57" s="228"/>
      <c r="I57" s="304"/>
      <c r="J57" s="261"/>
      <c r="K57" s="261"/>
      <c r="L57" s="305"/>
      <c r="M57" s="311"/>
      <c r="N57" s="311"/>
      <c r="O57" s="221"/>
      <c r="P57" s="265"/>
      <c r="Q57" s="313"/>
      <c r="R57" s="314"/>
      <c r="Y57" s="315"/>
      <c r="Z57" s="246"/>
      <c r="AA57" s="235"/>
      <c r="AB57" s="247"/>
      <c r="AC57" s="235"/>
      <c r="AE57" s="235"/>
      <c r="AF57" s="316"/>
      <c r="AJ57" s="317"/>
      <c r="AK57" s="11"/>
    </row>
    <row r="58" spans="2:37" ht="15" customHeight="1" x14ac:dyDescent="0.25">
      <c r="B58" s="298"/>
      <c r="C58" s="245"/>
      <c r="D58" s="310"/>
      <c r="E58" s="310"/>
      <c r="F58" s="310"/>
      <c r="G58" s="310"/>
      <c r="H58" s="228"/>
      <c r="I58" s="304"/>
      <c r="J58" s="261"/>
      <c r="K58" s="261"/>
      <c r="L58" s="305"/>
      <c r="M58" s="311"/>
      <c r="N58" s="311"/>
      <c r="O58" s="221"/>
      <c r="P58" s="318"/>
      <c r="Q58" s="313"/>
      <c r="R58" s="314"/>
      <c r="Y58" s="315"/>
      <c r="Z58" s="246"/>
      <c r="AA58" s="235"/>
      <c r="AB58" s="247"/>
      <c r="AC58" s="235"/>
      <c r="AE58" s="235"/>
      <c r="AF58" s="316"/>
      <c r="AJ58" s="317"/>
      <c r="AK58" s="11"/>
    </row>
    <row r="59" spans="2:37" ht="15" customHeight="1" x14ac:dyDescent="0.25">
      <c r="B59" s="298"/>
      <c r="C59" s="245"/>
      <c r="D59" s="310"/>
      <c r="E59" s="310"/>
      <c r="F59" s="310"/>
      <c r="G59" s="310"/>
      <c r="H59" s="228"/>
      <c r="I59" s="304"/>
      <c r="J59" s="261"/>
      <c r="K59" s="261"/>
      <c r="L59" s="305"/>
      <c r="M59" s="311"/>
      <c r="N59" s="311"/>
      <c r="O59" s="221"/>
      <c r="P59" s="265"/>
      <c r="Q59" s="313"/>
      <c r="R59" s="314"/>
      <c r="Y59" s="315"/>
      <c r="Z59" s="246"/>
      <c r="AA59" s="235"/>
      <c r="AB59" s="247"/>
      <c r="AC59" s="235"/>
      <c r="AE59" s="235"/>
      <c r="AF59" s="316"/>
      <c r="AJ59" s="317"/>
      <c r="AK59" s="11"/>
    </row>
    <row r="60" spans="2:37" ht="15" customHeight="1" x14ac:dyDescent="0.25">
      <c r="B60" s="298"/>
      <c r="C60" s="245"/>
      <c r="D60" s="310"/>
      <c r="E60" s="310"/>
      <c r="F60" s="310"/>
      <c r="G60" s="310"/>
      <c r="H60" s="228"/>
      <c r="I60" s="304"/>
      <c r="J60" s="261"/>
      <c r="K60" s="261"/>
      <c r="L60" s="305"/>
      <c r="M60" s="311"/>
      <c r="N60" s="311"/>
      <c r="O60" s="221"/>
      <c r="P60" s="318"/>
      <c r="Q60" s="313"/>
      <c r="R60" s="314"/>
      <c r="Y60" s="315"/>
      <c r="Z60" s="246"/>
      <c r="AA60" s="235"/>
      <c r="AB60" s="247"/>
      <c r="AC60" s="235"/>
      <c r="AE60" s="235"/>
      <c r="AF60" s="316"/>
      <c r="AJ60" s="317"/>
      <c r="AK60" s="11"/>
    </row>
    <row r="61" spans="2:37" ht="15" customHeight="1" x14ac:dyDescent="0.25">
      <c r="B61" s="298"/>
      <c r="C61" s="245"/>
      <c r="D61" s="310"/>
      <c r="E61" s="310"/>
      <c r="F61" s="310"/>
      <c r="G61" s="310"/>
      <c r="H61" s="228"/>
      <c r="I61" s="304"/>
      <c r="J61" s="261"/>
      <c r="K61" s="261"/>
      <c r="L61" s="305"/>
      <c r="M61" s="311"/>
      <c r="N61" s="311"/>
      <c r="O61" s="221"/>
      <c r="P61" s="265"/>
      <c r="Q61" s="313"/>
      <c r="R61" s="314"/>
      <c r="Y61" s="315"/>
      <c r="Z61" s="246"/>
      <c r="AA61" s="235"/>
      <c r="AB61" s="247"/>
      <c r="AC61" s="235"/>
      <c r="AE61" s="235"/>
      <c r="AF61" s="316"/>
      <c r="AJ61" s="317"/>
      <c r="AK61" s="11"/>
    </row>
    <row r="62" spans="2:37" ht="15" customHeight="1" x14ac:dyDescent="0.25">
      <c r="B62" s="298"/>
      <c r="C62" s="245"/>
      <c r="D62" s="310"/>
      <c r="E62" s="310"/>
      <c r="F62" s="310"/>
      <c r="G62" s="310"/>
      <c r="H62" s="228"/>
      <c r="I62" s="304"/>
      <c r="J62" s="261"/>
      <c r="K62" s="261"/>
      <c r="L62" s="305"/>
      <c r="M62" s="311"/>
      <c r="N62" s="311"/>
      <c r="O62" s="221"/>
      <c r="P62" s="318"/>
      <c r="Q62" s="313"/>
      <c r="R62" s="314"/>
      <c r="Y62" s="315"/>
      <c r="Z62" s="246"/>
      <c r="AA62" s="235"/>
      <c r="AB62" s="247"/>
      <c r="AC62" s="235"/>
      <c r="AE62" s="235"/>
      <c r="AF62" s="316"/>
      <c r="AJ62" s="317"/>
      <c r="AK62" s="11"/>
    </row>
    <row r="63" spans="2:37" ht="15" customHeight="1" x14ac:dyDescent="0.25">
      <c r="B63" s="298"/>
      <c r="C63" s="245"/>
      <c r="D63" s="310"/>
      <c r="E63" s="310"/>
      <c r="F63" s="310"/>
      <c r="G63" s="310"/>
      <c r="H63" s="228"/>
      <c r="I63" s="304"/>
      <c r="J63" s="261"/>
      <c r="K63" s="261"/>
      <c r="L63" s="305"/>
      <c r="M63" s="311"/>
      <c r="N63" s="311"/>
      <c r="O63" s="221"/>
      <c r="P63" s="318"/>
      <c r="Q63" s="313"/>
      <c r="R63" s="314"/>
      <c r="Y63" s="315"/>
      <c r="Z63" s="246"/>
      <c r="AA63" s="235"/>
      <c r="AB63" s="247"/>
      <c r="AC63" s="235"/>
      <c r="AE63" s="235"/>
      <c r="AF63" s="316"/>
      <c r="AJ63" s="317"/>
      <c r="AK63" s="11"/>
    </row>
    <row r="64" spans="2:37" ht="15" customHeight="1" x14ac:dyDescent="0.25">
      <c r="B64" s="298"/>
      <c r="C64" s="245"/>
      <c r="D64" s="310"/>
      <c r="E64" s="310"/>
      <c r="F64" s="310"/>
      <c r="G64" s="310"/>
      <c r="H64" s="228"/>
      <c r="I64" s="304"/>
      <c r="J64" s="261"/>
      <c r="K64" s="261"/>
      <c r="L64" s="305"/>
      <c r="M64" s="311"/>
      <c r="N64" s="311"/>
      <c r="O64" s="221"/>
      <c r="P64" s="318"/>
      <c r="Q64" s="313"/>
      <c r="R64" s="314"/>
      <c r="Y64" s="315"/>
      <c r="Z64" s="246"/>
      <c r="AA64" s="235"/>
      <c r="AB64" s="247"/>
      <c r="AC64" s="235"/>
      <c r="AE64" s="235"/>
      <c r="AF64" s="316"/>
      <c r="AJ64" s="317"/>
      <c r="AK64" s="11"/>
    </row>
    <row r="65" spans="2:37" ht="15" customHeight="1" x14ac:dyDescent="0.25">
      <c r="B65" s="298"/>
      <c r="C65" s="245"/>
      <c r="D65" s="310"/>
      <c r="E65" s="310"/>
      <c r="F65" s="310"/>
      <c r="G65" s="310"/>
      <c r="H65" s="228"/>
      <c r="I65" s="304"/>
      <c r="J65" s="261"/>
      <c r="K65" s="261"/>
      <c r="L65" s="305"/>
      <c r="M65" s="311"/>
      <c r="N65" s="311"/>
      <c r="O65" s="221"/>
      <c r="P65" s="318"/>
      <c r="Q65" s="313"/>
      <c r="R65" s="314"/>
      <c r="Y65" s="315"/>
      <c r="Z65" s="246"/>
      <c r="AA65" s="235"/>
      <c r="AB65" s="247"/>
      <c r="AC65" s="235"/>
      <c r="AE65" s="235"/>
      <c r="AF65" s="316"/>
      <c r="AJ65" s="317"/>
      <c r="AK65" s="11"/>
    </row>
    <row r="66" spans="2:37" ht="15" customHeight="1" x14ac:dyDescent="0.25">
      <c r="B66" s="298"/>
      <c r="C66" s="245"/>
      <c r="D66" s="310"/>
      <c r="E66" s="310"/>
      <c r="F66" s="310"/>
      <c r="G66" s="310"/>
      <c r="H66" s="228"/>
      <c r="I66" s="304"/>
      <c r="J66" s="261"/>
      <c r="K66" s="261"/>
      <c r="L66" s="305"/>
      <c r="M66" s="311"/>
      <c r="N66" s="311"/>
      <c r="O66" s="221"/>
      <c r="P66" s="318"/>
      <c r="Q66" s="313"/>
      <c r="R66" s="314"/>
      <c r="Y66" s="315"/>
      <c r="Z66" s="246"/>
      <c r="AA66" s="235"/>
      <c r="AB66" s="247"/>
      <c r="AC66" s="235"/>
      <c r="AE66" s="235"/>
      <c r="AF66" s="316"/>
      <c r="AJ66" s="317"/>
      <c r="AK66" s="11"/>
    </row>
    <row r="67" spans="2:37" ht="15" customHeight="1" x14ac:dyDescent="0.25">
      <c r="B67" s="298"/>
      <c r="C67" s="245"/>
      <c r="D67" s="310"/>
      <c r="E67" s="310"/>
      <c r="F67" s="310"/>
      <c r="G67" s="310"/>
      <c r="H67" s="228"/>
      <c r="I67" s="304"/>
      <c r="J67" s="261"/>
      <c r="K67" s="261"/>
      <c r="L67" s="305"/>
      <c r="M67" s="311"/>
      <c r="N67" s="311"/>
      <c r="O67" s="221"/>
      <c r="P67" s="265"/>
      <c r="Q67" s="313"/>
      <c r="R67" s="314"/>
      <c r="Y67" s="315"/>
      <c r="Z67" s="246"/>
      <c r="AA67" s="235"/>
      <c r="AB67" s="247"/>
      <c r="AC67" s="235"/>
      <c r="AE67" s="235"/>
      <c r="AF67" s="316"/>
      <c r="AJ67" s="317"/>
      <c r="AK67" s="11"/>
    </row>
    <row r="68" spans="2:37" ht="15" customHeight="1" x14ac:dyDescent="0.25">
      <c r="B68" s="298"/>
      <c r="C68" s="245"/>
      <c r="D68" s="310"/>
      <c r="E68" s="310"/>
      <c r="F68" s="310"/>
      <c r="G68" s="310"/>
      <c r="H68" s="228"/>
      <c r="I68" s="304"/>
      <c r="J68" s="261"/>
      <c r="K68" s="261"/>
      <c r="L68" s="305"/>
      <c r="M68" s="311"/>
      <c r="N68" s="311"/>
      <c r="O68" s="221"/>
      <c r="P68" s="265"/>
      <c r="Q68" s="313"/>
      <c r="R68" s="314"/>
      <c r="Y68" s="315"/>
      <c r="Z68" s="246"/>
      <c r="AA68" s="235"/>
      <c r="AB68" s="247"/>
      <c r="AC68" s="235"/>
      <c r="AE68" s="235"/>
      <c r="AF68" s="316"/>
      <c r="AJ68" s="317"/>
      <c r="AK68" s="11"/>
    </row>
    <row r="69" spans="2:37" ht="15" customHeight="1" x14ac:dyDescent="0.25">
      <c r="B69" s="309"/>
      <c r="C69" s="245"/>
      <c r="D69" s="310"/>
      <c r="E69" s="310"/>
      <c r="F69" s="310"/>
      <c r="G69" s="310"/>
      <c r="H69" s="228"/>
      <c r="I69" s="304"/>
      <c r="J69" s="261"/>
      <c r="K69" s="261"/>
      <c r="L69" s="305"/>
      <c r="M69" s="311"/>
      <c r="N69" s="311"/>
      <c r="O69" s="312"/>
      <c r="P69" s="265"/>
      <c r="Q69" s="313"/>
      <c r="R69" s="314"/>
      <c r="Y69" s="315"/>
      <c r="Z69" s="246"/>
      <c r="AA69" s="235"/>
      <c r="AB69" s="247"/>
      <c r="AC69" s="235"/>
      <c r="AE69" s="235"/>
      <c r="AF69" s="316"/>
      <c r="AJ69" s="317"/>
      <c r="AK69" s="11"/>
    </row>
    <row r="70" spans="2:37" ht="15" customHeight="1" x14ac:dyDescent="0.25">
      <c r="B70" s="298"/>
      <c r="C70" s="245"/>
      <c r="D70" s="310"/>
      <c r="E70" s="310"/>
      <c r="F70" s="310"/>
      <c r="G70" s="310"/>
      <c r="H70" s="228"/>
      <c r="I70" s="304"/>
      <c r="J70" s="261"/>
      <c r="K70" s="261"/>
      <c r="L70" s="305"/>
      <c r="M70" s="311"/>
      <c r="N70" s="311"/>
      <c r="O70" s="221"/>
      <c r="P70" s="318"/>
      <c r="Q70" s="313"/>
      <c r="R70" s="314"/>
      <c r="Y70" s="315"/>
      <c r="Z70" s="246"/>
      <c r="AA70" s="235"/>
      <c r="AB70" s="247"/>
      <c r="AC70" s="235"/>
      <c r="AE70" s="235"/>
      <c r="AF70" s="316"/>
      <c r="AJ70" s="317"/>
      <c r="AK70" s="11"/>
    </row>
    <row r="71" spans="2:37" ht="15" customHeight="1" x14ac:dyDescent="0.25">
      <c r="B71" s="298"/>
      <c r="C71" s="245"/>
      <c r="D71" s="310"/>
      <c r="E71" s="310"/>
      <c r="F71" s="310"/>
      <c r="G71" s="310"/>
      <c r="H71" s="228"/>
      <c r="I71" s="304"/>
      <c r="J71" s="261"/>
      <c r="K71" s="261"/>
      <c r="L71" s="305"/>
      <c r="M71" s="311"/>
      <c r="N71" s="311"/>
      <c r="O71" s="221"/>
      <c r="P71" s="318"/>
      <c r="Q71" s="313"/>
      <c r="R71" s="314"/>
      <c r="Y71" s="315"/>
      <c r="Z71" s="246"/>
      <c r="AA71" s="235"/>
      <c r="AB71" s="247"/>
      <c r="AC71" s="235"/>
      <c r="AE71" s="235"/>
      <c r="AF71" s="316"/>
      <c r="AJ71" s="317"/>
      <c r="AK71" s="11"/>
    </row>
    <row r="72" spans="2:37" ht="15" customHeight="1" x14ac:dyDescent="0.25">
      <c r="B72" s="298"/>
      <c r="C72" s="245"/>
      <c r="D72" s="310"/>
      <c r="E72" s="310"/>
      <c r="F72" s="310"/>
      <c r="G72" s="310"/>
      <c r="H72" s="228"/>
      <c r="I72" s="304"/>
      <c r="J72" s="261"/>
      <c r="K72" s="261"/>
      <c r="L72" s="305"/>
      <c r="M72" s="311"/>
      <c r="N72" s="311"/>
      <c r="O72" s="221"/>
      <c r="P72" s="265"/>
      <c r="Q72" s="313"/>
      <c r="R72" s="314"/>
      <c r="Y72" s="315"/>
      <c r="Z72" s="246"/>
      <c r="AA72" s="235"/>
      <c r="AB72" s="247"/>
      <c r="AC72" s="235"/>
      <c r="AE72" s="235"/>
      <c r="AF72" s="316"/>
      <c r="AJ72" s="317"/>
      <c r="AK72" s="11"/>
    </row>
    <row r="73" spans="2:37" ht="15" customHeight="1" x14ac:dyDescent="0.25">
      <c r="B73" s="298"/>
      <c r="C73" s="245"/>
      <c r="D73" s="310"/>
      <c r="E73" s="310"/>
      <c r="F73" s="310"/>
      <c r="G73" s="310"/>
      <c r="H73" s="228"/>
      <c r="I73" s="304"/>
      <c r="J73" s="261"/>
      <c r="K73" s="261"/>
      <c r="L73" s="305"/>
      <c r="M73" s="311"/>
      <c r="N73" s="311"/>
      <c r="O73" s="221"/>
      <c r="P73" s="265"/>
      <c r="Q73" s="313"/>
      <c r="R73" s="314"/>
      <c r="Y73" s="315"/>
      <c r="Z73" s="246"/>
      <c r="AA73" s="235"/>
      <c r="AB73" s="247"/>
      <c r="AC73" s="235"/>
      <c r="AE73" s="235"/>
      <c r="AF73" s="316"/>
      <c r="AJ73" s="317"/>
      <c r="AK73" s="11"/>
    </row>
    <row r="74" spans="2:37" ht="15" customHeight="1" x14ac:dyDescent="0.25">
      <c r="B74" s="298"/>
      <c r="C74" s="245"/>
      <c r="D74" s="310"/>
      <c r="E74" s="310"/>
      <c r="F74" s="310"/>
      <c r="G74" s="310"/>
      <c r="H74" s="228"/>
      <c r="I74" s="304"/>
      <c r="J74" s="261"/>
      <c r="K74" s="261"/>
      <c r="L74" s="305"/>
      <c r="M74" s="311"/>
      <c r="N74" s="311"/>
      <c r="O74" s="221"/>
      <c r="P74" s="265"/>
      <c r="Q74" s="313"/>
      <c r="R74" s="314"/>
      <c r="Y74" s="315"/>
      <c r="Z74" s="246"/>
      <c r="AA74" s="235"/>
      <c r="AB74" s="247"/>
      <c r="AC74" s="235"/>
      <c r="AE74" s="235"/>
      <c r="AF74" s="316"/>
      <c r="AJ74" s="317"/>
      <c r="AK74" s="11"/>
    </row>
    <row r="75" spans="2:37" ht="15" customHeight="1" x14ac:dyDescent="0.25">
      <c r="B75" s="298"/>
      <c r="C75" s="245"/>
      <c r="D75" s="310"/>
      <c r="E75" s="310"/>
      <c r="F75" s="310"/>
      <c r="G75" s="310"/>
      <c r="H75" s="228"/>
      <c r="I75" s="304"/>
      <c r="J75" s="261"/>
      <c r="K75" s="261"/>
      <c r="L75" s="305"/>
      <c r="M75" s="311"/>
      <c r="N75" s="311"/>
      <c r="O75" s="221"/>
      <c r="P75" s="265"/>
      <c r="Q75" s="313"/>
      <c r="R75" s="314"/>
      <c r="Y75" s="315"/>
      <c r="Z75" s="246"/>
      <c r="AA75" s="235"/>
      <c r="AB75" s="247"/>
      <c r="AC75" s="235"/>
      <c r="AE75" s="235"/>
      <c r="AF75" s="316"/>
      <c r="AJ75" s="317"/>
      <c r="AK75" s="11"/>
    </row>
    <row r="76" spans="2:37" ht="15" customHeight="1" x14ac:dyDescent="0.25">
      <c r="B76" s="309"/>
      <c r="C76" s="245"/>
      <c r="D76" s="310"/>
      <c r="E76" s="310"/>
      <c r="F76" s="310"/>
      <c r="G76" s="310"/>
      <c r="H76" s="228"/>
      <c r="I76" s="304"/>
      <c r="J76" s="261"/>
      <c r="K76" s="261"/>
      <c r="L76" s="305"/>
      <c r="M76" s="311"/>
      <c r="N76" s="311"/>
      <c r="O76" s="312"/>
      <c r="P76" s="265"/>
      <c r="Q76" s="313"/>
      <c r="R76" s="314"/>
      <c r="Y76" s="315"/>
      <c r="Z76" s="246"/>
      <c r="AA76" s="235"/>
      <c r="AB76" s="247"/>
      <c r="AC76" s="235"/>
      <c r="AE76" s="235"/>
      <c r="AF76" s="316"/>
      <c r="AJ76" s="317"/>
      <c r="AK76" s="11"/>
    </row>
    <row r="77" spans="2:37" ht="15" customHeight="1" x14ac:dyDescent="0.25">
      <c r="B77" s="298"/>
      <c r="C77" s="245"/>
      <c r="D77" s="310"/>
      <c r="E77" s="310"/>
      <c r="F77" s="310"/>
      <c r="G77" s="310"/>
      <c r="H77" s="228"/>
      <c r="I77" s="304"/>
      <c r="J77" s="261"/>
      <c r="K77" s="261"/>
      <c r="L77" s="305"/>
      <c r="M77" s="311"/>
      <c r="N77" s="311"/>
      <c r="O77" s="221"/>
      <c r="P77" s="265"/>
      <c r="Q77" s="313"/>
      <c r="R77" s="314"/>
      <c r="Y77" s="315"/>
      <c r="Z77" s="246"/>
      <c r="AA77" s="235"/>
      <c r="AB77" s="247"/>
      <c r="AC77" s="235"/>
      <c r="AE77" s="235"/>
      <c r="AF77" s="316"/>
      <c r="AJ77" s="317"/>
      <c r="AK77" s="11"/>
    </row>
    <row r="78" spans="2:37" ht="15" customHeight="1" x14ac:dyDescent="0.25">
      <c r="B78" s="298"/>
      <c r="C78" s="245"/>
      <c r="D78" s="310"/>
      <c r="E78" s="310"/>
      <c r="F78" s="310"/>
      <c r="G78" s="310"/>
      <c r="H78" s="228"/>
      <c r="I78" s="304"/>
      <c r="J78" s="261"/>
      <c r="K78" s="261"/>
      <c r="L78" s="305"/>
      <c r="M78" s="311"/>
      <c r="N78" s="311"/>
      <c r="O78" s="221"/>
      <c r="P78" s="265"/>
      <c r="Q78" s="313"/>
      <c r="R78" s="314"/>
      <c r="Y78" s="315"/>
      <c r="Z78" s="246"/>
      <c r="AA78" s="235"/>
      <c r="AB78" s="247"/>
      <c r="AC78" s="235"/>
      <c r="AE78" s="235"/>
      <c r="AF78" s="316"/>
      <c r="AJ78" s="317"/>
      <c r="AK78" s="11"/>
    </row>
    <row r="79" spans="2:37" ht="15" customHeight="1" x14ac:dyDescent="0.25">
      <c r="B79" s="298"/>
      <c r="C79" s="245"/>
      <c r="D79" s="310"/>
      <c r="E79" s="310"/>
      <c r="F79" s="310"/>
      <c r="G79" s="310"/>
      <c r="H79" s="228"/>
      <c r="I79" s="304"/>
      <c r="J79" s="261"/>
      <c r="K79" s="261"/>
      <c r="L79" s="305"/>
      <c r="M79" s="311"/>
      <c r="N79" s="311"/>
      <c r="O79" s="221"/>
      <c r="P79" s="318"/>
      <c r="Q79" s="313"/>
      <c r="R79" s="314"/>
      <c r="Y79" s="315"/>
      <c r="Z79" s="246"/>
      <c r="AA79" s="235"/>
      <c r="AB79" s="247"/>
      <c r="AC79" s="235"/>
      <c r="AE79" s="235"/>
      <c r="AF79" s="316"/>
      <c r="AJ79" s="317"/>
      <c r="AK79" s="11"/>
    </row>
    <row r="80" spans="2:37" ht="15" customHeight="1" x14ac:dyDescent="0.25">
      <c r="B80" s="309"/>
      <c r="C80" s="245"/>
      <c r="D80" s="310"/>
      <c r="E80" s="310"/>
      <c r="F80" s="310"/>
      <c r="G80" s="310"/>
      <c r="H80" s="228"/>
      <c r="I80" s="304"/>
      <c r="J80" s="261"/>
      <c r="K80" s="261"/>
      <c r="L80" s="305"/>
      <c r="M80" s="311"/>
      <c r="N80" s="311"/>
      <c r="O80" s="312"/>
      <c r="P80" s="318"/>
      <c r="Q80" s="313"/>
      <c r="R80" s="314"/>
      <c r="Y80" s="315"/>
      <c r="Z80" s="246"/>
      <c r="AA80" s="235"/>
      <c r="AB80" s="247"/>
      <c r="AC80" s="235"/>
      <c r="AE80" s="235"/>
      <c r="AF80" s="316"/>
      <c r="AJ80" s="317"/>
      <c r="AK80" s="11"/>
    </row>
    <row r="81" spans="2:37" ht="15" customHeight="1" x14ac:dyDescent="0.25">
      <c r="B81" s="298"/>
      <c r="C81" s="245"/>
      <c r="D81" s="310"/>
      <c r="E81" s="310"/>
      <c r="F81" s="310"/>
      <c r="G81" s="310"/>
      <c r="H81" s="228"/>
      <c r="I81" s="304"/>
      <c r="J81" s="261"/>
      <c r="K81" s="261"/>
      <c r="L81" s="305"/>
      <c r="M81" s="311"/>
      <c r="N81" s="311"/>
      <c r="O81" s="221"/>
      <c r="P81" s="265"/>
      <c r="Q81" s="313"/>
      <c r="R81" s="314"/>
      <c r="Y81" s="315"/>
      <c r="Z81" s="246"/>
      <c r="AA81" s="235"/>
      <c r="AB81" s="247"/>
      <c r="AC81" s="235"/>
      <c r="AE81" s="235"/>
      <c r="AF81" s="316"/>
      <c r="AJ81" s="317"/>
      <c r="AK81" s="11"/>
    </row>
    <row r="82" spans="2:37" ht="15" customHeight="1" x14ac:dyDescent="0.25">
      <c r="B82" s="298"/>
      <c r="C82" s="245"/>
      <c r="D82" s="310"/>
      <c r="E82" s="310"/>
      <c r="F82" s="310"/>
      <c r="G82" s="310"/>
      <c r="H82" s="228"/>
      <c r="I82" s="304"/>
      <c r="J82" s="261"/>
      <c r="K82" s="261"/>
      <c r="L82" s="305"/>
      <c r="M82" s="311"/>
      <c r="N82" s="311"/>
      <c r="O82" s="221"/>
      <c r="P82" s="318"/>
      <c r="Q82" s="313"/>
      <c r="R82" s="314"/>
      <c r="Y82" s="315"/>
      <c r="Z82" s="246"/>
      <c r="AA82" s="235"/>
      <c r="AB82" s="247"/>
      <c r="AC82" s="235"/>
      <c r="AE82" s="235"/>
      <c r="AF82" s="316"/>
      <c r="AJ82" s="317"/>
      <c r="AK82" s="11"/>
    </row>
    <row r="83" spans="2:37" ht="15" customHeight="1" x14ac:dyDescent="0.25">
      <c r="B83" s="298"/>
      <c r="C83" s="245"/>
      <c r="D83" s="310"/>
      <c r="E83" s="310"/>
      <c r="F83" s="310"/>
      <c r="G83" s="310"/>
      <c r="H83" s="228"/>
      <c r="I83" s="304"/>
      <c r="J83" s="261"/>
      <c r="K83" s="261"/>
      <c r="L83" s="305"/>
      <c r="M83" s="311"/>
      <c r="N83" s="311"/>
      <c r="O83" s="221"/>
      <c r="P83" s="265"/>
      <c r="Q83" s="313"/>
      <c r="R83" s="314"/>
      <c r="Y83" s="315"/>
      <c r="Z83" s="246"/>
      <c r="AA83" s="235"/>
      <c r="AB83" s="247"/>
      <c r="AC83" s="235"/>
      <c r="AE83" s="235"/>
      <c r="AF83" s="316"/>
      <c r="AJ83" s="317"/>
      <c r="AK83" s="11"/>
    </row>
    <row r="84" spans="2:37" ht="15" customHeight="1" x14ac:dyDescent="0.25">
      <c r="B84" s="298"/>
      <c r="C84" s="245"/>
      <c r="D84" s="310"/>
      <c r="E84" s="310"/>
      <c r="F84" s="310"/>
      <c r="G84" s="310"/>
      <c r="H84" s="228"/>
      <c r="I84" s="304"/>
      <c r="J84" s="261"/>
      <c r="K84" s="261"/>
      <c r="L84" s="305"/>
      <c r="M84" s="311"/>
      <c r="N84" s="311"/>
      <c r="O84" s="221"/>
      <c r="P84" s="265"/>
      <c r="Q84" s="313"/>
      <c r="R84" s="314"/>
      <c r="Y84" s="315"/>
      <c r="Z84" s="246"/>
      <c r="AA84" s="235"/>
      <c r="AB84" s="247"/>
      <c r="AC84" s="235"/>
      <c r="AE84" s="235"/>
      <c r="AF84" s="316"/>
      <c r="AJ84" s="317"/>
      <c r="AK84" s="11"/>
    </row>
    <row r="85" spans="2:37" ht="15" customHeight="1" x14ac:dyDescent="0.25">
      <c r="B85" s="298"/>
      <c r="C85" s="245"/>
      <c r="D85" s="310"/>
      <c r="E85" s="310"/>
      <c r="F85" s="310"/>
      <c r="G85" s="310"/>
      <c r="H85" s="228"/>
      <c r="I85" s="304"/>
      <c r="J85" s="261"/>
      <c r="K85" s="261"/>
      <c r="L85" s="305"/>
      <c r="M85" s="311"/>
      <c r="N85" s="311"/>
      <c r="O85" s="221"/>
      <c r="P85" s="265"/>
      <c r="Q85" s="313"/>
      <c r="R85" s="314"/>
      <c r="Y85" s="315"/>
      <c r="Z85" s="246"/>
      <c r="AA85" s="235"/>
      <c r="AB85" s="247"/>
      <c r="AC85" s="235"/>
      <c r="AE85" s="235"/>
      <c r="AF85" s="316"/>
      <c r="AJ85" s="317"/>
      <c r="AK85" s="11"/>
    </row>
    <row r="86" spans="2:37" ht="15" customHeight="1" x14ac:dyDescent="0.25">
      <c r="B86" s="298"/>
      <c r="C86" s="245"/>
      <c r="D86" s="310"/>
      <c r="E86" s="310"/>
      <c r="F86" s="310"/>
      <c r="G86" s="310"/>
      <c r="H86" s="228"/>
      <c r="I86" s="304"/>
      <c r="J86" s="261"/>
      <c r="K86" s="261"/>
      <c r="L86" s="305"/>
      <c r="M86" s="311"/>
      <c r="N86" s="311"/>
      <c r="O86" s="221"/>
      <c r="P86" s="265"/>
      <c r="Q86" s="313"/>
      <c r="R86" s="314"/>
      <c r="Y86" s="315"/>
      <c r="Z86" s="246"/>
      <c r="AA86" s="235"/>
      <c r="AB86" s="247"/>
      <c r="AC86" s="235"/>
      <c r="AE86" s="235"/>
      <c r="AF86" s="316"/>
      <c r="AJ86" s="317"/>
      <c r="AK86" s="11"/>
    </row>
    <row r="87" spans="2:37" s="1" customFormat="1" ht="15" customHeight="1" x14ac:dyDescent="0.25">
      <c r="B87" s="298"/>
      <c r="C87" s="245"/>
      <c r="D87" s="310"/>
      <c r="E87" s="310"/>
      <c r="F87" s="310"/>
      <c r="G87" s="310"/>
      <c r="H87" s="228"/>
      <c r="I87" s="304"/>
      <c r="J87" s="261"/>
      <c r="K87" s="261"/>
      <c r="L87" s="305"/>
      <c r="M87" s="311"/>
      <c r="N87" s="311"/>
      <c r="O87" s="221"/>
      <c r="P87" s="265"/>
      <c r="Q87" s="313"/>
      <c r="R87" s="314"/>
      <c r="S87"/>
      <c r="T87"/>
      <c r="U87"/>
      <c r="V87"/>
      <c r="W87"/>
      <c r="X87"/>
      <c r="Y87" s="315"/>
      <c r="Z87" s="246"/>
      <c r="AA87" s="235"/>
      <c r="AB87" s="247"/>
      <c r="AC87" s="235"/>
      <c r="AD87"/>
      <c r="AE87" s="235"/>
      <c r="AF87" s="316"/>
      <c r="AG87"/>
      <c r="AJ87" s="317"/>
      <c r="AK87" s="11"/>
    </row>
    <row r="88" spans="2:37" ht="15" customHeight="1" x14ac:dyDescent="0.25">
      <c r="B88" s="298"/>
      <c r="C88" s="245"/>
      <c r="D88" s="310"/>
      <c r="E88" s="310"/>
      <c r="F88" s="310"/>
      <c r="G88" s="310"/>
      <c r="H88" s="228"/>
      <c r="I88" s="304"/>
      <c r="J88" s="261"/>
      <c r="K88" s="261"/>
      <c r="L88" s="305"/>
      <c r="M88" s="311"/>
      <c r="N88" s="311"/>
      <c r="O88" s="221"/>
      <c r="P88" s="265"/>
      <c r="Q88" s="313"/>
      <c r="R88" s="314"/>
      <c r="Y88" s="315"/>
      <c r="Z88" s="246"/>
      <c r="AA88" s="235"/>
      <c r="AB88" s="247"/>
      <c r="AC88" s="235"/>
      <c r="AE88" s="235"/>
      <c r="AF88" s="316"/>
      <c r="AJ88" s="317"/>
      <c r="AK88" s="11"/>
    </row>
    <row r="89" spans="2:37" ht="15" customHeight="1" x14ac:dyDescent="0.25">
      <c r="B89" s="298"/>
      <c r="C89" s="245"/>
      <c r="D89" s="310"/>
      <c r="E89" s="310"/>
      <c r="F89" s="310"/>
      <c r="G89" s="310"/>
      <c r="H89" s="228"/>
      <c r="I89" s="304"/>
      <c r="J89" s="261"/>
      <c r="K89" s="261"/>
      <c r="L89" s="305"/>
      <c r="M89" s="311"/>
      <c r="N89" s="311"/>
      <c r="O89" s="221"/>
      <c r="P89" s="318"/>
      <c r="Q89" s="313"/>
      <c r="R89" s="314"/>
      <c r="Y89" s="315"/>
      <c r="Z89" s="246"/>
      <c r="AA89" s="235"/>
      <c r="AB89" s="247"/>
      <c r="AC89" s="235"/>
      <c r="AE89" s="235"/>
      <c r="AF89" s="316"/>
      <c r="AJ89" s="317"/>
      <c r="AK89" s="11"/>
    </row>
    <row r="90" spans="2:37" ht="15" customHeight="1" x14ac:dyDescent="0.25">
      <c r="B90" s="298"/>
      <c r="C90" s="245"/>
      <c r="D90" s="310"/>
      <c r="E90" s="310"/>
      <c r="F90" s="310"/>
      <c r="G90" s="310"/>
      <c r="H90" s="228"/>
      <c r="I90" s="304"/>
      <c r="J90" s="261"/>
      <c r="K90" s="261"/>
      <c r="L90" s="305"/>
      <c r="M90" s="311"/>
      <c r="N90" s="311"/>
      <c r="O90" s="221"/>
      <c r="P90" s="318"/>
      <c r="Q90" s="313"/>
      <c r="R90" s="314"/>
      <c r="Y90" s="315"/>
      <c r="Z90" s="246"/>
      <c r="AA90" s="235"/>
      <c r="AB90" s="247"/>
      <c r="AC90" s="235"/>
      <c r="AE90" s="235"/>
      <c r="AF90" s="316"/>
      <c r="AJ90" s="317"/>
      <c r="AK90" s="11"/>
    </row>
    <row r="91" spans="2:37" ht="15" customHeight="1" x14ac:dyDescent="0.25">
      <c r="B91" s="298"/>
      <c r="C91" s="245"/>
      <c r="D91" s="310"/>
      <c r="E91" s="310"/>
      <c r="F91" s="310"/>
      <c r="G91" s="310"/>
      <c r="H91" s="228"/>
      <c r="I91" s="304"/>
      <c r="J91" s="261"/>
      <c r="K91" s="261"/>
      <c r="L91" s="305"/>
      <c r="M91" s="311"/>
      <c r="N91" s="311"/>
      <c r="O91" s="221"/>
      <c r="P91" s="265"/>
      <c r="Q91" s="313"/>
      <c r="R91" s="314"/>
      <c r="Y91" s="315"/>
      <c r="Z91" s="246"/>
      <c r="AA91" s="235"/>
      <c r="AB91" s="247"/>
      <c r="AC91" s="235"/>
      <c r="AE91" s="235"/>
      <c r="AF91" s="316"/>
      <c r="AJ91" s="317"/>
      <c r="AK91" s="11"/>
    </row>
    <row r="92" spans="2:37" ht="15" customHeight="1" x14ac:dyDescent="0.25">
      <c r="B92" s="298"/>
      <c r="C92" s="245"/>
      <c r="D92" s="310"/>
      <c r="E92" s="310"/>
      <c r="F92" s="310"/>
      <c r="G92" s="310"/>
      <c r="H92" s="228"/>
      <c r="I92" s="304"/>
      <c r="J92" s="261"/>
      <c r="K92" s="261"/>
      <c r="L92" s="305"/>
      <c r="M92" s="311"/>
      <c r="N92" s="311"/>
      <c r="O92" s="221"/>
      <c r="P92" s="265"/>
      <c r="Q92" s="313"/>
      <c r="R92" s="314"/>
      <c r="Y92" s="315"/>
      <c r="Z92" s="246"/>
      <c r="AA92" s="235"/>
      <c r="AB92" s="247"/>
      <c r="AC92" s="235"/>
      <c r="AE92" s="235"/>
      <c r="AF92" s="316"/>
      <c r="AJ92" s="317"/>
      <c r="AK92" s="11"/>
    </row>
    <row r="93" spans="2:37" ht="15" customHeight="1" x14ac:dyDescent="0.25">
      <c r="B93" s="298"/>
      <c r="C93" s="245"/>
      <c r="D93" s="310"/>
      <c r="E93" s="310"/>
      <c r="F93" s="310"/>
      <c r="G93" s="310"/>
      <c r="H93" s="228"/>
      <c r="I93" s="304"/>
      <c r="J93" s="261"/>
      <c r="K93" s="261"/>
      <c r="L93" s="305"/>
      <c r="M93" s="311"/>
      <c r="N93" s="311"/>
      <c r="O93" s="221"/>
      <c r="P93" s="318"/>
      <c r="Q93" s="313"/>
      <c r="R93" s="314"/>
      <c r="T93" s="1"/>
      <c r="U93" s="1"/>
      <c r="V93" s="1"/>
      <c r="Y93" s="315"/>
      <c r="Z93" s="246"/>
      <c r="AA93" s="235"/>
      <c r="AB93" s="247"/>
      <c r="AC93" s="235"/>
      <c r="AD93" s="1"/>
      <c r="AE93" s="235"/>
      <c r="AF93" s="316"/>
      <c r="AJ93" s="317"/>
      <c r="AK93" s="11"/>
    </row>
    <row r="94" spans="2:37" s="1" customFormat="1" ht="15" customHeight="1" x14ac:dyDescent="0.25">
      <c r="B94" s="298"/>
      <c r="C94" s="245"/>
      <c r="D94" s="310"/>
      <c r="E94" s="310"/>
      <c r="F94" s="310"/>
      <c r="G94" s="310"/>
      <c r="H94" s="228"/>
      <c r="I94" s="304"/>
      <c r="J94" s="261"/>
      <c r="K94" s="261"/>
      <c r="L94" s="305"/>
      <c r="M94" s="311"/>
      <c r="N94" s="311"/>
      <c r="O94" s="221"/>
      <c r="P94" s="265"/>
      <c r="Q94" s="313"/>
      <c r="R94" s="314"/>
      <c r="S94"/>
      <c r="T94"/>
      <c r="U94"/>
      <c r="V94"/>
      <c r="W94"/>
      <c r="X94"/>
      <c r="Y94" s="315"/>
      <c r="Z94" s="246"/>
      <c r="AA94" s="235"/>
      <c r="AB94" s="247"/>
      <c r="AC94" s="235"/>
      <c r="AD94"/>
      <c r="AE94" s="235"/>
      <c r="AF94" s="316"/>
      <c r="AG94"/>
      <c r="AJ94" s="317"/>
      <c r="AK94" s="11"/>
    </row>
    <row r="95" spans="2:37" ht="15" customHeight="1" x14ac:dyDescent="0.25">
      <c r="B95" s="309"/>
      <c r="C95" s="245"/>
      <c r="D95" s="310"/>
      <c r="E95" s="310"/>
      <c r="F95" s="310"/>
      <c r="G95" s="310"/>
      <c r="H95" s="228"/>
      <c r="I95" s="304"/>
      <c r="J95" s="261"/>
      <c r="K95" s="261"/>
      <c r="L95" s="305"/>
      <c r="M95" s="311"/>
      <c r="N95" s="311"/>
      <c r="O95" s="312"/>
      <c r="P95" s="265"/>
      <c r="Q95" s="313"/>
      <c r="R95" s="314"/>
      <c r="Y95" s="315"/>
      <c r="Z95" s="246"/>
      <c r="AA95" s="235"/>
      <c r="AB95" s="247"/>
      <c r="AC95" s="235"/>
      <c r="AE95" s="235"/>
      <c r="AF95" s="316"/>
      <c r="AJ95" s="317"/>
      <c r="AK95" s="11"/>
    </row>
    <row r="96" spans="2:37" ht="15" customHeight="1" x14ac:dyDescent="0.25">
      <c r="B96" s="298"/>
      <c r="C96" s="245"/>
      <c r="D96" s="310"/>
      <c r="E96" s="310"/>
      <c r="F96" s="310"/>
      <c r="G96" s="310"/>
      <c r="H96" s="228"/>
      <c r="I96" s="304"/>
      <c r="J96" s="261"/>
      <c r="K96" s="261"/>
      <c r="L96" s="305"/>
      <c r="M96" s="311"/>
      <c r="N96" s="311"/>
      <c r="O96" s="221"/>
      <c r="P96" s="318"/>
      <c r="Q96" s="313"/>
      <c r="R96" s="314"/>
      <c r="Y96" s="315"/>
      <c r="Z96" s="246"/>
      <c r="AA96" s="235"/>
      <c r="AB96" s="247"/>
      <c r="AC96" s="235"/>
      <c r="AE96" s="235"/>
      <c r="AF96" s="316"/>
      <c r="AJ96" s="317"/>
      <c r="AK96" s="11"/>
    </row>
    <row r="97" spans="2:37" ht="15" customHeight="1" x14ac:dyDescent="0.25">
      <c r="B97" s="298"/>
      <c r="C97" s="245"/>
      <c r="D97" s="310"/>
      <c r="E97" s="310"/>
      <c r="F97" s="310"/>
      <c r="G97" s="310"/>
      <c r="H97" s="228"/>
      <c r="I97" s="304"/>
      <c r="J97" s="261"/>
      <c r="K97" s="261"/>
      <c r="L97" s="305"/>
      <c r="M97" s="311"/>
      <c r="N97" s="311"/>
      <c r="O97" s="221"/>
      <c r="P97" s="318"/>
      <c r="Q97" s="313"/>
      <c r="R97" s="314"/>
      <c r="Y97" s="315"/>
      <c r="Z97" s="246"/>
      <c r="AA97" s="235"/>
      <c r="AB97" s="247"/>
      <c r="AC97" s="235"/>
      <c r="AE97" s="235"/>
      <c r="AF97" s="316"/>
      <c r="AJ97" s="317"/>
      <c r="AK97" s="11"/>
    </row>
    <row r="98" spans="2:37" ht="15" customHeight="1" x14ac:dyDescent="0.25">
      <c r="B98" s="298"/>
      <c r="C98" s="245"/>
      <c r="D98" s="310"/>
      <c r="E98" s="310"/>
      <c r="F98" s="310"/>
      <c r="G98" s="310"/>
      <c r="H98" s="228"/>
      <c r="I98" s="304"/>
      <c r="J98" s="261"/>
      <c r="K98" s="261"/>
      <c r="L98" s="305"/>
      <c r="M98" s="311"/>
      <c r="N98" s="311"/>
      <c r="O98" s="221"/>
      <c r="P98" s="265"/>
      <c r="Q98" s="313"/>
      <c r="R98" s="314"/>
      <c r="Y98" s="315"/>
      <c r="Z98" s="246"/>
      <c r="AA98" s="235"/>
      <c r="AB98" s="247"/>
      <c r="AC98" s="235"/>
      <c r="AE98" s="235"/>
      <c r="AF98" s="316"/>
      <c r="AJ98" s="317"/>
      <c r="AK98" s="11"/>
    </row>
    <row r="99" spans="2:37" ht="15" customHeight="1" x14ac:dyDescent="0.25">
      <c r="B99" s="298"/>
      <c r="C99" s="245"/>
      <c r="D99" s="310"/>
      <c r="E99" s="310"/>
      <c r="F99" s="310"/>
      <c r="G99" s="310"/>
      <c r="H99" s="228"/>
      <c r="I99" s="304"/>
      <c r="J99" s="261"/>
      <c r="K99" s="261"/>
      <c r="L99" s="305"/>
      <c r="M99" s="311"/>
      <c r="N99" s="311"/>
      <c r="O99" s="221"/>
      <c r="P99" s="265"/>
      <c r="Q99" s="313"/>
      <c r="R99" s="314"/>
      <c r="Y99" s="315"/>
      <c r="Z99" s="246"/>
      <c r="AA99" s="235"/>
      <c r="AB99" s="247"/>
      <c r="AC99" s="235"/>
      <c r="AE99" s="235"/>
      <c r="AF99" s="316"/>
      <c r="AJ99" s="317"/>
      <c r="AK99" s="11"/>
    </row>
    <row r="100" spans="2:37" ht="15" customHeight="1" x14ac:dyDescent="0.25">
      <c r="B100" s="298"/>
      <c r="C100" s="245"/>
      <c r="D100" s="310"/>
      <c r="E100" s="310"/>
      <c r="F100" s="310"/>
      <c r="G100" s="310"/>
      <c r="H100" s="228"/>
      <c r="I100" s="304"/>
      <c r="J100" s="261"/>
      <c r="K100" s="261"/>
      <c r="L100" s="305"/>
      <c r="M100" s="311"/>
      <c r="N100" s="311"/>
      <c r="O100" s="221"/>
      <c r="P100" s="265"/>
      <c r="Q100" s="313"/>
      <c r="R100" s="314"/>
      <c r="Y100" s="315"/>
      <c r="Z100" s="246"/>
      <c r="AA100" s="235"/>
      <c r="AB100" s="247"/>
      <c r="AC100" s="235"/>
      <c r="AE100" s="235"/>
      <c r="AF100" s="316"/>
      <c r="AJ100" s="317"/>
      <c r="AK100" s="11"/>
    </row>
    <row r="101" spans="2:37" ht="15" customHeight="1" x14ac:dyDescent="0.25">
      <c r="B101" s="298"/>
      <c r="C101" s="245"/>
      <c r="D101" s="310"/>
      <c r="E101" s="310"/>
      <c r="F101" s="310"/>
      <c r="G101" s="310"/>
      <c r="H101" s="228"/>
      <c r="I101" s="304"/>
      <c r="J101" s="261"/>
      <c r="K101" s="261"/>
      <c r="L101" s="305"/>
      <c r="M101" s="311"/>
      <c r="N101" s="311"/>
      <c r="O101" s="221"/>
      <c r="P101" s="265"/>
      <c r="Q101" s="313"/>
      <c r="R101" s="314"/>
      <c r="Y101" s="315"/>
      <c r="Z101" s="246"/>
      <c r="AA101" s="235"/>
      <c r="AB101" s="247"/>
      <c r="AC101" s="235"/>
      <c r="AE101" s="235"/>
      <c r="AF101" s="316"/>
      <c r="AJ101" s="317"/>
      <c r="AK101" s="11"/>
    </row>
    <row r="102" spans="2:37" ht="15" customHeight="1" x14ac:dyDescent="0.25">
      <c r="B102" s="298"/>
      <c r="C102" s="245"/>
      <c r="D102" s="310"/>
      <c r="E102" s="310"/>
      <c r="F102" s="310"/>
      <c r="G102" s="310"/>
      <c r="H102" s="228"/>
      <c r="I102" s="304"/>
      <c r="J102" s="261"/>
      <c r="K102" s="261"/>
      <c r="L102" s="305"/>
      <c r="M102" s="311"/>
      <c r="N102" s="311"/>
      <c r="O102" s="221"/>
      <c r="P102" s="318"/>
      <c r="Q102" s="313"/>
      <c r="R102" s="314"/>
      <c r="Y102" s="315"/>
      <c r="Z102" s="246"/>
      <c r="AA102" s="235"/>
      <c r="AB102" s="247"/>
      <c r="AC102" s="235"/>
      <c r="AE102" s="235"/>
      <c r="AF102" s="316"/>
      <c r="AH102" s="1"/>
      <c r="AJ102" s="317"/>
      <c r="AK102" s="11"/>
    </row>
    <row r="103" spans="2:37" ht="15" customHeight="1" x14ac:dyDescent="0.25">
      <c r="B103" s="298"/>
      <c r="C103" s="245"/>
      <c r="D103" s="310"/>
      <c r="E103" s="310"/>
      <c r="F103" s="310"/>
      <c r="G103" s="310"/>
      <c r="H103" s="228"/>
      <c r="I103" s="304"/>
      <c r="J103" s="261"/>
      <c r="K103" s="261"/>
      <c r="L103" s="305"/>
      <c r="M103" s="311"/>
      <c r="N103" s="311"/>
      <c r="O103" s="221"/>
      <c r="P103" s="265"/>
      <c r="Q103" s="313"/>
      <c r="R103" s="314"/>
      <c r="Y103" s="315"/>
      <c r="Z103" s="246"/>
      <c r="AA103" s="235"/>
      <c r="AB103" s="247"/>
      <c r="AC103" s="235"/>
      <c r="AE103" s="235"/>
      <c r="AF103" s="316"/>
      <c r="AJ103" s="317"/>
      <c r="AK103" s="11"/>
    </row>
    <row r="104" spans="2:37" s="1" customFormat="1" ht="15" customHeight="1" x14ac:dyDescent="0.25">
      <c r="B104" s="298"/>
      <c r="C104" s="245"/>
      <c r="D104" s="310"/>
      <c r="E104" s="310"/>
      <c r="F104" s="310"/>
      <c r="G104" s="310"/>
      <c r="H104" s="228"/>
      <c r="I104" s="304"/>
      <c r="J104" s="261"/>
      <c r="K104" s="261"/>
      <c r="L104" s="305"/>
      <c r="M104" s="311"/>
      <c r="N104" s="311"/>
      <c r="O104" s="221"/>
      <c r="P104" s="265"/>
      <c r="Q104" s="313"/>
      <c r="R104" s="314"/>
      <c r="S104"/>
      <c r="T104"/>
      <c r="U104"/>
      <c r="V104"/>
      <c r="W104"/>
      <c r="X104"/>
      <c r="Y104" s="315"/>
      <c r="Z104" s="246"/>
      <c r="AA104" s="235"/>
      <c r="AB104" s="247"/>
      <c r="AC104" s="235"/>
      <c r="AD104"/>
      <c r="AE104" s="235"/>
      <c r="AF104" s="316"/>
      <c r="AG104"/>
      <c r="AH104"/>
      <c r="AJ104" s="317"/>
      <c r="AK104" s="11"/>
    </row>
    <row r="105" spans="2:37" ht="15" customHeight="1" x14ac:dyDescent="0.25">
      <c r="B105" s="298"/>
      <c r="C105" s="245"/>
      <c r="D105" s="310"/>
      <c r="E105" s="310"/>
      <c r="F105" s="310"/>
      <c r="G105" s="310"/>
      <c r="H105" s="228"/>
      <c r="I105" s="304"/>
      <c r="J105" s="261"/>
      <c r="K105" s="261"/>
      <c r="L105" s="305"/>
      <c r="M105" s="311"/>
      <c r="N105" s="311"/>
      <c r="O105" s="221"/>
      <c r="P105" s="265"/>
      <c r="Q105" s="313"/>
      <c r="R105" s="314"/>
      <c r="Y105" s="315"/>
      <c r="Z105" s="246"/>
      <c r="AA105" s="235"/>
      <c r="AB105" s="247"/>
      <c r="AC105" s="235"/>
      <c r="AE105" s="235"/>
      <c r="AF105" s="316"/>
      <c r="AH105" s="1"/>
      <c r="AJ105" s="317"/>
      <c r="AK105" s="11"/>
    </row>
    <row r="106" spans="2:37" ht="15" customHeight="1" x14ac:dyDescent="0.25">
      <c r="B106" s="298"/>
      <c r="C106" s="245"/>
      <c r="D106" s="310"/>
      <c r="E106" s="310"/>
      <c r="F106" s="310"/>
      <c r="G106" s="310"/>
      <c r="H106" s="228"/>
      <c r="I106" s="304"/>
      <c r="J106" s="261"/>
      <c r="K106" s="261"/>
      <c r="L106" s="305"/>
      <c r="M106" s="311"/>
      <c r="N106" s="311"/>
      <c r="O106" s="221"/>
      <c r="P106" s="318"/>
      <c r="Q106" s="313"/>
      <c r="R106" s="314"/>
      <c r="Y106" s="315"/>
      <c r="Z106" s="246"/>
      <c r="AA106" s="235"/>
      <c r="AB106" s="247"/>
      <c r="AC106" s="235"/>
      <c r="AE106" s="235"/>
      <c r="AF106" s="316"/>
      <c r="AJ106" s="317"/>
      <c r="AK106" s="11"/>
    </row>
    <row r="107" spans="2:37" s="1" customFormat="1" ht="15" customHeight="1" x14ac:dyDescent="0.25">
      <c r="B107" s="298"/>
      <c r="C107" s="245"/>
      <c r="D107" s="310"/>
      <c r="E107" s="310"/>
      <c r="F107" s="310"/>
      <c r="G107" s="310"/>
      <c r="H107" s="228"/>
      <c r="I107" s="304"/>
      <c r="J107" s="261"/>
      <c r="K107" s="261"/>
      <c r="L107" s="305"/>
      <c r="M107" s="311"/>
      <c r="N107" s="311"/>
      <c r="O107" s="221"/>
      <c r="P107" s="265"/>
      <c r="Q107" s="313"/>
      <c r="R107" s="314"/>
      <c r="S107"/>
      <c r="T107"/>
      <c r="U107"/>
      <c r="V107"/>
      <c r="W107"/>
      <c r="X107"/>
      <c r="Y107" s="315"/>
      <c r="Z107" s="246"/>
      <c r="AA107" s="235"/>
      <c r="AB107" s="247"/>
      <c r="AC107" s="235"/>
      <c r="AD107"/>
      <c r="AE107" s="235"/>
      <c r="AF107" s="316"/>
      <c r="AG107"/>
      <c r="AH107"/>
      <c r="AJ107" s="317"/>
      <c r="AK107" s="11"/>
    </row>
    <row r="108" spans="2:37" ht="15" customHeight="1" x14ac:dyDescent="0.25">
      <c r="B108" s="298"/>
      <c r="C108" s="245"/>
      <c r="D108" s="310"/>
      <c r="E108" s="310"/>
      <c r="F108" s="310"/>
      <c r="G108" s="310"/>
      <c r="H108" s="228"/>
      <c r="I108" s="304"/>
      <c r="J108" s="261"/>
      <c r="K108" s="261"/>
      <c r="L108" s="305"/>
      <c r="M108" s="311"/>
      <c r="N108" s="311"/>
      <c r="O108" s="221"/>
      <c r="P108" s="265"/>
      <c r="Q108" s="313"/>
      <c r="R108" s="314"/>
      <c r="T108" s="1"/>
      <c r="U108" s="1"/>
      <c r="V108" s="1"/>
      <c r="Y108" s="315"/>
      <c r="Z108" s="246"/>
      <c r="AA108" s="235"/>
      <c r="AB108" s="247"/>
      <c r="AC108" s="235"/>
      <c r="AD108" s="1"/>
      <c r="AE108" s="235"/>
      <c r="AF108" s="316"/>
      <c r="AJ108" s="317"/>
      <c r="AK108" s="11"/>
    </row>
    <row r="109" spans="2:37" ht="15" customHeight="1" x14ac:dyDescent="0.25">
      <c r="B109" s="298"/>
      <c r="C109" s="245"/>
      <c r="D109" s="310"/>
      <c r="E109" s="310"/>
      <c r="F109" s="310"/>
      <c r="G109" s="310"/>
      <c r="H109" s="228"/>
      <c r="I109" s="304"/>
      <c r="J109" s="261"/>
      <c r="K109" s="261"/>
      <c r="L109" s="305"/>
      <c r="M109" s="311"/>
      <c r="N109" s="311"/>
      <c r="O109" s="221"/>
      <c r="P109" s="265"/>
      <c r="Q109" s="313"/>
      <c r="R109" s="314"/>
      <c r="Y109" s="315"/>
      <c r="Z109" s="246"/>
      <c r="AA109" s="235"/>
      <c r="AB109" s="247"/>
      <c r="AC109" s="235"/>
      <c r="AE109" s="235"/>
      <c r="AF109" s="316"/>
      <c r="AH109" s="248"/>
      <c r="AJ109" s="317"/>
      <c r="AK109" s="11"/>
    </row>
    <row r="110" spans="2:37" ht="15" customHeight="1" x14ac:dyDescent="0.25">
      <c r="B110" s="298"/>
      <c r="C110" s="245"/>
      <c r="D110" s="310"/>
      <c r="E110" s="310"/>
      <c r="F110" s="310"/>
      <c r="G110" s="310"/>
      <c r="H110" s="228"/>
      <c r="I110" s="304"/>
      <c r="J110" s="261"/>
      <c r="K110" s="261"/>
      <c r="L110" s="305"/>
      <c r="M110" s="311"/>
      <c r="N110" s="311"/>
      <c r="O110" s="221"/>
      <c r="P110" s="265"/>
      <c r="Q110" s="313"/>
      <c r="R110" s="314"/>
      <c r="Y110" s="315"/>
      <c r="Z110" s="246"/>
      <c r="AA110" s="235"/>
      <c r="AB110" s="247"/>
      <c r="AC110" s="235"/>
      <c r="AE110" s="235"/>
      <c r="AF110" s="316"/>
      <c r="AJ110" s="317"/>
      <c r="AK110" s="11"/>
    </row>
    <row r="111" spans="2:37" s="248" customFormat="1" ht="15" customHeight="1" x14ac:dyDescent="0.25">
      <c r="B111" s="298"/>
      <c r="C111" s="245"/>
      <c r="D111" s="310"/>
      <c r="E111" s="310"/>
      <c r="F111" s="310"/>
      <c r="G111" s="310"/>
      <c r="H111" s="228"/>
      <c r="I111" s="304"/>
      <c r="J111" s="261"/>
      <c r="K111" s="261"/>
      <c r="L111" s="305"/>
      <c r="M111" s="311"/>
      <c r="N111" s="311"/>
      <c r="O111" s="221"/>
      <c r="P111" s="318"/>
      <c r="Q111" s="313"/>
      <c r="R111" s="314"/>
      <c r="S111"/>
      <c r="T111" s="1"/>
      <c r="U111" s="1"/>
      <c r="V111" s="1"/>
      <c r="W111"/>
      <c r="X111"/>
      <c r="Y111" s="315"/>
      <c r="Z111" s="246"/>
      <c r="AA111" s="235"/>
      <c r="AB111" s="247"/>
      <c r="AC111" s="235"/>
      <c r="AD111" s="1"/>
      <c r="AE111" s="235"/>
      <c r="AF111" s="316"/>
      <c r="AG111"/>
      <c r="AH111" s="1"/>
      <c r="AJ111" s="317"/>
      <c r="AK111" s="11"/>
    </row>
    <row r="112" spans="2:37" ht="15" customHeight="1" x14ac:dyDescent="0.25">
      <c r="B112" s="309"/>
      <c r="C112" s="245"/>
      <c r="D112" s="310"/>
      <c r="E112" s="310"/>
      <c r="F112" s="310"/>
      <c r="G112" s="310"/>
      <c r="H112" s="228"/>
      <c r="I112" s="304"/>
      <c r="J112" s="261"/>
      <c r="K112" s="261"/>
      <c r="L112" s="305"/>
      <c r="M112" s="311"/>
      <c r="N112" s="311"/>
      <c r="O112" s="312"/>
      <c r="P112" s="318"/>
      <c r="Q112" s="313"/>
      <c r="R112" s="314"/>
      <c r="Y112" s="315"/>
      <c r="Z112" s="246"/>
      <c r="AA112" s="235"/>
      <c r="AB112" s="247"/>
      <c r="AC112" s="235"/>
      <c r="AE112" s="235"/>
      <c r="AF112" s="316"/>
      <c r="AJ112" s="317"/>
      <c r="AK112" s="11"/>
    </row>
    <row r="113" spans="2:37" s="1" customFormat="1" ht="15" customHeight="1" x14ac:dyDescent="0.25">
      <c r="B113" s="298"/>
      <c r="C113" s="245"/>
      <c r="D113" s="310"/>
      <c r="E113" s="310"/>
      <c r="F113" s="310"/>
      <c r="G113" s="310"/>
      <c r="H113" s="228"/>
      <c r="I113" s="304"/>
      <c r="J113" s="261"/>
      <c r="K113" s="261"/>
      <c r="L113" s="305"/>
      <c r="M113" s="311"/>
      <c r="N113" s="311"/>
      <c r="O113" s="221"/>
      <c r="P113" s="265"/>
      <c r="Q113" s="313"/>
      <c r="R113" s="314"/>
      <c r="S113"/>
      <c r="T113"/>
      <c r="U113"/>
      <c r="V113"/>
      <c r="W113"/>
      <c r="X113"/>
      <c r="Y113" s="315"/>
      <c r="Z113" s="246"/>
      <c r="AA113" s="235"/>
      <c r="AB113" s="247"/>
      <c r="AC113" s="235"/>
      <c r="AD113"/>
      <c r="AE113" s="235"/>
      <c r="AF113" s="316"/>
      <c r="AG113"/>
      <c r="AH113"/>
      <c r="AJ113" s="317"/>
      <c r="AK113" s="11"/>
    </row>
    <row r="114" spans="2:37" ht="15" customHeight="1" x14ac:dyDescent="0.25">
      <c r="B114" s="298"/>
      <c r="C114" s="245"/>
      <c r="D114" s="310"/>
      <c r="E114" s="310"/>
      <c r="F114" s="310"/>
      <c r="G114" s="310"/>
      <c r="H114" s="228"/>
      <c r="I114" s="304"/>
      <c r="J114" s="261"/>
      <c r="K114" s="261"/>
      <c r="L114" s="305"/>
      <c r="M114" s="311"/>
      <c r="N114" s="311"/>
      <c r="O114" s="221"/>
      <c r="P114" s="265"/>
      <c r="Q114" s="313"/>
      <c r="R114" s="314"/>
      <c r="Y114" s="315"/>
      <c r="Z114" s="246"/>
      <c r="AA114" s="235"/>
      <c r="AB114" s="247"/>
      <c r="AC114" s="235"/>
      <c r="AE114" s="235"/>
      <c r="AF114" s="316"/>
      <c r="AJ114" s="317"/>
      <c r="AK114" s="11"/>
    </row>
    <row r="115" spans="2:37" ht="15" customHeight="1" x14ac:dyDescent="0.25">
      <c r="B115" s="298"/>
      <c r="C115" s="245"/>
      <c r="D115" s="310"/>
      <c r="E115" s="310"/>
      <c r="F115" s="310"/>
      <c r="G115" s="310"/>
      <c r="H115" s="228"/>
      <c r="I115" s="304"/>
      <c r="J115" s="261"/>
      <c r="K115" s="261"/>
      <c r="L115" s="305"/>
      <c r="M115" s="311"/>
      <c r="N115" s="311"/>
      <c r="O115" s="221"/>
      <c r="P115" s="265"/>
      <c r="Q115" s="313"/>
      <c r="R115" s="314"/>
      <c r="T115" s="248"/>
      <c r="U115" s="248"/>
      <c r="V115" s="248"/>
      <c r="Y115" s="315"/>
      <c r="Z115" s="246"/>
      <c r="AA115" s="235"/>
      <c r="AB115" s="247"/>
      <c r="AC115" s="235"/>
      <c r="AD115" s="248"/>
      <c r="AE115" s="235"/>
      <c r="AF115" s="316"/>
      <c r="AJ115" s="317"/>
      <c r="AK115" s="11"/>
    </row>
    <row r="116" spans="2:37" ht="15" customHeight="1" x14ac:dyDescent="0.25">
      <c r="B116" s="298"/>
      <c r="C116" s="245"/>
      <c r="D116" s="310"/>
      <c r="E116" s="310"/>
      <c r="F116" s="310"/>
      <c r="G116" s="310"/>
      <c r="H116" s="228"/>
      <c r="I116" s="304"/>
      <c r="J116" s="261"/>
      <c r="K116" s="261"/>
      <c r="L116" s="305"/>
      <c r="M116" s="311"/>
      <c r="N116" s="311"/>
      <c r="O116" s="221"/>
      <c r="P116" s="265"/>
      <c r="Q116" s="313"/>
      <c r="R116" s="314"/>
      <c r="Y116" s="315"/>
      <c r="Z116" s="246"/>
      <c r="AA116" s="235"/>
      <c r="AB116" s="247"/>
      <c r="AC116" s="235"/>
      <c r="AE116" s="235"/>
      <c r="AF116" s="316"/>
      <c r="AJ116" s="317"/>
      <c r="AK116" s="11"/>
    </row>
    <row r="117" spans="2:37" ht="15" customHeight="1" x14ac:dyDescent="0.25">
      <c r="B117" s="298"/>
      <c r="C117" s="245"/>
      <c r="D117" s="310"/>
      <c r="E117" s="310"/>
      <c r="F117" s="310"/>
      <c r="G117" s="310"/>
      <c r="H117" s="228"/>
      <c r="I117" s="304"/>
      <c r="J117" s="261"/>
      <c r="K117" s="261"/>
      <c r="L117" s="305"/>
      <c r="M117" s="311"/>
      <c r="N117" s="311"/>
      <c r="O117" s="221"/>
      <c r="P117" s="265"/>
      <c r="Q117" s="313"/>
      <c r="R117" s="314"/>
      <c r="T117" s="1"/>
      <c r="U117" s="1"/>
      <c r="V117" s="1"/>
      <c r="Y117" s="315"/>
      <c r="Z117" s="246"/>
      <c r="AA117" s="235"/>
      <c r="AB117" s="247"/>
      <c r="AC117" s="235"/>
      <c r="AD117" s="1"/>
      <c r="AE117" s="235"/>
      <c r="AF117" s="316"/>
      <c r="AJ117" s="317"/>
      <c r="AK117" s="11"/>
    </row>
    <row r="118" spans="2:37" ht="15" customHeight="1" x14ac:dyDescent="0.25">
      <c r="B118" s="298"/>
      <c r="C118" s="245"/>
      <c r="D118" s="310"/>
      <c r="E118" s="310"/>
      <c r="F118" s="310"/>
      <c r="G118" s="310"/>
      <c r="H118" s="228"/>
      <c r="I118" s="304"/>
      <c r="J118" s="261"/>
      <c r="K118" s="261"/>
      <c r="L118" s="305"/>
      <c r="M118" s="311"/>
      <c r="N118" s="311"/>
      <c r="O118" s="221"/>
      <c r="P118" s="265"/>
      <c r="Q118" s="313"/>
      <c r="R118" s="314"/>
      <c r="Y118" s="315"/>
      <c r="Z118" s="246"/>
      <c r="AA118" s="235"/>
      <c r="AB118" s="247"/>
      <c r="AC118" s="235"/>
      <c r="AE118" s="235"/>
      <c r="AF118" s="316"/>
      <c r="AJ118" s="317"/>
      <c r="AK118" s="11"/>
    </row>
    <row r="119" spans="2:37" ht="15" customHeight="1" x14ac:dyDescent="0.25">
      <c r="B119" s="309"/>
      <c r="C119" s="245"/>
      <c r="D119" s="310"/>
      <c r="E119" s="310"/>
      <c r="F119" s="310"/>
      <c r="G119" s="310"/>
      <c r="H119" s="228"/>
      <c r="I119" s="304"/>
      <c r="J119" s="261"/>
      <c r="K119" s="261"/>
      <c r="L119" s="305"/>
      <c r="M119" s="311"/>
      <c r="N119" s="311"/>
      <c r="O119" s="312"/>
      <c r="P119" s="265"/>
      <c r="Q119" s="313"/>
      <c r="R119" s="314"/>
      <c r="Y119" s="315"/>
      <c r="Z119" s="246"/>
      <c r="AA119" s="235"/>
      <c r="AB119" s="247"/>
      <c r="AC119" s="235"/>
      <c r="AE119" s="235"/>
      <c r="AF119" s="316"/>
      <c r="AJ119" s="317"/>
      <c r="AK119" s="11"/>
    </row>
    <row r="120" spans="2:37" ht="15" customHeight="1" x14ac:dyDescent="0.25">
      <c r="B120" s="298"/>
      <c r="C120" s="245"/>
      <c r="D120" s="310"/>
      <c r="E120" s="310"/>
      <c r="F120" s="310"/>
      <c r="G120" s="310"/>
      <c r="H120" s="228"/>
      <c r="I120" s="304"/>
      <c r="J120" s="261"/>
      <c r="K120" s="261"/>
      <c r="L120" s="305"/>
      <c r="M120" s="311"/>
      <c r="N120" s="311"/>
      <c r="O120" s="221"/>
      <c r="P120" s="318"/>
      <c r="Q120" s="313"/>
      <c r="R120" s="314"/>
      <c r="Y120" s="315"/>
      <c r="Z120" s="246"/>
      <c r="AA120" s="235"/>
      <c r="AB120" s="247"/>
      <c r="AC120" s="235"/>
      <c r="AE120" s="235"/>
      <c r="AF120" s="316"/>
      <c r="AJ120" s="317"/>
      <c r="AK120" s="11"/>
    </row>
    <row r="121" spans="2:37" ht="15" customHeight="1" x14ac:dyDescent="0.25">
      <c r="B121" s="298"/>
      <c r="C121" s="245"/>
      <c r="D121" s="310"/>
      <c r="E121" s="310"/>
      <c r="F121" s="310"/>
      <c r="G121" s="310"/>
      <c r="H121" s="228"/>
      <c r="I121" s="304"/>
      <c r="J121" s="261"/>
      <c r="K121" s="261"/>
      <c r="L121" s="305"/>
      <c r="M121" s="311"/>
      <c r="N121" s="311"/>
      <c r="O121" s="221"/>
      <c r="P121" s="318"/>
      <c r="Q121" s="313"/>
      <c r="R121" s="314"/>
      <c r="Y121" s="315"/>
      <c r="Z121" s="246"/>
      <c r="AA121" s="235"/>
      <c r="AB121" s="247"/>
      <c r="AC121" s="235"/>
      <c r="AE121" s="235"/>
      <c r="AF121" s="316"/>
      <c r="AJ121" s="317"/>
      <c r="AK121" s="11"/>
    </row>
    <row r="122" spans="2:37" ht="15" customHeight="1" x14ac:dyDescent="0.25">
      <c r="B122" s="298"/>
      <c r="C122" s="245"/>
      <c r="D122" s="310"/>
      <c r="E122" s="310"/>
      <c r="F122" s="310"/>
      <c r="G122" s="310"/>
      <c r="H122" s="228"/>
      <c r="I122" s="304"/>
      <c r="J122" s="261"/>
      <c r="K122" s="261"/>
      <c r="L122" s="305"/>
      <c r="M122" s="311"/>
      <c r="N122" s="311"/>
      <c r="O122" s="221"/>
      <c r="P122" s="265"/>
      <c r="Q122" s="313"/>
      <c r="R122" s="314"/>
      <c r="Y122" s="315"/>
      <c r="Z122" s="246"/>
      <c r="AA122" s="235"/>
      <c r="AB122" s="247"/>
      <c r="AC122" s="235"/>
      <c r="AE122" s="235"/>
      <c r="AF122" s="316"/>
      <c r="AJ122" s="317"/>
      <c r="AK122" s="11"/>
    </row>
    <row r="123" spans="2:37" ht="15" customHeight="1" x14ac:dyDescent="0.25">
      <c r="B123" s="298"/>
      <c r="C123" s="245"/>
      <c r="D123" s="310"/>
      <c r="E123" s="310"/>
      <c r="F123" s="310"/>
      <c r="G123" s="310"/>
      <c r="H123" s="228"/>
      <c r="I123" s="304"/>
      <c r="J123" s="261"/>
      <c r="K123" s="261"/>
      <c r="L123" s="305"/>
      <c r="M123" s="311"/>
      <c r="N123" s="311"/>
      <c r="O123" s="221"/>
      <c r="P123" s="265"/>
      <c r="Q123" s="313"/>
      <c r="R123" s="314"/>
      <c r="Y123" s="315"/>
      <c r="Z123" s="246"/>
      <c r="AA123" s="235"/>
      <c r="AB123" s="247"/>
      <c r="AC123" s="235"/>
      <c r="AE123" s="235"/>
      <c r="AF123" s="316"/>
      <c r="AJ123" s="317"/>
      <c r="AK123" s="11"/>
    </row>
    <row r="124" spans="2:37" ht="15" customHeight="1" x14ac:dyDescent="0.25">
      <c r="B124" s="298"/>
      <c r="C124" s="245"/>
      <c r="D124" s="310"/>
      <c r="E124" s="310"/>
      <c r="F124" s="310"/>
      <c r="G124" s="310"/>
      <c r="H124" s="228"/>
      <c r="I124" s="304"/>
      <c r="J124" s="261"/>
      <c r="K124" s="261"/>
      <c r="L124" s="305"/>
      <c r="M124" s="311"/>
      <c r="N124" s="311"/>
      <c r="O124" s="221"/>
      <c r="P124" s="265"/>
      <c r="Q124" s="313"/>
      <c r="R124" s="314"/>
      <c r="Y124" s="315"/>
      <c r="Z124" s="246"/>
      <c r="AA124" s="235"/>
      <c r="AB124" s="247"/>
      <c r="AC124" s="235"/>
      <c r="AD124" s="235"/>
      <c r="AE124" s="235"/>
      <c r="AF124" s="316"/>
      <c r="AJ124" s="317"/>
      <c r="AK124" s="11"/>
    </row>
    <row r="125" spans="2:37" ht="15" customHeight="1" x14ac:dyDescent="0.25">
      <c r="B125" s="298"/>
      <c r="C125" s="245"/>
      <c r="D125" s="310"/>
      <c r="E125" s="310"/>
      <c r="F125" s="310"/>
      <c r="G125" s="310"/>
      <c r="H125" s="228"/>
      <c r="I125" s="304"/>
      <c r="J125" s="261"/>
      <c r="K125" s="261"/>
      <c r="L125" s="305"/>
      <c r="M125" s="311"/>
      <c r="N125" s="311"/>
      <c r="O125" s="221"/>
      <c r="P125" s="265"/>
      <c r="Q125" s="313"/>
      <c r="R125" s="314"/>
      <c r="Y125" s="315"/>
      <c r="Z125" s="246"/>
      <c r="AA125" s="235"/>
      <c r="AB125" s="247"/>
      <c r="AC125" s="235"/>
      <c r="AE125" s="235"/>
      <c r="AF125" s="316"/>
      <c r="AJ125" s="317"/>
      <c r="AK125" s="11"/>
    </row>
    <row r="126" spans="2:37" ht="15" customHeight="1" x14ac:dyDescent="0.25">
      <c r="B126" s="309"/>
      <c r="C126" s="245"/>
      <c r="D126" s="310"/>
      <c r="E126" s="310"/>
      <c r="F126" s="310"/>
      <c r="G126" s="310"/>
      <c r="H126" s="228"/>
      <c r="I126" s="304"/>
      <c r="J126" s="261"/>
      <c r="K126" s="261"/>
      <c r="L126" s="305"/>
      <c r="M126" s="311"/>
      <c r="N126" s="311"/>
      <c r="O126" s="312"/>
      <c r="P126" s="265"/>
      <c r="Q126" s="313"/>
      <c r="R126" s="314"/>
      <c r="Y126" s="315"/>
      <c r="Z126" s="246"/>
      <c r="AA126" s="235"/>
      <c r="AB126" s="247"/>
      <c r="AC126" s="235"/>
      <c r="AE126" s="235"/>
      <c r="AF126" s="316"/>
      <c r="AH126" s="1"/>
      <c r="AJ126" s="317"/>
      <c r="AK126" s="11"/>
    </row>
    <row r="127" spans="2:37" ht="15" customHeight="1" x14ac:dyDescent="0.25">
      <c r="B127" s="298"/>
      <c r="C127" s="245"/>
      <c r="D127" s="310"/>
      <c r="E127" s="310"/>
      <c r="F127" s="310"/>
      <c r="G127" s="310"/>
      <c r="H127" s="228"/>
      <c r="I127" s="304"/>
      <c r="J127" s="261"/>
      <c r="K127" s="261"/>
      <c r="L127" s="305"/>
      <c r="M127" s="311"/>
      <c r="N127" s="311"/>
      <c r="O127" s="221"/>
      <c r="P127" s="318"/>
      <c r="Q127" s="313"/>
      <c r="R127" s="314"/>
      <c r="Y127" s="315"/>
      <c r="Z127" s="246"/>
      <c r="AA127" s="235"/>
      <c r="AB127" s="247"/>
      <c r="AC127" s="235"/>
      <c r="AE127" s="235"/>
      <c r="AF127" s="316"/>
      <c r="AJ127" s="317"/>
      <c r="AK127" s="11"/>
    </row>
    <row r="128" spans="2:37" s="1" customFormat="1" ht="15" customHeight="1" x14ac:dyDescent="0.25">
      <c r="B128" s="298"/>
      <c r="C128" s="245"/>
      <c r="D128" s="310"/>
      <c r="E128" s="310"/>
      <c r="F128" s="310"/>
      <c r="G128" s="310"/>
      <c r="H128" s="228"/>
      <c r="I128" s="304"/>
      <c r="J128" s="261"/>
      <c r="K128" s="261"/>
      <c r="L128" s="305"/>
      <c r="M128" s="311"/>
      <c r="N128" s="311"/>
      <c r="O128" s="221"/>
      <c r="P128" s="265"/>
      <c r="Q128" s="313"/>
      <c r="R128" s="314"/>
      <c r="S128"/>
      <c r="T128"/>
      <c r="U128"/>
      <c r="V128"/>
      <c r="W128"/>
      <c r="X128"/>
      <c r="Y128" s="315"/>
      <c r="Z128" s="246"/>
      <c r="AA128" s="235"/>
      <c r="AB128" s="247"/>
      <c r="AC128" s="235"/>
      <c r="AD128"/>
      <c r="AE128" s="235"/>
      <c r="AF128" s="316"/>
      <c r="AG128"/>
      <c r="AH128"/>
      <c r="AJ128" s="317"/>
      <c r="AK128" s="11"/>
    </row>
    <row r="129" spans="2:37" ht="15" customHeight="1" x14ac:dyDescent="0.25">
      <c r="B129" s="298"/>
      <c r="C129" s="245"/>
      <c r="D129" s="310"/>
      <c r="E129" s="310"/>
      <c r="F129" s="310"/>
      <c r="G129" s="310"/>
      <c r="H129" s="228"/>
      <c r="I129" s="304"/>
      <c r="J129" s="261"/>
      <c r="K129" s="261"/>
      <c r="L129" s="305"/>
      <c r="M129" s="311"/>
      <c r="N129" s="311"/>
      <c r="O129" s="221"/>
      <c r="P129" s="265"/>
      <c r="Q129" s="313"/>
      <c r="R129" s="314"/>
      <c r="Y129" s="315"/>
      <c r="Z129" s="246"/>
      <c r="AA129" s="235"/>
      <c r="AB129" s="247"/>
      <c r="AC129" s="235"/>
      <c r="AE129" s="235"/>
      <c r="AF129" s="316"/>
      <c r="AH129" s="1"/>
      <c r="AJ129" s="317"/>
      <c r="AK129" s="11"/>
    </row>
    <row r="130" spans="2:37" ht="15" customHeight="1" x14ac:dyDescent="0.25">
      <c r="B130" s="298"/>
      <c r="C130" s="245"/>
      <c r="D130" s="310"/>
      <c r="E130" s="310"/>
      <c r="F130" s="310"/>
      <c r="G130" s="310"/>
      <c r="H130" s="228"/>
      <c r="I130" s="304"/>
      <c r="J130" s="261"/>
      <c r="K130" s="261"/>
      <c r="L130" s="305"/>
      <c r="M130" s="311"/>
      <c r="N130" s="311"/>
      <c r="O130" s="221"/>
      <c r="P130" s="265"/>
      <c r="Q130" s="313"/>
      <c r="R130" s="314"/>
      <c r="Y130" s="315"/>
      <c r="Z130" s="246"/>
      <c r="AA130" s="235"/>
      <c r="AB130" s="247"/>
      <c r="AC130" s="235"/>
      <c r="AE130" s="235"/>
      <c r="AF130" s="316"/>
      <c r="AH130" s="1"/>
      <c r="AJ130" s="317"/>
      <c r="AK130" s="11"/>
    </row>
    <row r="131" spans="2:37" s="1" customFormat="1" ht="15" customHeight="1" x14ac:dyDescent="0.25">
      <c r="B131" s="298"/>
      <c r="C131" s="245"/>
      <c r="D131" s="310"/>
      <c r="E131" s="310"/>
      <c r="F131" s="310"/>
      <c r="G131" s="310"/>
      <c r="H131" s="228"/>
      <c r="I131" s="304"/>
      <c r="J131" s="261"/>
      <c r="K131" s="261"/>
      <c r="L131" s="305"/>
      <c r="M131" s="311"/>
      <c r="N131" s="311"/>
      <c r="O131" s="221"/>
      <c r="P131" s="265"/>
      <c r="Q131" s="313"/>
      <c r="R131" s="314"/>
      <c r="S131"/>
      <c r="T131"/>
      <c r="U131"/>
      <c r="V131"/>
      <c r="W131"/>
      <c r="X131"/>
      <c r="Y131" s="315"/>
      <c r="Z131" s="246"/>
      <c r="AA131" s="235"/>
      <c r="AB131" s="247"/>
      <c r="AC131" s="235"/>
      <c r="AD131"/>
      <c r="AE131" s="235"/>
      <c r="AF131" s="316"/>
      <c r="AG131"/>
      <c r="AH131"/>
      <c r="AJ131" s="317"/>
      <c r="AK131" s="11"/>
    </row>
    <row r="132" spans="2:37" ht="15" customHeight="1" x14ac:dyDescent="0.25">
      <c r="B132" s="298"/>
      <c r="C132" s="245"/>
      <c r="D132" s="310"/>
      <c r="E132" s="310"/>
      <c r="F132" s="310"/>
      <c r="G132" s="310"/>
      <c r="H132" s="228"/>
      <c r="I132" s="304"/>
      <c r="J132" s="261"/>
      <c r="K132" s="261"/>
      <c r="L132" s="305"/>
      <c r="M132" s="311"/>
      <c r="N132" s="311"/>
      <c r="O132" s="221"/>
      <c r="P132" s="265"/>
      <c r="Q132" s="313"/>
      <c r="R132" s="314"/>
      <c r="Y132" s="315"/>
      <c r="Z132" s="246"/>
      <c r="AA132" s="235"/>
      <c r="AB132" s="247"/>
      <c r="AC132" s="235"/>
      <c r="AE132" s="235"/>
      <c r="AF132" s="316"/>
      <c r="AJ132" s="317"/>
      <c r="AK132" s="11"/>
    </row>
    <row r="133" spans="2:37" ht="15" customHeight="1" x14ac:dyDescent="0.25">
      <c r="B133" s="298"/>
      <c r="C133" s="245"/>
      <c r="D133" s="310"/>
      <c r="E133" s="310"/>
      <c r="F133" s="310"/>
      <c r="G133" s="310"/>
      <c r="H133" s="228"/>
      <c r="I133" s="304"/>
      <c r="J133" s="261"/>
      <c r="K133" s="261"/>
      <c r="L133" s="305"/>
      <c r="M133" s="311"/>
      <c r="N133" s="311"/>
      <c r="O133" s="221"/>
      <c r="P133" s="265"/>
      <c r="Q133" s="313"/>
      <c r="R133" s="314"/>
      <c r="T133" s="1"/>
      <c r="U133" s="1"/>
      <c r="V133" s="1"/>
      <c r="Y133" s="315"/>
      <c r="Z133" s="246"/>
      <c r="AA133" s="235"/>
      <c r="AB133" s="247"/>
      <c r="AC133" s="235"/>
      <c r="AD133" s="1"/>
      <c r="AE133" s="235"/>
      <c r="AF133" s="316"/>
      <c r="AJ133" s="317"/>
      <c r="AK133" s="11"/>
    </row>
    <row r="134" spans="2:37" ht="15" customHeight="1" x14ac:dyDescent="0.25">
      <c r="B134" s="309"/>
      <c r="C134" s="245"/>
      <c r="D134" s="310"/>
      <c r="E134" s="310"/>
      <c r="F134" s="310"/>
      <c r="G134" s="310"/>
      <c r="H134" s="228"/>
      <c r="I134" s="304"/>
      <c r="J134" s="261"/>
      <c r="K134" s="261"/>
      <c r="L134" s="305"/>
      <c r="M134" s="311"/>
      <c r="N134" s="311"/>
      <c r="O134" s="312"/>
      <c r="P134" s="265"/>
      <c r="Q134" s="313"/>
      <c r="R134" s="314"/>
      <c r="Y134" s="315"/>
      <c r="Z134" s="246"/>
      <c r="AA134" s="235"/>
      <c r="AB134" s="247"/>
      <c r="AC134" s="235"/>
      <c r="AE134" s="235"/>
      <c r="AF134" s="316"/>
      <c r="AJ134" s="317"/>
      <c r="AK134" s="11"/>
    </row>
    <row r="135" spans="2:37" ht="15" customHeight="1" x14ac:dyDescent="0.25">
      <c r="B135" s="298"/>
      <c r="C135" s="245"/>
      <c r="D135" s="310"/>
      <c r="E135" s="310"/>
      <c r="F135" s="310"/>
      <c r="G135" s="310"/>
      <c r="H135" s="228"/>
      <c r="I135" s="304"/>
      <c r="J135" s="261"/>
      <c r="K135" s="261"/>
      <c r="L135" s="305"/>
      <c r="M135" s="311"/>
      <c r="N135" s="311"/>
      <c r="O135" s="221"/>
      <c r="P135" s="318"/>
      <c r="Q135" s="313"/>
      <c r="R135" s="314"/>
      <c r="Y135" s="315"/>
      <c r="Z135" s="246"/>
      <c r="AA135" s="235"/>
      <c r="AB135" s="247"/>
      <c r="AC135" s="235"/>
      <c r="AE135" s="235"/>
      <c r="AF135" s="316"/>
      <c r="AJ135" s="317"/>
      <c r="AK135" s="11"/>
    </row>
    <row r="136" spans="2:37" ht="15" customHeight="1" x14ac:dyDescent="0.25">
      <c r="B136" s="298"/>
      <c r="C136" s="245"/>
      <c r="D136" s="310"/>
      <c r="E136" s="310"/>
      <c r="F136" s="310"/>
      <c r="G136" s="310"/>
      <c r="H136" s="228"/>
      <c r="I136" s="304"/>
      <c r="J136" s="261"/>
      <c r="K136" s="261"/>
      <c r="L136" s="305"/>
      <c r="M136" s="311"/>
      <c r="N136" s="311"/>
      <c r="O136" s="221"/>
      <c r="P136" s="318"/>
      <c r="Q136" s="313"/>
      <c r="R136" s="314"/>
      <c r="Y136" s="315"/>
      <c r="Z136" s="246"/>
      <c r="AA136" s="235"/>
      <c r="AB136" s="247"/>
      <c r="AC136" s="235"/>
      <c r="AE136" s="235"/>
      <c r="AF136" s="316"/>
      <c r="AJ136" s="317"/>
      <c r="AK136" s="11"/>
    </row>
    <row r="137" spans="2:37" ht="15" customHeight="1" x14ac:dyDescent="0.25">
      <c r="B137" s="298"/>
      <c r="C137" s="245"/>
      <c r="D137" s="310"/>
      <c r="E137" s="310"/>
      <c r="F137" s="310"/>
      <c r="G137" s="310"/>
      <c r="H137" s="228"/>
      <c r="I137" s="304"/>
      <c r="J137" s="261"/>
      <c r="K137" s="261"/>
      <c r="L137" s="305"/>
      <c r="M137" s="311"/>
      <c r="N137" s="311"/>
      <c r="O137" s="221"/>
      <c r="P137" s="265"/>
      <c r="Q137" s="313"/>
      <c r="R137" s="314"/>
      <c r="T137" s="1"/>
      <c r="U137" s="1"/>
      <c r="V137" s="1"/>
      <c r="Y137" s="315"/>
      <c r="Z137" s="246"/>
      <c r="AA137" s="235"/>
      <c r="AB137" s="247"/>
      <c r="AC137" s="235"/>
      <c r="AD137" s="1"/>
      <c r="AE137" s="235"/>
      <c r="AF137" s="316"/>
      <c r="AJ137" s="317"/>
      <c r="AK137" s="11"/>
    </row>
    <row r="138" spans="2:37" ht="15" customHeight="1" x14ac:dyDescent="0.25">
      <c r="B138" s="298"/>
      <c r="C138" s="245"/>
      <c r="D138" s="310"/>
      <c r="E138" s="310"/>
      <c r="F138" s="310"/>
      <c r="G138" s="310"/>
      <c r="H138" s="228"/>
      <c r="I138" s="304"/>
      <c r="J138" s="261"/>
      <c r="K138" s="261"/>
      <c r="L138" s="305"/>
      <c r="M138" s="311"/>
      <c r="N138" s="311"/>
      <c r="O138" s="221"/>
      <c r="P138" s="265"/>
      <c r="Q138" s="313"/>
      <c r="R138" s="314"/>
      <c r="Y138" s="315"/>
      <c r="Z138" s="246"/>
      <c r="AA138" s="235"/>
      <c r="AB138" s="247"/>
      <c r="AC138" s="235"/>
      <c r="AE138" s="235"/>
      <c r="AF138" s="316"/>
      <c r="AJ138" s="317"/>
      <c r="AK138" s="11"/>
    </row>
    <row r="139" spans="2:37" ht="15" customHeight="1" x14ac:dyDescent="0.25">
      <c r="B139" s="298"/>
      <c r="C139" s="245"/>
      <c r="D139" s="310"/>
      <c r="E139" s="310"/>
      <c r="F139" s="310"/>
      <c r="G139" s="310"/>
      <c r="H139" s="228"/>
      <c r="I139" s="304"/>
      <c r="J139" s="261"/>
      <c r="K139" s="261"/>
      <c r="L139" s="305"/>
      <c r="M139" s="311"/>
      <c r="N139" s="311"/>
      <c r="O139" s="221"/>
      <c r="P139" s="265"/>
      <c r="Q139" s="313"/>
      <c r="R139" s="314"/>
      <c r="Y139" s="315"/>
      <c r="Z139" s="246"/>
      <c r="AA139" s="235"/>
      <c r="AB139" s="247"/>
      <c r="AC139" s="235"/>
      <c r="AE139" s="235"/>
      <c r="AF139" s="316"/>
      <c r="AJ139" s="317"/>
      <c r="AK139" s="11"/>
    </row>
    <row r="140" spans="2:37" ht="15" customHeight="1" x14ac:dyDescent="0.25">
      <c r="B140" s="309"/>
      <c r="C140" s="245"/>
      <c r="D140" s="310"/>
      <c r="E140" s="310"/>
      <c r="F140" s="310"/>
      <c r="G140" s="310"/>
      <c r="H140" s="228"/>
      <c r="I140" s="304"/>
      <c r="J140" s="261"/>
      <c r="K140" s="261"/>
      <c r="L140" s="305"/>
      <c r="M140" s="311"/>
      <c r="N140" s="311"/>
      <c r="O140" s="312"/>
      <c r="P140" s="318"/>
      <c r="Q140" s="313"/>
      <c r="R140" s="314"/>
      <c r="Y140" s="315"/>
      <c r="Z140" s="246"/>
      <c r="AA140" s="235"/>
      <c r="AB140" s="247"/>
      <c r="AC140" s="235"/>
      <c r="AE140" s="235"/>
      <c r="AF140" s="316"/>
      <c r="AJ140" s="317"/>
      <c r="AK140" s="11"/>
    </row>
    <row r="141" spans="2:37" ht="15" customHeight="1" x14ac:dyDescent="0.25">
      <c r="B141" s="298"/>
      <c r="C141" s="245"/>
      <c r="D141" s="310"/>
      <c r="E141" s="310"/>
      <c r="F141" s="310"/>
      <c r="G141" s="310"/>
      <c r="H141" s="228"/>
      <c r="I141" s="304"/>
      <c r="J141" s="261"/>
      <c r="K141" s="261"/>
      <c r="L141" s="305"/>
      <c r="M141" s="311"/>
      <c r="N141" s="311"/>
      <c r="O141" s="221"/>
      <c r="P141" s="318"/>
      <c r="Q141" s="313"/>
      <c r="R141" s="314"/>
      <c r="Y141" s="315"/>
      <c r="Z141" s="246"/>
      <c r="AA141" s="235"/>
      <c r="AB141" s="247"/>
      <c r="AC141" s="235"/>
      <c r="AE141" s="235"/>
      <c r="AF141" s="316"/>
      <c r="AJ141" s="317"/>
      <c r="AK141" s="11"/>
    </row>
    <row r="142" spans="2:37" ht="15" customHeight="1" x14ac:dyDescent="0.25">
      <c r="B142" s="298"/>
      <c r="C142" s="245"/>
      <c r="D142" s="310"/>
      <c r="E142" s="310"/>
      <c r="F142" s="310"/>
      <c r="G142" s="310"/>
      <c r="H142" s="228"/>
      <c r="I142" s="304"/>
      <c r="J142" s="261"/>
      <c r="K142" s="261"/>
      <c r="L142" s="305"/>
      <c r="M142" s="311"/>
      <c r="N142" s="311"/>
      <c r="O142" s="221"/>
      <c r="P142" s="318"/>
      <c r="Q142" s="313"/>
      <c r="R142" s="314"/>
      <c r="Y142" s="315"/>
      <c r="Z142" s="246"/>
      <c r="AA142" s="235"/>
      <c r="AB142" s="247"/>
      <c r="AC142" s="235"/>
      <c r="AE142" s="235"/>
      <c r="AF142" s="316"/>
      <c r="AJ142" s="317"/>
      <c r="AK142" s="11"/>
    </row>
    <row r="143" spans="2:37" ht="15" customHeight="1" x14ac:dyDescent="0.25">
      <c r="B143" s="298"/>
      <c r="C143" s="245"/>
      <c r="D143" s="310"/>
      <c r="E143" s="310"/>
      <c r="F143" s="310"/>
      <c r="G143" s="310"/>
      <c r="H143" s="228"/>
      <c r="I143" s="304"/>
      <c r="J143" s="261"/>
      <c r="K143" s="261"/>
      <c r="L143" s="305"/>
      <c r="M143" s="311"/>
      <c r="N143" s="311"/>
      <c r="O143" s="221"/>
      <c r="P143" s="265"/>
      <c r="Q143" s="313"/>
      <c r="R143" s="314"/>
      <c r="Y143" s="315"/>
      <c r="Z143" s="246"/>
      <c r="AA143" s="235"/>
      <c r="AB143" s="247"/>
      <c r="AC143" s="235"/>
      <c r="AE143" s="235"/>
      <c r="AF143" s="316"/>
      <c r="AJ143" s="317"/>
      <c r="AK143" s="11"/>
    </row>
    <row r="144" spans="2:37" ht="15" customHeight="1" x14ac:dyDescent="0.25">
      <c r="B144" s="298"/>
      <c r="C144" s="245"/>
      <c r="D144" s="310"/>
      <c r="E144" s="310"/>
      <c r="F144" s="310"/>
      <c r="G144" s="310"/>
      <c r="H144" s="228"/>
      <c r="I144" s="304"/>
      <c r="J144" s="261"/>
      <c r="K144" s="261"/>
      <c r="L144" s="305"/>
      <c r="M144" s="311"/>
      <c r="N144" s="311"/>
      <c r="O144" s="221"/>
      <c r="P144" s="265"/>
      <c r="Q144" s="313"/>
      <c r="R144" s="314"/>
      <c r="Y144" s="315"/>
      <c r="Z144" s="246"/>
      <c r="AA144" s="235"/>
      <c r="AB144" s="247"/>
      <c r="AC144" s="235"/>
      <c r="AE144" s="235"/>
      <c r="AF144" s="316"/>
      <c r="AJ144" s="317"/>
      <c r="AK144" s="11"/>
    </row>
    <row r="145" spans="2:37" ht="15" customHeight="1" x14ac:dyDescent="0.25">
      <c r="B145" s="298"/>
      <c r="C145" s="245"/>
      <c r="D145" s="310"/>
      <c r="E145" s="310"/>
      <c r="F145" s="310"/>
      <c r="G145" s="310"/>
      <c r="H145" s="228"/>
      <c r="I145" s="304"/>
      <c r="J145" s="261"/>
      <c r="K145" s="261"/>
      <c r="L145" s="305"/>
      <c r="M145" s="311"/>
      <c r="N145" s="311"/>
      <c r="O145" s="221"/>
      <c r="P145" s="265"/>
      <c r="Q145" s="313"/>
      <c r="R145" s="314"/>
      <c r="Y145" s="315"/>
      <c r="Z145" s="246"/>
      <c r="AA145" s="235"/>
      <c r="AB145" s="247"/>
      <c r="AC145" s="235"/>
      <c r="AE145" s="235"/>
      <c r="AF145" s="316"/>
      <c r="AJ145" s="317"/>
      <c r="AK145" s="11"/>
    </row>
    <row r="146" spans="2:37" ht="15" customHeight="1" x14ac:dyDescent="0.25">
      <c r="B146" s="298"/>
      <c r="C146" s="245"/>
      <c r="D146" s="310"/>
      <c r="E146" s="310"/>
      <c r="F146" s="310"/>
      <c r="G146" s="310"/>
      <c r="H146" s="228"/>
      <c r="I146" s="304"/>
      <c r="J146" s="261"/>
      <c r="K146" s="261"/>
      <c r="L146" s="305"/>
      <c r="M146" s="311"/>
      <c r="N146" s="311"/>
      <c r="O146" s="221"/>
      <c r="P146" s="265"/>
      <c r="Q146" s="313"/>
      <c r="R146" s="314"/>
      <c r="Y146" s="315"/>
      <c r="Z146" s="246"/>
      <c r="AA146" s="235"/>
      <c r="AB146" s="247"/>
      <c r="AC146" s="235"/>
      <c r="AE146" s="235"/>
      <c r="AF146" s="316"/>
      <c r="AJ146" s="317"/>
      <c r="AK146" s="11"/>
    </row>
    <row r="147" spans="2:37" s="1" customFormat="1" ht="15" customHeight="1" x14ac:dyDescent="0.25">
      <c r="B147" s="298"/>
      <c r="C147" s="245"/>
      <c r="D147" s="310"/>
      <c r="E147" s="310"/>
      <c r="F147" s="310"/>
      <c r="G147" s="310"/>
      <c r="H147" s="228"/>
      <c r="I147" s="304"/>
      <c r="J147" s="261"/>
      <c r="K147" s="261"/>
      <c r="L147" s="305"/>
      <c r="M147" s="311"/>
      <c r="N147" s="311"/>
      <c r="O147" s="221"/>
      <c r="P147" s="265"/>
      <c r="Q147" s="313"/>
      <c r="R147" s="314"/>
      <c r="S147"/>
      <c r="T147"/>
      <c r="U147"/>
      <c r="V147"/>
      <c r="W147"/>
      <c r="X147"/>
      <c r="Y147" s="315"/>
      <c r="Z147" s="246"/>
      <c r="AA147" s="235"/>
      <c r="AB147" s="247"/>
      <c r="AC147" s="235"/>
      <c r="AD147"/>
      <c r="AE147" s="235"/>
      <c r="AF147" s="316"/>
      <c r="AG147"/>
      <c r="AH147"/>
      <c r="AJ147" s="317"/>
      <c r="AK147" s="11"/>
    </row>
    <row r="148" spans="2:37" ht="15" customHeight="1" x14ac:dyDescent="0.25">
      <c r="B148" s="298"/>
      <c r="C148" s="245"/>
      <c r="D148" s="310"/>
      <c r="E148" s="310"/>
      <c r="F148" s="310"/>
      <c r="G148" s="310"/>
      <c r="H148" s="228"/>
      <c r="I148" s="304"/>
      <c r="J148" s="261"/>
      <c r="K148" s="261"/>
      <c r="L148" s="305"/>
      <c r="M148" s="311"/>
      <c r="N148" s="311"/>
      <c r="O148" s="221"/>
      <c r="P148" s="265"/>
      <c r="Q148" s="313"/>
      <c r="R148" s="314"/>
      <c r="Y148" s="315"/>
      <c r="Z148" s="246"/>
      <c r="AA148" s="235"/>
      <c r="AB148" s="247"/>
      <c r="AC148" s="235"/>
      <c r="AE148" s="235"/>
      <c r="AF148" s="316"/>
      <c r="AH148" s="1"/>
      <c r="AJ148" s="317"/>
      <c r="AK148" s="11"/>
    </row>
    <row r="149" spans="2:37" ht="15" customHeight="1" x14ac:dyDescent="0.25">
      <c r="B149" s="298"/>
      <c r="C149" s="245"/>
      <c r="D149" s="310"/>
      <c r="E149" s="310"/>
      <c r="F149" s="310"/>
      <c r="G149" s="310"/>
      <c r="H149" s="228"/>
      <c r="I149" s="304"/>
      <c r="J149" s="261"/>
      <c r="K149" s="261"/>
      <c r="L149" s="305"/>
      <c r="M149" s="311"/>
      <c r="N149" s="311"/>
      <c r="O149" s="221"/>
      <c r="P149" s="318"/>
      <c r="Q149" s="313"/>
      <c r="R149" s="314"/>
      <c r="Y149" s="315"/>
      <c r="Z149" s="246"/>
      <c r="AA149" s="235"/>
      <c r="AB149" s="247"/>
      <c r="AC149" s="235"/>
      <c r="AE149" s="235"/>
      <c r="AF149" s="316"/>
      <c r="AJ149" s="317"/>
      <c r="AK149" s="11"/>
    </row>
    <row r="150" spans="2:37" ht="15" customHeight="1" x14ac:dyDescent="0.25">
      <c r="B150" s="298"/>
      <c r="C150" s="245"/>
      <c r="D150" s="310"/>
      <c r="E150" s="310"/>
      <c r="F150" s="310"/>
      <c r="G150" s="310"/>
      <c r="H150" s="228"/>
      <c r="I150" s="304"/>
      <c r="J150" s="261"/>
      <c r="K150" s="261"/>
      <c r="L150" s="305"/>
      <c r="M150" s="311"/>
      <c r="N150" s="311"/>
      <c r="O150" s="221"/>
      <c r="P150" s="318"/>
      <c r="Q150" s="313"/>
      <c r="R150" s="314"/>
      <c r="Y150" s="315"/>
      <c r="Z150" s="246"/>
      <c r="AA150" s="235"/>
      <c r="AB150" s="247"/>
      <c r="AC150" s="235"/>
      <c r="AE150" s="235"/>
      <c r="AF150" s="316"/>
      <c r="AJ150" s="317"/>
      <c r="AK150" s="11"/>
    </row>
    <row r="151" spans="2:37" ht="15" customHeight="1" x14ac:dyDescent="0.25">
      <c r="B151" s="298"/>
      <c r="C151" s="245"/>
      <c r="D151" s="310"/>
      <c r="E151" s="310"/>
      <c r="F151" s="310"/>
      <c r="G151" s="310"/>
      <c r="H151" s="228"/>
      <c r="I151" s="304"/>
      <c r="J151" s="261"/>
      <c r="K151" s="261"/>
      <c r="L151" s="305"/>
      <c r="M151" s="311"/>
      <c r="N151" s="311"/>
      <c r="O151" s="221"/>
      <c r="P151" s="265"/>
      <c r="Q151" s="313"/>
      <c r="R151" s="314"/>
      <c r="Y151" s="315"/>
      <c r="Z151" s="246"/>
      <c r="AA151" s="235"/>
      <c r="AB151" s="247"/>
      <c r="AC151" s="235"/>
      <c r="AE151" s="235"/>
      <c r="AF151" s="316"/>
      <c r="AJ151" s="317"/>
      <c r="AK151" s="11"/>
    </row>
    <row r="152" spans="2:37" ht="15" customHeight="1" x14ac:dyDescent="0.25">
      <c r="B152" s="309"/>
      <c r="C152" s="245"/>
      <c r="D152" s="310"/>
      <c r="E152" s="310"/>
      <c r="F152" s="310"/>
      <c r="G152" s="310"/>
      <c r="H152" s="228"/>
      <c r="I152" s="304"/>
      <c r="J152" s="261"/>
      <c r="K152" s="261"/>
      <c r="L152" s="305"/>
      <c r="M152" s="311"/>
      <c r="N152" s="311"/>
      <c r="O152" s="312"/>
      <c r="P152" s="265"/>
      <c r="Q152" s="313"/>
      <c r="R152" s="314"/>
      <c r="Y152" s="315"/>
      <c r="Z152" s="246"/>
      <c r="AA152" s="235"/>
      <c r="AB152" s="247"/>
      <c r="AC152" s="235"/>
      <c r="AE152" s="235"/>
      <c r="AF152" s="316"/>
      <c r="AJ152" s="317"/>
      <c r="AK152" s="11"/>
    </row>
    <row r="153" spans="2:37" ht="15" customHeight="1" x14ac:dyDescent="0.25">
      <c r="B153" s="298"/>
      <c r="C153" s="245"/>
      <c r="D153" s="310"/>
      <c r="E153" s="310"/>
      <c r="F153" s="310"/>
      <c r="G153" s="310"/>
      <c r="H153" s="228"/>
      <c r="I153" s="304"/>
      <c r="J153" s="261"/>
      <c r="K153" s="261"/>
      <c r="L153" s="305"/>
      <c r="M153" s="311"/>
      <c r="N153" s="311"/>
      <c r="O153" s="221"/>
      <c r="P153" s="265"/>
      <c r="Q153" s="313"/>
      <c r="R153" s="314"/>
      <c r="V153" s="252"/>
      <c r="Y153" s="315"/>
      <c r="Z153" s="246"/>
      <c r="AA153" s="235"/>
      <c r="AB153" s="247"/>
      <c r="AC153" s="235"/>
      <c r="AE153" s="235"/>
      <c r="AF153" s="316"/>
      <c r="AJ153" s="317"/>
      <c r="AK153" s="11"/>
    </row>
    <row r="154" spans="2:37" ht="15" customHeight="1" x14ac:dyDescent="0.25">
      <c r="B154" s="298"/>
      <c r="C154" s="245"/>
      <c r="D154" s="310"/>
      <c r="E154" s="310"/>
      <c r="F154" s="310"/>
      <c r="G154" s="310"/>
      <c r="H154" s="228"/>
      <c r="I154" s="304"/>
      <c r="J154" s="261"/>
      <c r="K154" s="261"/>
      <c r="L154" s="305"/>
      <c r="M154" s="311"/>
      <c r="N154" s="311"/>
      <c r="O154" s="221"/>
      <c r="P154" s="318"/>
      <c r="Q154" s="313"/>
      <c r="R154" s="314"/>
      <c r="U154" s="320"/>
      <c r="V154" s="321"/>
      <c r="Y154" s="315"/>
      <c r="Z154" s="246"/>
      <c r="AA154" s="235"/>
      <c r="AB154" s="247"/>
      <c r="AC154" s="235"/>
      <c r="AE154" s="235"/>
      <c r="AF154" s="316"/>
      <c r="AJ154" s="317"/>
      <c r="AK154" s="11"/>
    </row>
    <row r="155" spans="2:37" ht="15" customHeight="1" x14ac:dyDescent="0.25">
      <c r="B155" s="298"/>
      <c r="C155" s="245"/>
      <c r="D155" s="310"/>
      <c r="E155" s="310"/>
      <c r="F155" s="310"/>
      <c r="G155" s="310"/>
      <c r="H155" s="228"/>
      <c r="I155" s="304"/>
      <c r="J155" s="261"/>
      <c r="K155" s="261"/>
      <c r="L155" s="305"/>
      <c r="M155" s="311"/>
      <c r="N155" s="311"/>
      <c r="O155" s="221"/>
      <c r="P155" s="265"/>
      <c r="Q155" s="313"/>
      <c r="R155" s="314"/>
      <c r="Y155" s="315"/>
      <c r="Z155" s="246"/>
      <c r="AA155" s="235"/>
      <c r="AB155" s="247"/>
      <c r="AC155" s="235"/>
      <c r="AE155" s="235"/>
      <c r="AF155" s="316"/>
      <c r="AJ155" s="317"/>
      <c r="AK155" s="11"/>
    </row>
    <row r="156" spans="2:37" ht="15" customHeight="1" x14ac:dyDescent="0.25">
      <c r="B156" s="298"/>
      <c r="C156" s="245"/>
      <c r="D156" s="310"/>
      <c r="E156" s="310"/>
      <c r="F156" s="310"/>
      <c r="G156" s="310"/>
      <c r="H156" s="228"/>
      <c r="I156" s="304"/>
      <c r="J156" s="261"/>
      <c r="K156" s="261"/>
      <c r="L156" s="305"/>
      <c r="M156" s="311"/>
      <c r="N156" s="311"/>
      <c r="O156" s="221"/>
      <c r="P156" s="265"/>
      <c r="Q156" s="313"/>
      <c r="R156" s="314"/>
      <c r="Y156" s="315"/>
      <c r="Z156" s="246"/>
      <c r="AA156" s="235"/>
      <c r="AB156" s="247"/>
      <c r="AC156" s="235"/>
      <c r="AE156" s="235"/>
      <c r="AF156" s="316"/>
      <c r="AJ156" s="317"/>
      <c r="AK156" s="11"/>
    </row>
    <row r="157" spans="2:37" ht="15" customHeight="1" x14ac:dyDescent="0.25">
      <c r="B157" s="298"/>
      <c r="C157" s="245"/>
      <c r="D157" s="310"/>
      <c r="E157" s="310"/>
      <c r="F157" s="310"/>
      <c r="G157" s="310"/>
      <c r="H157" s="228"/>
      <c r="I157" s="304"/>
      <c r="J157" s="261"/>
      <c r="K157" s="261"/>
      <c r="L157" s="305"/>
      <c r="M157" s="311"/>
      <c r="N157" s="311"/>
      <c r="O157" s="221"/>
      <c r="P157" s="318"/>
      <c r="Q157" s="313"/>
      <c r="R157" s="314"/>
      <c r="Y157" s="315"/>
      <c r="Z157" s="246"/>
      <c r="AA157" s="235"/>
      <c r="AB157" s="247"/>
      <c r="AC157" s="235"/>
      <c r="AE157" s="235"/>
      <c r="AF157" s="316"/>
      <c r="AJ157" s="317"/>
      <c r="AK157" s="11"/>
    </row>
    <row r="158" spans="2:37" ht="15" customHeight="1" x14ac:dyDescent="0.25">
      <c r="B158" s="298"/>
      <c r="C158" s="245"/>
      <c r="D158" s="310"/>
      <c r="E158" s="310"/>
      <c r="F158" s="310"/>
      <c r="G158" s="310"/>
      <c r="H158" s="228"/>
      <c r="I158" s="304"/>
      <c r="J158" s="261"/>
      <c r="K158" s="261"/>
      <c r="L158" s="305"/>
      <c r="M158" s="311"/>
      <c r="N158" s="311"/>
      <c r="O158" s="221"/>
      <c r="P158" s="265"/>
      <c r="Q158" s="313"/>
      <c r="R158" s="314"/>
      <c r="Y158" s="315"/>
      <c r="Z158" s="246"/>
      <c r="AA158" s="235"/>
      <c r="AB158" s="247"/>
      <c r="AC158" s="235"/>
      <c r="AE158" s="235"/>
      <c r="AF158" s="316"/>
      <c r="AJ158" s="317"/>
      <c r="AK158" s="11"/>
    </row>
    <row r="159" spans="2:37" s="248" customFormat="1" ht="15" customHeight="1" x14ac:dyDescent="0.25">
      <c r="B159" s="309"/>
      <c r="C159" s="245"/>
      <c r="D159" s="310"/>
      <c r="E159" s="310"/>
      <c r="F159" s="310"/>
      <c r="G159" s="310"/>
      <c r="H159" s="228"/>
      <c r="I159" s="304"/>
      <c r="J159" s="261"/>
      <c r="K159" s="261"/>
      <c r="L159" s="305"/>
      <c r="M159" s="311"/>
      <c r="N159" s="311"/>
      <c r="O159" s="312"/>
      <c r="P159" s="318"/>
      <c r="Q159" s="313"/>
      <c r="R159" s="314"/>
      <c r="S159"/>
      <c r="T159" s="1"/>
      <c r="U159" s="1"/>
      <c r="V159" s="1"/>
      <c r="W159"/>
      <c r="X159"/>
      <c r="Y159" s="315"/>
      <c r="Z159" s="246"/>
      <c r="AA159" s="235"/>
      <c r="AB159" s="247"/>
      <c r="AC159" s="235"/>
      <c r="AD159" s="1"/>
      <c r="AE159" s="235"/>
      <c r="AF159" s="316"/>
      <c r="AG159"/>
      <c r="AH159"/>
      <c r="AJ159" s="317"/>
      <c r="AK159" s="11"/>
    </row>
    <row r="160" spans="2:37" ht="15" customHeight="1" x14ac:dyDescent="0.25">
      <c r="B160" s="309"/>
      <c r="C160" s="245"/>
      <c r="D160" s="310"/>
      <c r="E160" s="310"/>
      <c r="F160" s="310"/>
      <c r="G160" s="310"/>
      <c r="H160" s="228"/>
      <c r="I160" s="304"/>
      <c r="J160" s="261"/>
      <c r="K160" s="261"/>
      <c r="L160" s="305"/>
      <c r="M160" s="311"/>
      <c r="N160" s="311"/>
      <c r="O160" s="312"/>
      <c r="P160" s="318"/>
      <c r="Q160" s="313"/>
      <c r="R160" s="314"/>
      <c r="T160" s="248"/>
      <c r="U160" s="248"/>
      <c r="V160" s="248"/>
      <c r="Y160" s="315"/>
      <c r="Z160" s="246"/>
      <c r="AA160" s="235"/>
      <c r="AB160" s="247"/>
      <c r="AC160" s="235"/>
      <c r="AD160" s="248"/>
      <c r="AE160" s="235"/>
      <c r="AF160" s="316"/>
      <c r="AJ160" s="317"/>
      <c r="AK160" s="11"/>
    </row>
    <row r="161" spans="2:37" ht="15" customHeight="1" x14ac:dyDescent="0.25">
      <c r="B161" s="298"/>
      <c r="C161" s="245"/>
      <c r="D161" s="310"/>
      <c r="E161" s="310"/>
      <c r="F161" s="310"/>
      <c r="G161" s="310"/>
      <c r="H161" s="228"/>
      <c r="I161" s="304"/>
      <c r="J161" s="261"/>
      <c r="K161" s="261"/>
      <c r="L161" s="305"/>
      <c r="M161" s="311"/>
      <c r="N161" s="311"/>
      <c r="O161" s="221"/>
      <c r="P161" s="318"/>
      <c r="Q161" s="313"/>
      <c r="R161" s="314"/>
      <c r="Y161" s="315"/>
      <c r="Z161" s="246"/>
      <c r="AA161" s="235"/>
      <c r="AB161" s="247"/>
      <c r="AC161" s="235"/>
      <c r="AE161" s="235"/>
      <c r="AF161" s="316"/>
      <c r="AH161" s="248"/>
      <c r="AJ161" s="317"/>
      <c r="AK161" s="11"/>
    </row>
    <row r="162" spans="2:37" ht="15" customHeight="1" x14ac:dyDescent="0.25">
      <c r="B162" s="298"/>
      <c r="C162" s="245"/>
      <c r="D162" s="310"/>
      <c r="E162" s="310"/>
      <c r="F162" s="310"/>
      <c r="G162" s="310"/>
      <c r="H162" s="228"/>
      <c r="I162" s="304"/>
      <c r="J162" s="261"/>
      <c r="K162" s="261"/>
      <c r="L162" s="305"/>
      <c r="M162" s="311"/>
      <c r="N162" s="311"/>
      <c r="O162" s="221"/>
      <c r="P162" s="265"/>
      <c r="Q162" s="313"/>
      <c r="R162" s="314"/>
      <c r="Y162" s="315"/>
      <c r="Z162" s="246"/>
      <c r="AA162" s="235"/>
      <c r="AB162" s="247"/>
      <c r="AC162" s="235"/>
      <c r="AE162" s="235"/>
      <c r="AF162" s="316"/>
      <c r="AJ162" s="317"/>
      <c r="AK162" s="11"/>
    </row>
    <row r="163" spans="2:37" ht="15" customHeight="1" x14ac:dyDescent="0.25">
      <c r="B163" s="309"/>
      <c r="C163" s="245"/>
      <c r="D163" s="310"/>
      <c r="E163" s="310"/>
      <c r="F163" s="310"/>
      <c r="G163" s="310"/>
      <c r="H163" s="228"/>
      <c r="I163" s="304"/>
      <c r="J163" s="261"/>
      <c r="K163" s="261"/>
      <c r="L163" s="305"/>
      <c r="M163" s="311"/>
      <c r="N163" s="311"/>
      <c r="O163" s="312"/>
      <c r="P163" s="265"/>
      <c r="Q163" s="313"/>
      <c r="R163" s="314"/>
      <c r="Y163" s="315"/>
      <c r="Z163" s="246"/>
      <c r="AA163" s="235"/>
      <c r="AB163" s="247"/>
      <c r="AC163" s="235"/>
      <c r="AE163" s="235"/>
      <c r="AF163" s="316"/>
      <c r="AJ163" s="317"/>
      <c r="AK163" s="11"/>
    </row>
    <row r="164" spans="2:37" ht="15" customHeight="1" x14ac:dyDescent="0.25">
      <c r="B164" s="298"/>
      <c r="C164" s="245"/>
      <c r="D164" s="310"/>
      <c r="E164" s="310"/>
      <c r="F164" s="310"/>
      <c r="G164" s="310"/>
      <c r="H164" s="228"/>
      <c r="I164" s="304"/>
      <c r="J164" s="261"/>
      <c r="K164" s="261"/>
      <c r="L164" s="305"/>
      <c r="M164" s="311"/>
      <c r="N164" s="311"/>
      <c r="O164" s="221"/>
      <c r="P164" s="265"/>
      <c r="Q164" s="313"/>
      <c r="R164" s="314"/>
      <c r="T164" s="248"/>
      <c r="U164" s="248"/>
      <c r="V164" s="248"/>
      <c r="Y164" s="315"/>
      <c r="Z164" s="246"/>
      <c r="AA164" s="235"/>
      <c r="AB164" s="247"/>
      <c r="AC164" s="235"/>
      <c r="AD164" s="248"/>
      <c r="AE164" s="235"/>
      <c r="AF164" s="316"/>
      <c r="AJ164" s="317"/>
      <c r="AK164" s="11"/>
    </row>
    <row r="165" spans="2:37" s="4" customFormat="1" ht="15" customHeight="1" x14ac:dyDescent="0.25">
      <c r="B165" s="298"/>
      <c r="C165" s="245"/>
      <c r="D165" s="310"/>
      <c r="E165" s="310"/>
      <c r="F165" s="310"/>
      <c r="G165" s="310"/>
      <c r="H165" s="228"/>
      <c r="I165" s="304"/>
      <c r="J165" s="261"/>
      <c r="K165" s="261"/>
      <c r="L165" s="305"/>
      <c r="M165" s="311"/>
      <c r="N165" s="311"/>
      <c r="O165" s="221"/>
      <c r="P165" s="318"/>
      <c r="Q165" s="313"/>
      <c r="R165" s="314"/>
      <c r="S165"/>
      <c r="T165"/>
      <c r="U165"/>
      <c r="V165"/>
      <c r="W165"/>
      <c r="X165"/>
      <c r="Y165" s="315"/>
      <c r="Z165" s="246"/>
      <c r="AA165" s="235"/>
      <c r="AB165" s="247"/>
      <c r="AC165" s="235"/>
      <c r="AD165"/>
      <c r="AE165" s="235"/>
      <c r="AF165" s="316"/>
      <c r="AG165"/>
      <c r="AH165"/>
      <c r="AI165" s="371"/>
      <c r="AJ165" s="317"/>
      <c r="AK165" s="11"/>
    </row>
    <row r="166" spans="2:37" ht="15" customHeight="1" x14ac:dyDescent="0.25">
      <c r="B166" s="298"/>
      <c r="C166" s="245"/>
      <c r="D166" s="310"/>
      <c r="E166" s="310"/>
      <c r="F166" s="310"/>
      <c r="G166" s="310"/>
      <c r="H166" s="228"/>
      <c r="I166" s="304"/>
      <c r="J166" s="261"/>
      <c r="K166" s="261"/>
      <c r="L166" s="305"/>
      <c r="M166" s="311"/>
      <c r="N166" s="311"/>
      <c r="O166" s="221"/>
      <c r="P166" s="265"/>
      <c r="Q166" s="313"/>
      <c r="R166" s="314"/>
      <c r="Y166" s="315"/>
      <c r="Z166" s="246"/>
      <c r="AA166" s="235"/>
      <c r="AB166" s="247"/>
      <c r="AC166" s="235"/>
      <c r="AE166" s="235"/>
      <c r="AF166" s="316"/>
      <c r="AJ166" s="317"/>
      <c r="AK166" s="11"/>
    </row>
    <row r="167" spans="2:37" ht="15" customHeight="1" x14ac:dyDescent="0.25">
      <c r="B167" s="298"/>
      <c r="C167" s="245"/>
      <c r="D167" s="310"/>
      <c r="E167" s="310"/>
      <c r="F167" s="310"/>
      <c r="G167" s="310"/>
      <c r="H167" s="228"/>
      <c r="I167" s="304"/>
      <c r="J167" s="261"/>
      <c r="K167" s="261"/>
      <c r="L167" s="305"/>
      <c r="M167" s="311"/>
      <c r="N167" s="311"/>
      <c r="O167" s="221"/>
      <c r="P167" s="318"/>
      <c r="Q167" s="313"/>
      <c r="R167" s="314"/>
      <c r="Y167" s="315"/>
      <c r="Z167" s="246"/>
      <c r="AA167" s="235"/>
      <c r="AB167" s="247"/>
      <c r="AC167" s="235"/>
      <c r="AE167" s="235"/>
      <c r="AF167" s="316"/>
      <c r="AH167" s="371"/>
      <c r="AJ167" s="317"/>
      <c r="AK167" s="11"/>
    </row>
    <row r="168" spans="2:37" ht="15" customHeight="1" x14ac:dyDescent="0.25">
      <c r="B168" s="298"/>
      <c r="C168" s="245"/>
      <c r="D168" s="310"/>
      <c r="E168" s="310"/>
      <c r="F168" s="310"/>
      <c r="G168" s="310"/>
      <c r="H168" s="228"/>
      <c r="I168" s="304"/>
      <c r="J168" s="261"/>
      <c r="K168" s="261"/>
      <c r="L168" s="305"/>
      <c r="M168" s="311"/>
      <c r="N168" s="311"/>
      <c r="O168" s="221"/>
      <c r="P168" s="265"/>
      <c r="Q168" s="313"/>
      <c r="R168" s="314"/>
      <c r="Y168" s="315"/>
      <c r="Z168" s="246"/>
      <c r="AA168" s="235"/>
      <c r="AB168" s="247"/>
      <c r="AC168" s="235"/>
      <c r="AE168" s="235"/>
      <c r="AF168" s="316"/>
      <c r="AJ168" s="317"/>
      <c r="AK168" s="11"/>
    </row>
    <row r="169" spans="2:37" ht="15" customHeight="1" x14ac:dyDescent="0.25">
      <c r="B169" s="298"/>
      <c r="C169" s="245"/>
      <c r="D169" s="310"/>
      <c r="E169" s="310"/>
      <c r="F169" s="310"/>
      <c r="G169" s="310"/>
      <c r="H169" s="228"/>
      <c r="I169" s="304"/>
      <c r="J169" s="261"/>
      <c r="K169" s="261"/>
      <c r="L169" s="305"/>
      <c r="M169" s="311"/>
      <c r="N169" s="311"/>
      <c r="O169" s="221"/>
      <c r="P169" s="265"/>
      <c r="Q169" s="313"/>
      <c r="R169" s="314"/>
      <c r="Y169" s="315"/>
      <c r="Z169" s="246"/>
      <c r="AA169" s="235"/>
      <c r="AB169" s="247"/>
      <c r="AC169" s="235"/>
      <c r="AE169" s="235"/>
      <c r="AF169" s="316"/>
      <c r="AJ169" s="317"/>
      <c r="AK169" s="11"/>
    </row>
    <row r="170" spans="2:37" s="1" customFormat="1" ht="15" customHeight="1" x14ac:dyDescent="0.25">
      <c r="B170" s="298"/>
      <c r="C170" s="245"/>
      <c r="D170" s="310"/>
      <c r="E170" s="310"/>
      <c r="F170" s="310"/>
      <c r="G170" s="310"/>
      <c r="H170" s="228"/>
      <c r="I170" s="304"/>
      <c r="J170" s="261"/>
      <c r="K170" s="261"/>
      <c r="L170" s="305"/>
      <c r="M170" s="311"/>
      <c r="N170" s="311"/>
      <c r="O170" s="221"/>
      <c r="P170" s="265"/>
      <c r="Q170" s="313"/>
      <c r="R170" s="314"/>
      <c r="S170"/>
      <c r="T170" s="371"/>
      <c r="U170" s="371"/>
      <c r="V170" s="371"/>
      <c r="W170"/>
      <c r="X170"/>
      <c r="Y170" s="315"/>
      <c r="Z170" s="246"/>
      <c r="AA170" s="235"/>
      <c r="AB170" s="247"/>
      <c r="AC170" s="235"/>
      <c r="AD170" s="371"/>
      <c r="AE170" s="235"/>
      <c r="AF170" s="316"/>
      <c r="AG170"/>
      <c r="AH170"/>
      <c r="AJ170" s="317"/>
      <c r="AK170" s="11"/>
    </row>
    <row r="171" spans="2:37" ht="15" customHeight="1" x14ac:dyDescent="0.25">
      <c r="B171" s="298"/>
      <c r="C171" s="245"/>
      <c r="D171" s="310"/>
      <c r="E171" s="310"/>
      <c r="F171" s="310"/>
      <c r="G171" s="310"/>
      <c r="H171" s="228"/>
      <c r="I171" s="304"/>
      <c r="J171" s="261"/>
      <c r="K171" s="261"/>
      <c r="L171" s="305"/>
      <c r="M171" s="311"/>
      <c r="N171" s="311"/>
      <c r="O171" s="221"/>
      <c r="P171" s="318"/>
      <c r="Q171" s="313"/>
      <c r="R171" s="314"/>
      <c r="Y171" s="315"/>
      <c r="Z171" s="246"/>
      <c r="AA171" s="235"/>
      <c r="AB171" s="247"/>
      <c r="AC171" s="235"/>
      <c r="AE171" s="235"/>
      <c r="AF171" s="316"/>
      <c r="AJ171" s="317"/>
      <c r="AK171" s="11"/>
    </row>
    <row r="172" spans="2:37" ht="15" customHeight="1" x14ac:dyDescent="0.25">
      <c r="B172" s="298"/>
      <c r="C172" s="245"/>
      <c r="D172" s="310"/>
      <c r="E172" s="310"/>
      <c r="F172" s="310"/>
      <c r="G172" s="310"/>
      <c r="H172" s="228"/>
      <c r="I172" s="304"/>
      <c r="J172" s="261"/>
      <c r="K172" s="261"/>
      <c r="L172" s="305"/>
      <c r="M172" s="311"/>
      <c r="N172" s="311"/>
      <c r="O172" s="221"/>
      <c r="P172" s="265"/>
      <c r="Q172" s="313"/>
      <c r="R172" s="314"/>
      <c r="Y172" s="315"/>
      <c r="Z172" s="246"/>
      <c r="AA172" s="235"/>
      <c r="AB172" s="247"/>
      <c r="AC172" s="235"/>
      <c r="AE172" s="235"/>
      <c r="AF172" s="316"/>
      <c r="AH172" s="1"/>
      <c r="AJ172" s="317"/>
      <c r="AK172" s="11"/>
    </row>
    <row r="173" spans="2:37" ht="15" customHeight="1" x14ac:dyDescent="0.25">
      <c r="B173" s="298"/>
      <c r="C173" s="245"/>
      <c r="D173" s="310"/>
      <c r="E173" s="310"/>
      <c r="F173" s="310"/>
      <c r="G173" s="310"/>
      <c r="H173" s="228"/>
      <c r="I173" s="304"/>
      <c r="J173" s="261"/>
      <c r="K173" s="261"/>
      <c r="L173" s="305"/>
      <c r="M173" s="311"/>
      <c r="N173" s="311"/>
      <c r="O173" s="221"/>
      <c r="P173" s="265"/>
      <c r="Q173" s="313"/>
      <c r="R173" s="314"/>
      <c r="Y173" s="315"/>
      <c r="Z173" s="246"/>
      <c r="AA173" s="235"/>
      <c r="AB173" s="247"/>
      <c r="AC173" s="235"/>
      <c r="AE173" s="235"/>
      <c r="AF173" s="316"/>
      <c r="AJ173" s="317"/>
      <c r="AK173" s="11"/>
    </row>
    <row r="174" spans="2:37" ht="15" customHeight="1" x14ac:dyDescent="0.25">
      <c r="B174" s="298"/>
      <c r="C174" s="245"/>
      <c r="D174" s="310"/>
      <c r="E174" s="310"/>
      <c r="F174" s="310"/>
      <c r="G174" s="310"/>
      <c r="H174" s="228"/>
      <c r="I174" s="304"/>
      <c r="J174" s="261"/>
      <c r="K174" s="261"/>
      <c r="L174" s="305"/>
      <c r="M174" s="311"/>
      <c r="N174" s="311"/>
      <c r="O174" s="221"/>
      <c r="P174" s="318"/>
      <c r="Q174" s="313"/>
      <c r="R174" s="314"/>
      <c r="Y174" s="315"/>
      <c r="Z174" s="246"/>
      <c r="AA174" s="235"/>
      <c r="AB174" s="247"/>
      <c r="AC174" s="235"/>
      <c r="AE174" s="235"/>
      <c r="AF174" s="316"/>
      <c r="AJ174" s="317"/>
      <c r="AK174" s="11"/>
    </row>
    <row r="175" spans="2:37" ht="15" customHeight="1" x14ac:dyDescent="0.25">
      <c r="B175" s="298"/>
      <c r="C175" s="245"/>
      <c r="D175" s="310"/>
      <c r="E175" s="310"/>
      <c r="F175" s="310"/>
      <c r="G175" s="310"/>
      <c r="H175" s="228"/>
      <c r="I175" s="304"/>
      <c r="J175" s="261"/>
      <c r="K175" s="261"/>
      <c r="L175" s="305"/>
      <c r="M175" s="311"/>
      <c r="N175" s="311"/>
      <c r="O175" s="221"/>
      <c r="P175" s="265"/>
      <c r="Q175" s="313"/>
      <c r="R175" s="314"/>
      <c r="T175" s="1"/>
      <c r="U175" s="1"/>
      <c r="V175" s="1"/>
      <c r="Y175" s="315"/>
      <c r="Z175" s="246"/>
      <c r="AA175" s="235"/>
      <c r="AB175" s="247"/>
      <c r="AC175" s="235"/>
      <c r="AD175" s="1"/>
      <c r="AE175" s="235"/>
      <c r="AF175" s="316"/>
      <c r="AJ175" s="317"/>
      <c r="AK175" s="11"/>
    </row>
    <row r="176" spans="2:37" ht="15" customHeight="1" x14ac:dyDescent="0.25">
      <c r="B176" s="298"/>
      <c r="C176" s="245"/>
      <c r="D176" s="310"/>
      <c r="E176" s="310"/>
      <c r="F176" s="310"/>
      <c r="G176" s="310"/>
      <c r="H176" s="228"/>
      <c r="I176" s="304"/>
      <c r="J176" s="261"/>
      <c r="K176" s="261"/>
      <c r="L176" s="305"/>
      <c r="M176" s="311"/>
      <c r="N176" s="311"/>
      <c r="O176" s="221"/>
      <c r="P176" s="265"/>
      <c r="Q176" s="313"/>
      <c r="R176" s="314"/>
      <c r="Y176" s="315"/>
      <c r="Z176" s="246"/>
      <c r="AA176" s="235"/>
      <c r="AB176" s="247"/>
      <c r="AC176" s="235"/>
      <c r="AE176" s="235"/>
      <c r="AF176" s="316"/>
      <c r="AJ176" s="317"/>
      <c r="AK176" s="11"/>
    </row>
    <row r="177" spans="2:37" ht="15" customHeight="1" x14ac:dyDescent="0.25">
      <c r="B177" s="309"/>
      <c r="C177" s="245"/>
      <c r="D177" s="310"/>
      <c r="E177" s="310"/>
      <c r="F177" s="310"/>
      <c r="G177" s="310"/>
      <c r="H177" s="228"/>
      <c r="I177" s="304"/>
      <c r="J177" s="261"/>
      <c r="K177" s="261"/>
      <c r="L177" s="305"/>
      <c r="M177" s="311"/>
      <c r="N177" s="311"/>
      <c r="O177" s="312"/>
      <c r="P177" s="265"/>
      <c r="Q177" s="313"/>
      <c r="R177" s="314"/>
      <c r="Y177" s="315"/>
      <c r="Z177" s="246"/>
      <c r="AA177" s="235"/>
      <c r="AB177" s="247"/>
      <c r="AC177" s="235"/>
      <c r="AE177" s="235"/>
      <c r="AF177" s="316"/>
      <c r="AJ177" s="317"/>
      <c r="AK177" s="11"/>
    </row>
    <row r="178" spans="2:37" ht="15" customHeight="1" x14ac:dyDescent="0.25">
      <c r="B178" s="309"/>
      <c r="C178" s="245"/>
      <c r="D178" s="310"/>
      <c r="E178" s="310"/>
      <c r="F178" s="310"/>
      <c r="G178" s="310"/>
      <c r="H178" s="228"/>
      <c r="I178" s="304"/>
      <c r="J178" s="261"/>
      <c r="K178" s="261"/>
      <c r="L178" s="305"/>
      <c r="M178" s="311"/>
      <c r="N178" s="311"/>
      <c r="O178" s="312"/>
      <c r="P178" s="318"/>
      <c r="Q178" s="313"/>
      <c r="R178" s="314"/>
      <c r="Y178" s="315"/>
      <c r="Z178" s="246"/>
      <c r="AA178" s="235"/>
      <c r="AB178" s="247"/>
      <c r="AC178" s="235"/>
      <c r="AE178" s="235"/>
      <c r="AF178" s="316"/>
      <c r="AJ178" s="317"/>
      <c r="AK178" s="11"/>
    </row>
    <row r="179" spans="2:37" ht="15" customHeight="1" x14ac:dyDescent="0.25">
      <c r="B179" s="298"/>
      <c r="C179" s="245"/>
      <c r="D179" s="310"/>
      <c r="E179" s="310"/>
      <c r="F179" s="310"/>
      <c r="G179" s="310"/>
      <c r="H179" s="228"/>
      <c r="I179" s="304"/>
      <c r="J179" s="261"/>
      <c r="K179" s="261"/>
      <c r="L179" s="305"/>
      <c r="M179" s="311"/>
      <c r="N179" s="311"/>
      <c r="O179" s="221"/>
      <c r="P179" s="265"/>
      <c r="Q179" s="313"/>
      <c r="R179" s="314"/>
      <c r="Y179" s="315"/>
      <c r="Z179" s="246"/>
      <c r="AA179" s="235"/>
      <c r="AB179" s="247"/>
      <c r="AC179" s="235"/>
      <c r="AE179" s="235"/>
      <c r="AF179" s="316"/>
      <c r="AJ179" s="317"/>
      <c r="AK179" s="11"/>
    </row>
    <row r="180" spans="2:37" ht="15" customHeight="1" x14ac:dyDescent="0.25">
      <c r="B180" s="298"/>
      <c r="C180" s="245"/>
      <c r="D180" s="310"/>
      <c r="E180" s="310"/>
      <c r="F180" s="310"/>
      <c r="G180" s="310"/>
      <c r="H180" s="228"/>
      <c r="I180" s="304"/>
      <c r="J180" s="261"/>
      <c r="K180" s="261"/>
      <c r="L180" s="305"/>
      <c r="M180" s="311"/>
      <c r="N180" s="311"/>
      <c r="O180" s="221"/>
      <c r="P180" s="265"/>
      <c r="Q180" s="313"/>
      <c r="R180" s="314"/>
      <c r="Y180" s="315"/>
      <c r="Z180" s="246"/>
      <c r="AA180" s="235"/>
      <c r="AB180" s="247"/>
      <c r="AC180" s="235"/>
      <c r="AE180" s="235"/>
      <c r="AF180" s="316"/>
      <c r="AJ180" s="317"/>
      <c r="AK180" s="11"/>
    </row>
    <row r="181" spans="2:37" ht="15" customHeight="1" x14ac:dyDescent="0.25">
      <c r="B181" s="298"/>
      <c r="C181" s="245"/>
      <c r="D181" s="310"/>
      <c r="E181" s="310"/>
      <c r="F181" s="310"/>
      <c r="G181" s="310"/>
      <c r="H181" s="228"/>
      <c r="I181" s="304"/>
      <c r="J181" s="261"/>
      <c r="K181" s="261"/>
      <c r="L181" s="305"/>
      <c r="M181" s="311"/>
      <c r="N181" s="311"/>
      <c r="O181" s="221"/>
      <c r="P181" s="265"/>
      <c r="Q181" s="313"/>
      <c r="R181" s="314"/>
      <c r="Y181" s="315"/>
      <c r="Z181" s="246"/>
      <c r="AA181" s="235"/>
      <c r="AB181" s="247"/>
      <c r="AC181" s="235"/>
      <c r="AE181" s="235"/>
      <c r="AF181" s="316"/>
      <c r="AJ181" s="317"/>
      <c r="AK181" s="11"/>
    </row>
    <row r="182" spans="2:37" ht="15" customHeight="1" x14ac:dyDescent="0.25">
      <c r="B182" s="298"/>
      <c r="C182" s="245"/>
      <c r="D182" s="310"/>
      <c r="E182" s="310"/>
      <c r="F182" s="310"/>
      <c r="G182" s="310"/>
      <c r="H182" s="228"/>
      <c r="I182" s="304"/>
      <c r="J182" s="261"/>
      <c r="K182" s="261"/>
      <c r="L182" s="305"/>
      <c r="M182" s="311"/>
      <c r="N182" s="311"/>
      <c r="O182" s="221"/>
      <c r="P182" s="318"/>
      <c r="Q182" s="313"/>
      <c r="R182" s="314"/>
      <c r="Y182" s="315"/>
      <c r="Z182" s="246"/>
      <c r="AA182" s="235"/>
      <c r="AB182" s="247"/>
      <c r="AC182" s="235"/>
      <c r="AE182" s="235"/>
      <c r="AF182" s="316"/>
      <c r="AJ182" s="317"/>
      <c r="AK182" s="11"/>
    </row>
    <row r="183" spans="2:37" ht="15" customHeight="1" x14ac:dyDescent="0.25">
      <c r="B183" s="298"/>
      <c r="C183" s="245"/>
      <c r="D183" s="310"/>
      <c r="E183" s="310"/>
      <c r="F183" s="310"/>
      <c r="G183" s="310"/>
      <c r="H183" s="228"/>
      <c r="I183" s="304"/>
      <c r="J183" s="261"/>
      <c r="K183" s="261"/>
      <c r="L183" s="305"/>
      <c r="M183" s="311"/>
      <c r="N183" s="311"/>
      <c r="O183" s="221"/>
      <c r="P183" s="265"/>
      <c r="Q183" s="313"/>
      <c r="R183" s="314"/>
      <c r="Y183" s="315"/>
      <c r="Z183" s="246"/>
      <c r="AA183" s="235"/>
      <c r="AB183" s="247"/>
      <c r="AC183" s="235"/>
      <c r="AE183" s="235"/>
      <c r="AF183" s="316"/>
      <c r="AJ183" s="317"/>
      <c r="AK183" s="11"/>
    </row>
    <row r="184" spans="2:37" ht="15" customHeight="1" x14ac:dyDescent="0.25">
      <c r="B184" s="298"/>
      <c r="C184" s="245"/>
      <c r="D184" s="310"/>
      <c r="E184" s="310"/>
      <c r="F184" s="310"/>
      <c r="G184" s="310"/>
      <c r="H184" s="228"/>
      <c r="I184" s="304"/>
      <c r="J184" s="261"/>
      <c r="K184" s="261"/>
      <c r="L184" s="305"/>
      <c r="M184" s="311"/>
      <c r="N184" s="311"/>
      <c r="O184" s="221"/>
      <c r="P184" s="265"/>
      <c r="Q184" s="313"/>
      <c r="R184" s="314"/>
      <c r="Y184" s="315"/>
      <c r="Z184" s="246"/>
      <c r="AA184" s="235"/>
      <c r="AB184" s="247"/>
      <c r="AC184" s="235"/>
      <c r="AE184" s="235"/>
      <c r="AF184" s="316"/>
      <c r="AJ184" s="317"/>
      <c r="AK184" s="11"/>
    </row>
    <row r="185" spans="2:37" ht="15" customHeight="1" x14ac:dyDescent="0.25">
      <c r="B185" s="298"/>
      <c r="C185" s="245"/>
      <c r="D185" s="310"/>
      <c r="E185" s="310"/>
      <c r="F185" s="310"/>
      <c r="G185" s="310"/>
      <c r="H185" s="228"/>
      <c r="I185" s="304"/>
      <c r="J185" s="261"/>
      <c r="K185" s="261"/>
      <c r="L185" s="305"/>
      <c r="M185" s="311"/>
      <c r="N185" s="311"/>
      <c r="O185" s="221"/>
      <c r="P185" s="318"/>
      <c r="Q185" s="313"/>
      <c r="R185" s="314"/>
      <c r="Y185" s="315"/>
      <c r="Z185" s="246"/>
      <c r="AA185" s="235"/>
      <c r="AB185" s="247"/>
      <c r="AC185" s="235"/>
      <c r="AE185" s="235"/>
      <c r="AF185" s="316"/>
      <c r="AJ185" s="317"/>
      <c r="AK185" s="11"/>
    </row>
    <row r="186" spans="2:37" s="1" customFormat="1" ht="15" customHeight="1" x14ac:dyDescent="0.25">
      <c r="B186" s="298"/>
      <c r="C186" s="245"/>
      <c r="D186" s="310"/>
      <c r="E186" s="310"/>
      <c r="F186" s="310"/>
      <c r="G186" s="310"/>
      <c r="H186" s="228"/>
      <c r="I186" s="304"/>
      <c r="J186" s="261"/>
      <c r="K186" s="261"/>
      <c r="L186" s="305"/>
      <c r="M186" s="311"/>
      <c r="N186" s="311"/>
      <c r="O186" s="221"/>
      <c r="P186" s="265"/>
      <c r="Q186" s="313"/>
      <c r="R186" s="314"/>
      <c r="S186"/>
      <c r="T186"/>
      <c r="U186"/>
      <c r="V186"/>
      <c r="W186"/>
      <c r="X186"/>
      <c r="Y186" s="315"/>
      <c r="Z186" s="246"/>
      <c r="AA186" s="235"/>
      <c r="AB186" s="247"/>
      <c r="AC186" s="235"/>
      <c r="AD186"/>
      <c r="AE186" s="235"/>
      <c r="AF186" s="316"/>
      <c r="AG186"/>
      <c r="AH186"/>
      <c r="AJ186" s="317"/>
      <c r="AK186" s="11"/>
    </row>
    <row r="187" spans="2:37" ht="15" customHeight="1" x14ac:dyDescent="0.25">
      <c r="B187" s="298"/>
      <c r="C187" s="245"/>
      <c r="D187" s="310"/>
      <c r="E187" s="310"/>
      <c r="F187" s="310"/>
      <c r="G187" s="310"/>
      <c r="H187" s="228"/>
      <c r="I187" s="304"/>
      <c r="J187" s="261"/>
      <c r="K187" s="261"/>
      <c r="L187" s="305"/>
      <c r="M187" s="311"/>
      <c r="N187" s="311"/>
      <c r="O187" s="221"/>
      <c r="P187" s="265"/>
      <c r="Q187" s="313"/>
      <c r="R187" s="314"/>
      <c r="Y187" s="315"/>
      <c r="Z187" s="246"/>
      <c r="AA187" s="235"/>
      <c r="AB187" s="247"/>
      <c r="AC187" s="235"/>
      <c r="AE187" s="235"/>
      <c r="AF187" s="316"/>
      <c r="AJ187" s="317"/>
      <c r="AK187" s="11"/>
    </row>
    <row r="188" spans="2:37" ht="15" customHeight="1" x14ac:dyDescent="0.25">
      <c r="B188" s="298"/>
      <c r="C188" s="245"/>
      <c r="D188" s="310"/>
      <c r="E188" s="310"/>
      <c r="F188" s="310"/>
      <c r="G188" s="310"/>
      <c r="H188" s="228"/>
      <c r="I188" s="304"/>
      <c r="J188" s="261"/>
      <c r="K188" s="261"/>
      <c r="L188" s="305"/>
      <c r="M188" s="311"/>
      <c r="N188" s="311"/>
      <c r="O188" s="221"/>
      <c r="P188" s="265"/>
      <c r="Q188" s="313"/>
      <c r="R188" s="314"/>
      <c r="Y188" s="315"/>
      <c r="Z188" s="246"/>
      <c r="AA188" s="235"/>
      <c r="AB188" s="247"/>
      <c r="AC188" s="235"/>
      <c r="AE188" s="235"/>
      <c r="AF188" s="316"/>
      <c r="AH188" s="1"/>
      <c r="AJ188" s="317"/>
      <c r="AK188" s="11"/>
    </row>
    <row r="189" spans="2:37" s="1" customFormat="1" ht="15" customHeight="1" x14ac:dyDescent="0.25">
      <c r="B189" s="298"/>
      <c r="C189" s="245"/>
      <c r="D189" s="310"/>
      <c r="E189" s="310"/>
      <c r="F189" s="310"/>
      <c r="G189" s="310"/>
      <c r="H189" s="228"/>
      <c r="I189" s="304"/>
      <c r="J189" s="261"/>
      <c r="K189" s="261"/>
      <c r="L189" s="305"/>
      <c r="M189" s="311"/>
      <c r="N189" s="311"/>
      <c r="O189" s="221"/>
      <c r="P189" s="265"/>
      <c r="Q189" s="313"/>
      <c r="R189" s="314"/>
      <c r="S189"/>
      <c r="T189"/>
      <c r="U189"/>
      <c r="V189"/>
      <c r="W189"/>
      <c r="X189"/>
      <c r="Y189" s="315"/>
      <c r="Z189" s="246"/>
      <c r="AA189" s="235"/>
      <c r="AB189" s="247"/>
      <c r="AC189" s="235"/>
      <c r="AD189"/>
      <c r="AE189" s="235"/>
      <c r="AF189" s="316"/>
      <c r="AG189"/>
      <c r="AH189"/>
      <c r="AJ189" s="317"/>
      <c r="AK189" s="11"/>
    </row>
    <row r="190" spans="2:37" ht="15" customHeight="1" x14ac:dyDescent="0.25">
      <c r="B190" s="309"/>
      <c r="C190" s="245"/>
      <c r="D190" s="310"/>
      <c r="E190" s="310"/>
      <c r="F190" s="310"/>
      <c r="G190" s="310"/>
      <c r="H190" s="228"/>
      <c r="I190" s="304"/>
      <c r="J190" s="261"/>
      <c r="K190" s="261"/>
      <c r="L190" s="305"/>
      <c r="M190" s="311"/>
      <c r="N190" s="311"/>
      <c r="O190" s="312"/>
      <c r="P190" s="318"/>
      <c r="Q190" s="313"/>
      <c r="R190" s="314"/>
      <c r="T190" s="1"/>
      <c r="U190" s="1"/>
      <c r="V190" s="1"/>
      <c r="Y190" s="315"/>
      <c r="Z190" s="246"/>
      <c r="AA190" s="235"/>
      <c r="AB190" s="247"/>
      <c r="AC190" s="235"/>
      <c r="AD190" s="1"/>
      <c r="AE190" s="235"/>
      <c r="AF190" s="316"/>
      <c r="AJ190" s="317"/>
      <c r="AK190" s="11"/>
    </row>
    <row r="191" spans="2:37" s="248" customFormat="1" ht="15" customHeight="1" x14ac:dyDescent="0.25">
      <c r="B191" s="298"/>
      <c r="C191" s="245"/>
      <c r="D191" s="310"/>
      <c r="E191" s="310"/>
      <c r="F191" s="310"/>
      <c r="G191" s="310"/>
      <c r="H191" s="228"/>
      <c r="I191" s="304"/>
      <c r="J191" s="261"/>
      <c r="K191" s="261"/>
      <c r="L191" s="305"/>
      <c r="M191" s="311"/>
      <c r="N191" s="311"/>
      <c r="O191" s="221"/>
      <c r="P191" s="265"/>
      <c r="Q191" s="313"/>
      <c r="R191" s="314"/>
      <c r="S191"/>
      <c r="T191"/>
      <c r="U191"/>
      <c r="V191"/>
      <c r="W191"/>
      <c r="X191"/>
      <c r="Y191" s="315"/>
      <c r="Z191" s="246"/>
      <c r="AA191" s="235"/>
      <c r="AB191" s="247"/>
      <c r="AC191" s="235"/>
      <c r="AD191"/>
      <c r="AE191" s="235"/>
      <c r="AF191" s="316"/>
      <c r="AG191"/>
      <c r="AH191"/>
      <c r="AJ191" s="317"/>
      <c r="AK191" s="11"/>
    </row>
    <row r="192" spans="2:37" ht="15" customHeight="1" x14ac:dyDescent="0.25">
      <c r="B192" s="298"/>
      <c r="C192" s="245"/>
      <c r="D192" s="310"/>
      <c r="E192" s="310"/>
      <c r="F192" s="310"/>
      <c r="G192" s="310"/>
      <c r="H192" s="228"/>
      <c r="I192" s="304"/>
      <c r="J192" s="261"/>
      <c r="K192" s="261"/>
      <c r="L192" s="305"/>
      <c r="M192" s="311"/>
      <c r="N192" s="311"/>
      <c r="O192" s="221"/>
      <c r="P192" s="318"/>
      <c r="Q192" s="313"/>
      <c r="R192" s="314"/>
      <c r="T192" s="1"/>
      <c r="U192" s="1"/>
      <c r="V192" s="1"/>
      <c r="Y192" s="315"/>
      <c r="Z192" s="246"/>
      <c r="AA192" s="235"/>
      <c r="AB192" s="247"/>
      <c r="AC192" s="235"/>
      <c r="AD192" s="1"/>
      <c r="AE192" s="235"/>
      <c r="AF192" s="316"/>
      <c r="AH192" s="248"/>
      <c r="AJ192" s="317"/>
      <c r="AK192" s="11"/>
    </row>
    <row r="193" spans="2:37" ht="15" customHeight="1" x14ac:dyDescent="0.25">
      <c r="B193" s="298"/>
      <c r="C193" s="245"/>
      <c r="D193" s="310"/>
      <c r="E193" s="310"/>
      <c r="F193" s="310"/>
      <c r="G193" s="310"/>
      <c r="H193" s="228"/>
      <c r="I193" s="304"/>
      <c r="J193" s="261"/>
      <c r="K193" s="261"/>
      <c r="L193" s="305"/>
      <c r="M193" s="311"/>
      <c r="N193" s="311"/>
      <c r="O193" s="221"/>
      <c r="P193" s="265"/>
      <c r="Q193" s="313"/>
      <c r="R193" s="314"/>
      <c r="Y193" s="315"/>
      <c r="Z193" s="246"/>
      <c r="AA193" s="235"/>
      <c r="AB193" s="247"/>
      <c r="AC193" s="235"/>
      <c r="AE193" s="235"/>
      <c r="AF193" s="316"/>
      <c r="AJ193" s="317"/>
      <c r="AK193" s="11"/>
    </row>
    <row r="194" spans="2:37" ht="15" customHeight="1" x14ac:dyDescent="0.25">
      <c r="B194" s="298"/>
      <c r="C194" s="245"/>
      <c r="D194" s="310"/>
      <c r="E194" s="310"/>
      <c r="F194" s="310"/>
      <c r="G194" s="310"/>
      <c r="H194" s="228"/>
      <c r="I194" s="304"/>
      <c r="J194" s="261"/>
      <c r="K194" s="261"/>
      <c r="L194" s="305"/>
      <c r="M194" s="311"/>
      <c r="N194" s="311"/>
      <c r="O194" s="221"/>
      <c r="P194" s="265"/>
      <c r="Q194" s="313"/>
      <c r="R194" s="314"/>
      <c r="Y194" s="315"/>
      <c r="Z194" s="246"/>
      <c r="AA194" s="235"/>
      <c r="AB194" s="247"/>
      <c r="AC194" s="235"/>
      <c r="AE194" s="235"/>
      <c r="AF194" s="316"/>
      <c r="AJ194" s="317"/>
      <c r="AK194" s="11"/>
    </row>
    <row r="195" spans="2:37" ht="15" customHeight="1" x14ac:dyDescent="0.25">
      <c r="B195" s="298"/>
      <c r="C195" s="245"/>
      <c r="D195" s="310"/>
      <c r="E195" s="310"/>
      <c r="F195" s="310"/>
      <c r="G195" s="310"/>
      <c r="H195" s="228"/>
      <c r="I195" s="304"/>
      <c r="J195" s="261"/>
      <c r="K195" s="261"/>
      <c r="L195" s="305"/>
      <c r="M195" s="311"/>
      <c r="N195" s="311"/>
      <c r="O195" s="221"/>
      <c r="P195" s="265"/>
      <c r="Q195" s="313"/>
      <c r="R195" s="314"/>
      <c r="Y195" s="315"/>
      <c r="Z195" s="246"/>
      <c r="AA195" s="235"/>
      <c r="AB195" s="247"/>
      <c r="AC195" s="235"/>
      <c r="AE195" s="235"/>
      <c r="AF195" s="316"/>
      <c r="AJ195" s="317"/>
      <c r="AK195" s="11"/>
    </row>
    <row r="196" spans="2:37" ht="15" customHeight="1" x14ac:dyDescent="0.25">
      <c r="B196" s="298"/>
      <c r="C196" s="245"/>
      <c r="D196" s="310"/>
      <c r="E196" s="310"/>
      <c r="F196" s="310"/>
      <c r="G196" s="310"/>
      <c r="H196" s="228"/>
      <c r="I196" s="304"/>
      <c r="J196" s="261"/>
      <c r="K196" s="261"/>
      <c r="L196" s="305"/>
      <c r="M196" s="311"/>
      <c r="N196" s="311"/>
      <c r="O196" s="221"/>
      <c r="P196" s="265"/>
      <c r="Q196" s="313"/>
      <c r="R196" s="314"/>
      <c r="Y196" s="315"/>
      <c r="Z196" s="246"/>
      <c r="AA196" s="235"/>
      <c r="AB196" s="247"/>
      <c r="AC196" s="235"/>
      <c r="AE196" s="235"/>
      <c r="AF196" s="316"/>
      <c r="AJ196" s="317"/>
      <c r="AK196" s="11"/>
    </row>
    <row r="197" spans="2:37" ht="15" customHeight="1" x14ac:dyDescent="0.25">
      <c r="B197" s="298"/>
      <c r="C197" s="245"/>
      <c r="D197" s="310"/>
      <c r="E197" s="310"/>
      <c r="F197" s="310"/>
      <c r="G197" s="310"/>
      <c r="H197" s="228"/>
      <c r="I197" s="304"/>
      <c r="J197" s="261"/>
      <c r="K197" s="261"/>
      <c r="L197" s="305"/>
      <c r="M197" s="311"/>
      <c r="N197" s="311"/>
      <c r="O197" s="221"/>
      <c r="P197" s="265"/>
      <c r="Q197" s="313"/>
      <c r="R197" s="314"/>
      <c r="Y197" s="315"/>
      <c r="Z197" s="246"/>
      <c r="AA197" s="235"/>
      <c r="AB197" s="247"/>
      <c r="AC197" s="235"/>
      <c r="AE197" s="235"/>
      <c r="AF197" s="316"/>
      <c r="AJ197" s="317"/>
      <c r="AK197" s="11"/>
    </row>
    <row r="198" spans="2:37" ht="15" customHeight="1" x14ac:dyDescent="0.25">
      <c r="B198" s="298"/>
      <c r="C198" s="245"/>
      <c r="D198" s="310"/>
      <c r="E198" s="310"/>
      <c r="F198" s="310"/>
      <c r="G198" s="310"/>
      <c r="H198" s="228"/>
      <c r="I198" s="304"/>
      <c r="J198" s="261"/>
      <c r="K198" s="261"/>
      <c r="L198" s="305"/>
      <c r="M198" s="311"/>
      <c r="N198" s="311"/>
      <c r="O198" s="221"/>
      <c r="P198" s="265"/>
      <c r="Q198" s="313"/>
      <c r="R198" s="314"/>
      <c r="Y198" s="315"/>
      <c r="Z198" s="246"/>
      <c r="AA198" s="235"/>
      <c r="AB198" s="247"/>
      <c r="AC198" s="235"/>
      <c r="AE198" s="235"/>
      <c r="AF198" s="316"/>
      <c r="AJ198" s="317"/>
      <c r="AK198" s="11"/>
    </row>
    <row r="199" spans="2:37" ht="15" customHeight="1" x14ac:dyDescent="0.25">
      <c r="B199" s="298"/>
      <c r="C199" s="245"/>
      <c r="D199" s="310"/>
      <c r="E199" s="310"/>
      <c r="F199" s="310"/>
      <c r="G199" s="310"/>
      <c r="H199" s="228"/>
      <c r="I199" s="304"/>
      <c r="J199" s="261"/>
      <c r="K199" s="261"/>
      <c r="L199" s="305"/>
      <c r="M199" s="311"/>
      <c r="N199" s="311"/>
      <c r="O199" s="221"/>
      <c r="P199" s="265"/>
      <c r="Q199" s="313"/>
      <c r="R199" s="314"/>
      <c r="Y199" s="315"/>
      <c r="Z199" s="246"/>
      <c r="AA199" s="235"/>
      <c r="AB199" s="247"/>
      <c r="AC199" s="235"/>
      <c r="AE199" s="235"/>
      <c r="AF199" s="316"/>
      <c r="AJ199" s="317"/>
      <c r="AK199" s="11"/>
    </row>
    <row r="200" spans="2:37" ht="15" customHeight="1" x14ac:dyDescent="0.25">
      <c r="B200" s="298"/>
      <c r="C200" s="245"/>
      <c r="D200" s="310"/>
      <c r="E200" s="310"/>
      <c r="F200" s="310"/>
      <c r="G200" s="310"/>
      <c r="H200" s="228"/>
      <c r="I200" s="304"/>
      <c r="J200" s="261"/>
      <c r="K200" s="261"/>
      <c r="L200" s="305"/>
      <c r="M200" s="311"/>
      <c r="N200" s="311"/>
      <c r="O200" s="221"/>
      <c r="P200" s="265"/>
      <c r="Q200" s="313"/>
      <c r="R200" s="314"/>
      <c r="Y200" s="315"/>
      <c r="Z200" s="246"/>
      <c r="AA200" s="235"/>
      <c r="AB200" s="247"/>
      <c r="AC200" s="235"/>
      <c r="AE200" s="235"/>
      <c r="AF200" s="316"/>
      <c r="AJ200" s="317"/>
      <c r="AK200" s="11"/>
    </row>
    <row r="201" spans="2:37" ht="15" customHeight="1" x14ac:dyDescent="0.25">
      <c r="B201" s="298"/>
      <c r="C201" s="245"/>
      <c r="D201" s="310"/>
      <c r="E201" s="310"/>
      <c r="F201" s="310"/>
      <c r="G201" s="310"/>
      <c r="H201" s="228"/>
      <c r="I201" s="304"/>
      <c r="J201" s="261"/>
      <c r="K201" s="261"/>
      <c r="L201" s="305"/>
      <c r="M201" s="311"/>
      <c r="N201" s="311"/>
      <c r="O201" s="221"/>
      <c r="P201" s="265"/>
      <c r="Q201" s="313"/>
      <c r="R201" s="314"/>
      <c r="Y201" s="315"/>
      <c r="Z201" s="246"/>
      <c r="AA201" s="235"/>
      <c r="AB201" s="247"/>
      <c r="AC201" s="235"/>
      <c r="AE201" s="235"/>
      <c r="AF201" s="316"/>
      <c r="AJ201" s="317"/>
      <c r="AK201" s="11"/>
    </row>
    <row r="202" spans="2:37" ht="15" customHeight="1" x14ac:dyDescent="0.25">
      <c r="B202" s="298"/>
      <c r="C202" s="245"/>
      <c r="D202" s="310"/>
      <c r="E202" s="310"/>
      <c r="F202" s="310"/>
      <c r="G202" s="310"/>
      <c r="H202" s="228"/>
      <c r="I202" s="304"/>
      <c r="J202" s="261"/>
      <c r="K202" s="261"/>
      <c r="L202" s="305"/>
      <c r="M202" s="311"/>
      <c r="N202" s="311"/>
      <c r="O202" s="221"/>
      <c r="P202" s="318"/>
      <c r="Q202" s="313"/>
      <c r="R202" s="314"/>
      <c r="Y202" s="315"/>
      <c r="Z202" s="246"/>
      <c r="AA202" s="235"/>
      <c r="AB202" s="247"/>
      <c r="AC202" s="235"/>
      <c r="AE202" s="235"/>
      <c r="AF202" s="316"/>
      <c r="AJ202" s="317"/>
      <c r="AK202" s="11"/>
    </row>
    <row r="203" spans="2:37" ht="15" customHeight="1" x14ac:dyDescent="0.25">
      <c r="B203" s="298"/>
      <c r="C203" s="245"/>
      <c r="D203" s="310"/>
      <c r="E203" s="310"/>
      <c r="F203" s="310"/>
      <c r="G203" s="310"/>
      <c r="H203" s="228"/>
      <c r="I203" s="304"/>
      <c r="J203" s="261"/>
      <c r="K203" s="261"/>
      <c r="L203" s="305"/>
      <c r="M203" s="311"/>
      <c r="N203" s="311"/>
      <c r="O203" s="221"/>
      <c r="P203" s="318"/>
      <c r="Q203" s="313"/>
      <c r="R203" s="314"/>
      <c r="Y203" s="315"/>
      <c r="Z203" s="246"/>
      <c r="AA203" s="235"/>
      <c r="AB203" s="247"/>
      <c r="AC203" s="235"/>
      <c r="AE203" s="235"/>
      <c r="AF203" s="316"/>
      <c r="AJ203" s="317"/>
      <c r="AK203" s="11"/>
    </row>
    <row r="204" spans="2:37" ht="15" customHeight="1" x14ac:dyDescent="0.25">
      <c r="B204" s="298"/>
      <c r="C204" s="245"/>
      <c r="D204" s="310"/>
      <c r="E204" s="310"/>
      <c r="F204" s="310"/>
      <c r="G204" s="310"/>
      <c r="H204" s="228"/>
      <c r="I204" s="304"/>
      <c r="J204" s="261"/>
      <c r="K204" s="261"/>
      <c r="L204" s="305"/>
      <c r="M204" s="311"/>
      <c r="N204" s="311"/>
      <c r="O204" s="221"/>
      <c r="P204" s="265"/>
      <c r="Q204" s="313"/>
      <c r="R204" s="314"/>
      <c r="Y204" s="315"/>
      <c r="Z204" s="246"/>
      <c r="AA204" s="235"/>
      <c r="AB204" s="247"/>
      <c r="AC204" s="235"/>
      <c r="AE204" s="235"/>
      <c r="AF204" s="316"/>
      <c r="AJ204" s="317"/>
      <c r="AK204" s="11"/>
    </row>
    <row r="205" spans="2:37" ht="15" customHeight="1" x14ac:dyDescent="0.25">
      <c r="B205" s="298"/>
      <c r="C205" s="245"/>
      <c r="D205" s="310"/>
      <c r="E205" s="310"/>
      <c r="F205" s="310"/>
      <c r="G205" s="310"/>
      <c r="H205" s="228"/>
      <c r="I205" s="304"/>
      <c r="J205" s="261"/>
      <c r="K205" s="261"/>
      <c r="L205" s="305"/>
      <c r="M205" s="311"/>
      <c r="N205" s="311"/>
      <c r="O205" s="221"/>
      <c r="P205" s="318"/>
      <c r="Q205" s="313"/>
      <c r="R205" s="314"/>
      <c r="Y205" s="315"/>
      <c r="Z205" s="246"/>
      <c r="AA205" s="235"/>
      <c r="AB205" s="247"/>
      <c r="AC205" s="235"/>
      <c r="AE205" s="235"/>
      <c r="AF205" s="316"/>
      <c r="AJ205" s="317"/>
      <c r="AK205" s="11"/>
    </row>
    <row r="206" spans="2:37" ht="15" customHeight="1" x14ac:dyDescent="0.25">
      <c r="B206" s="298"/>
      <c r="C206" s="245"/>
      <c r="D206" s="310"/>
      <c r="E206" s="310"/>
      <c r="F206" s="310"/>
      <c r="G206" s="310"/>
      <c r="H206" s="228"/>
      <c r="I206" s="304"/>
      <c r="J206" s="261"/>
      <c r="K206" s="261"/>
      <c r="L206" s="305"/>
      <c r="M206" s="311"/>
      <c r="N206" s="311"/>
      <c r="O206" s="221"/>
      <c r="P206" s="265"/>
      <c r="Q206" s="313"/>
      <c r="R206" s="314"/>
      <c r="Y206" s="315"/>
      <c r="Z206" s="246"/>
      <c r="AA206" s="235"/>
      <c r="AB206" s="247"/>
      <c r="AC206" s="235"/>
      <c r="AE206" s="235"/>
      <c r="AF206" s="316"/>
      <c r="AH206" s="1"/>
      <c r="AJ206" s="317"/>
      <c r="AK206" s="11"/>
    </row>
    <row r="207" spans="2:37" s="1" customFormat="1" ht="15" customHeight="1" x14ac:dyDescent="0.25">
      <c r="B207" s="298"/>
      <c r="C207" s="245"/>
      <c r="D207" s="310"/>
      <c r="E207" s="310"/>
      <c r="F207" s="310"/>
      <c r="G207" s="310"/>
      <c r="H207" s="228"/>
      <c r="I207" s="304"/>
      <c r="J207" s="261"/>
      <c r="K207" s="261"/>
      <c r="L207" s="305"/>
      <c r="M207" s="311"/>
      <c r="N207" s="311"/>
      <c r="O207" s="221"/>
      <c r="P207" s="318"/>
      <c r="Q207" s="313"/>
      <c r="R207" s="314"/>
      <c r="S207"/>
      <c r="T207"/>
      <c r="U207"/>
      <c r="V207"/>
      <c r="W207"/>
      <c r="X207"/>
      <c r="Y207" s="315"/>
      <c r="Z207" s="246"/>
      <c r="AA207" s="235"/>
      <c r="AB207" s="247"/>
      <c r="AC207" s="235"/>
      <c r="AD207"/>
      <c r="AE207" s="235"/>
      <c r="AF207" s="316"/>
      <c r="AG207"/>
      <c r="AH207"/>
      <c r="AJ207" s="317"/>
      <c r="AK207" s="11"/>
    </row>
    <row r="208" spans="2:37" ht="15" customHeight="1" x14ac:dyDescent="0.25">
      <c r="B208" s="298"/>
      <c r="C208" s="245"/>
      <c r="D208" s="310"/>
      <c r="E208" s="310"/>
      <c r="F208" s="310"/>
      <c r="G208" s="310"/>
      <c r="H208" s="228"/>
      <c r="I208" s="304"/>
      <c r="J208" s="261"/>
      <c r="K208" s="261"/>
      <c r="L208" s="305"/>
      <c r="M208" s="311"/>
      <c r="N208" s="311"/>
      <c r="O208" s="221"/>
      <c r="P208" s="318"/>
      <c r="Q208" s="313"/>
      <c r="R208" s="314"/>
      <c r="T208" s="1"/>
      <c r="U208" s="1"/>
      <c r="V208" s="1"/>
      <c r="Y208" s="315"/>
      <c r="Z208" s="246"/>
      <c r="AA208" s="235"/>
      <c r="AB208" s="247"/>
      <c r="AC208" s="235"/>
      <c r="AD208" s="1"/>
      <c r="AE208" s="235"/>
      <c r="AF208" s="316"/>
      <c r="AJ208" s="317"/>
      <c r="AK208" s="11"/>
    </row>
    <row r="209" spans="2:37" ht="15" customHeight="1" x14ac:dyDescent="0.25">
      <c r="B209" s="298"/>
      <c r="C209" s="245"/>
      <c r="D209" s="310"/>
      <c r="E209" s="310"/>
      <c r="F209" s="310"/>
      <c r="G209" s="310"/>
      <c r="H209" s="228"/>
      <c r="I209" s="304"/>
      <c r="J209" s="261"/>
      <c r="K209" s="261"/>
      <c r="L209" s="305"/>
      <c r="M209" s="311"/>
      <c r="N209" s="311"/>
      <c r="O209" s="221"/>
      <c r="P209" s="318"/>
      <c r="Q209" s="313"/>
      <c r="R209" s="314"/>
      <c r="Y209" s="315"/>
      <c r="Z209" s="246"/>
      <c r="AA209" s="235"/>
      <c r="AB209" s="247"/>
      <c r="AC209" s="235"/>
      <c r="AE209" s="235"/>
      <c r="AF209" s="316"/>
      <c r="AJ209" s="317"/>
      <c r="AK209" s="11"/>
    </row>
    <row r="210" spans="2:37" ht="15" customHeight="1" x14ac:dyDescent="0.25">
      <c r="B210" s="298"/>
      <c r="C210" s="245"/>
      <c r="D210" s="310"/>
      <c r="E210" s="310"/>
      <c r="F210" s="310"/>
      <c r="G210" s="310"/>
      <c r="H210" s="228"/>
      <c r="I210" s="304"/>
      <c r="J210" s="261"/>
      <c r="K210" s="261"/>
      <c r="L210" s="305"/>
      <c r="M210" s="311"/>
      <c r="N210" s="311"/>
      <c r="O210" s="221"/>
      <c r="P210" s="265"/>
      <c r="Q210" s="313"/>
      <c r="R210" s="314"/>
      <c r="Y210" s="315"/>
      <c r="Z210" s="246"/>
      <c r="AA210" s="235"/>
      <c r="AB210" s="247"/>
      <c r="AC210" s="235"/>
      <c r="AE210" s="235"/>
      <c r="AF210" s="316"/>
      <c r="AJ210" s="317"/>
      <c r="AK210" s="11"/>
    </row>
    <row r="211" spans="2:37" ht="15" customHeight="1" x14ac:dyDescent="0.25">
      <c r="B211" s="298"/>
      <c r="C211" s="245"/>
      <c r="D211" s="310"/>
      <c r="E211" s="310"/>
      <c r="F211" s="310"/>
      <c r="G211" s="310"/>
      <c r="H211" s="228"/>
      <c r="I211" s="304"/>
      <c r="J211" s="261"/>
      <c r="K211" s="261"/>
      <c r="L211" s="305"/>
      <c r="M211" s="311"/>
      <c r="N211" s="311"/>
      <c r="O211" s="221"/>
      <c r="P211" s="265"/>
      <c r="Q211" s="313"/>
      <c r="R211" s="314"/>
      <c r="Y211" s="315"/>
      <c r="Z211" s="246"/>
      <c r="AA211" s="235"/>
      <c r="AB211" s="247"/>
      <c r="AC211" s="235"/>
      <c r="AE211" s="235"/>
      <c r="AF211" s="316"/>
      <c r="AJ211" s="317"/>
      <c r="AK211" s="11"/>
    </row>
    <row r="212" spans="2:37" ht="15" customHeight="1" x14ac:dyDescent="0.25">
      <c r="B212" s="298"/>
      <c r="C212" s="245"/>
      <c r="D212" s="310"/>
      <c r="E212" s="310"/>
      <c r="F212" s="310"/>
      <c r="G212" s="310"/>
      <c r="H212" s="228"/>
      <c r="I212" s="304"/>
      <c r="J212" s="261"/>
      <c r="K212" s="261"/>
      <c r="L212" s="305"/>
      <c r="M212" s="311"/>
      <c r="N212" s="311"/>
      <c r="O212" s="221"/>
      <c r="P212" s="265"/>
      <c r="Q212" s="313"/>
      <c r="R212" s="314"/>
      <c r="Y212" s="315"/>
      <c r="Z212" s="246"/>
      <c r="AA212" s="235"/>
      <c r="AB212" s="247"/>
      <c r="AC212" s="235"/>
      <c r="AE212" s="235"/>
      <c r="AF212" s="316"/>
      <c r="AJ212" s="317"/>
      <c r="AK212" s="11"/>
    </row>
    <row r="213" spans="2:37" ht="15" customHeight="1" x14ac:dyDescent="0.25">
      <c r="B213" s="298"/>
      <c r="C213" s="245"/>
      <c r="D213" s="310"/>
      <c r="E213" s="310"/>
      <c r="F213" s="310"/>
      <c r="G213" s="310"/>
      <c r="H213" s="228"/>
      <c r="I213" s="304"/>
      <c r="J213" s="261"/>
      <c r="K213" s="261"/>
      <c r="L213" s="305"/>
      <c r="M213" s="311"/>
      <c r="N213" s="311"/>
      <c r="O213" s="221"/>
      <c r="P213" s="265"/>
      <c r="Q213" s="313"/>
      <c r="R213" s="314"/>
      <c r="Y213" s="315"/>
      <c r="Z213" s="246"/>
      <c r="AA213" s="235"/>
      <c r="AB213" s="247"/>
      <c r="AC213" s="235"/>
      <c r="AE213" s="235"/>
      <c r="AF213" s="316"/>
      <c r="AJ213" s="317"/>
      <c r="AK213" s="11"/>
    </row>
    <row r="214" spans="2:37" ht="15" customHeight="1" x14ac:dyDescent="0.25">
      <c r="B214" s="298"/>
      <c r="C214" s="245"/>
      <c r="D214" s="310"/>
      <c r="E214" s="310"/>
      <c r="F214" s="310"/>
      <c r="G214" s="310"/>
      <c r="H214" s="228"/>
      <c r="I214" s="304"/>
      <c r="J214" s="261"/>
      <c r="K214" s="261"/>
      <c r="L214" s="305"/>
      <c r="M214" s="311"/>
      <c r="N214" s="311"/>
      <c r="O214" s="221"/>
      <c r="P214" s="265"/>
      <c r="Q214" s="313"/>
      <c r="R214" s="314"/>
      <c r="Y214" s="315"/>
      <c r="Z214" s="246"/>
      <c r="AA214" s="235"/>
      <c r="AB214" s="247"/>
      <c r="AC214" s="235"/>
      <c r="AE214" s="235"/>
      <c r="AF214" s="316"/>
      <c r="AJ214" s="317"/>
      <c r="AK214" s="11"/>
    </row>
    <row r="215" spans="2:37" ht="15" customHeight="1" x14ac:dyDescent="0.25">
      <c r="B215" s="298"/>
      <c r="C215" s="245"/>
      <c r="D215" s="310"/>
      <c r="E215" s="310"/>
      <c r="F215" s="310"/>
      <c r="G215" s="310"/>
      <c r="H215" s="228"/>
      <c r="I215" s="304"/>
      <c r="J215" s="261"/>
      <c r="K215" s="261"/>
      <c r="L215" s="305"/>
      <c r="M215" s="311"/>
      <c r="N215" s="311"/>
      <c r="O215" s="221"/>
      <c r="P215" s="265"/>
      <c r="Q215" s="313"/>
      <c r="R215" s="314"/>
      <c r="Y215" s="315"/>
      <c r="Z215" s="246"/>
      <c r="AA215" s="235"/>
      <c r="AB215" s="247"/>
      <c r="AC215" s="235"/>
      <c r="AE215" s="235"/>
      <c r="AF215" s="316"/>
      <c r="AJ215" s="317"/>
      <c r="AK215" s="11"/>
    </row>
    <row r="216" spans="2:37" ht="15" customHeight="1" x14ac:dyDescent="0.25">
      <c r="B216" s="298"/>
      <c r="C216" s="245"/>
      <c r="D216" s="310"/>
      <c r="E216" s="310"/>
      <c r="F216" s="310"/>
      <c r="G216" s="310"/>
      <c r="H216" s="228"/>
      <c r="I216" s="304"/>
      <c r="J216" s="261"/>
      <c r="K216" s="261"/>
      <c r="L216" s="305"/>
      <c r="M216" s="311"/>
      <c r="N216" s="311"/>
      <c r="O216" s="221"/>
      <c r="P216" s="318"/>
      <c r="Q216" s="313"/>
      <c r="R216" s="314"/>
      <c r="Y216" s="315"/>
      <c r="Z216" s="246"/>
      <c r="AA216" s="235"/>
      <c r="AB216" s="247"/>
      <c r="AC216" s="235"/>
      <c r="AE216" s="235"/>
      <c r="AF216" s="316"/>
      <c r="AJ216" s="317"/>
      <c r="AK216" s="11"/>
    </row>
    <row r="217" spans="2:37" ht="15" customHeight="1" x14ac:dyDescent="0.25">
      <c r="B217" s="298"/>
      <c r="C217" s="245"/>
      <c r="D217" s="310"/>
      <c r="E217" s="310"/>
      <c r="F217" s="310"/>
      <c r="G217" s="310"/>
      <c r="H217" s="228"/>
      <c r="I217" s="304"/>
      <c r="J217" s="261"/>
      <c r="K217" s="261"/>
      <c r="L217" s="305"/>
      <c r="M217" s="311"/>
      <c r="N217" s="311"/>
      <c r="O217" s="221"/>
      <c r="P217" s="265"/>
      <c r="Q217" s="313"/>
      <c r="R217" s="314"/>
      <c r="Y217" s="315"/>
      <c r="Z217" s="246"/>
      <c r="AA217" s="235"/>
      <c r="AB217" s="247"/>
      <c r="AC217" s="235"/>
      <c r="AE217" s="235"/>
      <c r="AF217" s="316"/>
      <c r="AJ217" s="317"/>
      <c r="AK217" s="11"/>
    </row>
    <row r="218" spans="2:37" ht="15" customHeight="1" x14ac:dyDescent="0.25">
      <c r="B218" s="298"/>
      <c r="C218" s="245"/>
      <c r="D218" s="310"/>
      <c r="E218" s="310"/>
      <c r="F218" s="310"/>
      <c r="G218" s="310"/>
      <c r="H218" s="228"/>
      <c r="I218" s="304"/>
      <c r="J218" s="261"/>
      <c r="K218" s="261"/>
      <c r="L218" s="305"/>
      <c r="M218" s="311"/>
      <c r="N218" s="311"/>
      <c r="O218" s="221"/>
      <c r="P218" s="265"/>
      <c r="Q218" s="313"/>
      <c r="R218" s="314"/>
      <c r="Y218" s="315"/>
      <c r="Z218" s="246"/>
      <c r="AA218" s="235"/>
      <c r="AB218" s="247"/>
      <c r="AC218" s="235"/>
      <c r="AE218" s="235"/>
      <c r="AF218" s="316"/>
      <c r="AJ218" s="317"/>
      <c r="AK218" s="11"/>
    </row>
    <row r="219" spans="2:37" ht="15" customHeight="1" x14ac:dyDescent="0.25">
      <c r="B219" s="298"/>
      <c r="C219" s="245"/>
      <c r="D219" s="310"/>
      <c r="E219" s="310"/>
      <c r="F219" s="310"/>
      <c r="G219" s="310"/>
      <c r="H219" s="228"/>
      <c r="I219" s="304"/>
      <c r="J219" s="261"/>
      <c r="K219" s="261"/>
      <c r="L219" s="305"/>
      <c r="M219" s="311"/>
      <c r="N219" s="311"/>
      <c r="O219" s="221"/>
      <c r="P219" s="265"/>
      <c r="Q219" s="313"/>
      <c r="R219" s="314"/>
      <c r="Y219" s="315"/>
      <c r="Z219" s="246"/>
      <c r="AA219" s="235"/>
      <c r="AB219" s="247"/>
      <c r="AC219" s="235"/>
      <c r="AE219" s="235"/>
      <c r="AF219" s="316"/>
      <c r="AJ219" s="317"/>
      <c r="AK219" s="11"/>
    </row>
    <row r="220" spans="2:37" ht="15" customHeight="1" x14ac:dyDescent="0.25">
      <c r="B220" s="298"/>
      <c r="C220" s="245"/>
      <c r="D220" s="310"/>
      <c r="E220" s="310"/>
      <c r="F220" s="310"/>
      <c r="G220" s="310"/>
      <c r="H220" s="228"/>
      <c r="I220" s="304"/>
      <c r="J220" s="261"/>
      <c r="K220" s="261"/>
      <c r="L220" s="305"/>
      <c r="M220" s="311"/>
      <c r="N220" s="311"/>
      <c r="O220" s="221"/>
      <c r="P220" s="265"/>
      <c r="Q220" s="313"/>
      <c r="R220" s="314"/>
      <c r="Y220" s="315"/>
      <c r="Z220" s="246"/>
      <c r="AA220" s="235"/>
      <c r="AB220" s="247"/>
      <c r="AC220" s="235"/>
      <c r="AE220" s="235"/>
      <c r="AF220" s="316"/>
      <c r="AJ220" s="317"/>
      <c r="AK220" s="11"/>
    </row>
    <row r="221" spans="2:37" ht="15" customHeight="1" x14ac:dyDescent="0.25">
      <c r="B221" s="298"/>
      <c r="C221" s="245"/>
      <c r="D221" s="310"/>
      <c r="E221" s="310"/>
      <c r="F221" s="310"/>
      <c r="G221" s="310"/>
      <c r="H221" s="228"/>
      <c r="I221" s="304"/>
      <c r="J221" s="261"/>
      <c r="K221" s="261"/>
      <c r="L221" s="305"/>
      <c r="M221" s="311"/>
      <c r="N221" s="311"/>
      <c r="O221" s="221"/>
      <c r="P221" s="265"/>
      <c r="Q221" s="313"/>
      <c r="R221" s="314"/>
      <c r="Y221" s="315"/>
      <c r="Z221" s="246"/>
      <c r="AA221" s="235"/>
      <c r="AB221" s="247"/>
      <c r="AC221" s="235"/>
      <c r="AE221" s="235"/>
      <c r="AF221" s="316"/>
      <c r="AJ221" s="317"/>
      <c r="AK221" s="11"/>
    </row>
    <row r="222" spans="2:37" ht="15" customHeight="1" x14ac:dyDescent="0.25">
      <c r="B222" s="309"/>
      <c r="C222" s="245"/>
      <c r="D222" s="310"/>
      <c r="E222" s="310"/>
      <c r="F222" s="310"/>
      <c r="G222" s="310"/>
      <c r="H222" s="228"/>
      <c r="I222" s="304"/>
      <c r="J222" s="261"/>
      <c r="K222" s="261"/>
      <c r="L222" s="305"/>
      <c r="M222" s="311"/>
      <c r="N222" s="311"/>
      <c r="O222" s="312"/>
      <c r="P222" s="265"/>
      <c r="Q222" s="313"/>
      <c r="R222" s="314"/>
      <c r="Y222" s="315"/>
      <c r="Z222" s="246"/>
      <c r="AA222" s="235"/>
      <c r="AB222" s="247"/>
      <c r="AC222" s="235"/>
      <c r="AE222" s="235"/>
      <c r="AF222" s="316"/>
      <c r="AJ222" s="317"/>
      <c r="AK222" s="11"/>
    </row>
    <row r="223" spans="2:37" ht="15" customHeight="1" x14ac:dyDescent="0.25">
      <c r="B223" s="298"/>
      <c r="C223" s="245"/>
      <c r="D223" s="310"/>
      <c r="E223" s="310"/>
      <c r="F223" s="310"/>
      <c r="G223" s="310"/>
      <c r="H223" s="228"/>
      <c r="I223" s="304"/>
      <c r="J223" s="261"/>
      <c r="K223" s="261"/>
      <c r="L223" s="305"/>
      <c r="M223" s="311"/>
      <c r="N223" s="311"/>
      <c r="O223" s="221"/>
      <c r="P223" s="318"/>
      <c r="Q223" s="313"/>
      <c r="R223" s="314"/>
      <c r="Y223" s="315"/>
      <c r="Z223" s="246"/>
      <c r="AA223" s="235"/>
      <c r="AB223" s="247"/>
      <c r="AC223" s="235"/>
      <c r="AE223" s="235"/>
      <c r="AF223" s="316"/>
      <c r="AJ223" s="317"/>
      <c r="AK223" s="11"/>
    </row>
    <row r="224" spans="2:37" ht="15" customHeight="1" x14ac:dyDescent="0.25">
      <c r="B224" s="298"/>
      <c r="C224" s="245"/>
      <c r="D224" s="310"/>
      <c r="E224" s="310"/>
      <c r="F224" s="310"/>
      <c r="G224" s="310"/>
      <c r="H224" s="228"/>
      <c r="I224" s="304"/>
      <c r="J224" s="261"/>
      <c r="K224" s="261"/>
      <c r="L224" s="305"/>
      <c r="M224" s="311"/>
      <c r="N224" s="311"/>
      <c r="O224" s="221"/>
      <c r="P224" s="318"/>
      <c r="Q224" s="313"/>
      <c r="R224" s="314"/>
      <c r="Y224" s="315"/>
      <c r="Z224" s="246"/>
      <c r="AA224" s="235"/>
      <c r="AB224" s="247"/>
      <c r="AC224" s="235"/>
      <c r="AE224" s="235"/>
      <c r="AF224" s="316"/>
      <c r="AJ224" s="317"/>
      <c r="AK224" s="11"/>
    </row>
    <row r="225" spans="2:37" ht="15" customHeight="1" x14ac:dyDescent="0.25">
      <c r="B225" s="298"/>
      <c r="C225" s="245"/>
      <c r="D225" s="310"/>
      <c r="E225" s="310"/>
      <c r="F225" s="310"/>
      <c r="G225" s="310"/>
      <c r="H225" s="228"/>
      <c r="I225" s="304"/>
      <c r="J225" s="261"/>
      <c r="K225" s="261"/>
      <c r="L225" s="305"/>
      <c r="M225" s="311"/>
      <c r="N225" s="311"/>
      <c r="O225" s="221"/>
      <c r="P225" s="318"/>
      <c r="Q225" s="313"/>
      <c r="R225" s="314"/>
      <c r="Y225" s="315"/>
      <c r="Z225" s="246"/>
      <c r="AA225" s="235"/>
      <c r="AB225" s="247"/>
      <c r="AC225" s="235"/>
      <c r="AE225" s="235"/>
      <c r="AF225" s="316"/>
      <c r="AH225" s="1"/>
      <c r="AJ225" s="317"/>
      <c r="AK225" s="11"/>
    </row>
    <row r="226" spans="2:37" ht="15" customHeight="1" x14ac:dyDescent="0.25">
      <c r="B226" s="298"/>
      <c r="C226" s="245"/>
      <c r="D226" s="310"/>
      <c r="E226" s="310"/>
      <c r="F226" s="310"/>
      <c r="G226" s="310"/>
      <c r="H226" s="228"/>
      <c r="I226" s="304"/>
      <c r="J226" s="261"/>
      <c r="K226" s="261"/>
      <c r="L226" s="305"/>
      <c r="M226" s="311"/>
      <c r="N226" s="311"/>
      <c r="O226" s="221"/>
      <c r="P226" s="265"/>
      <c r="Q226" s="313"/>
      <c r="R226" s="314"/>
      <c r="Y226" s="315"/>
      <c r="Z226" s="246"/>
      <c r="AA226" s="235"/>
      <c r="AB226" s="247"/>
      <c r="AC226" s="235"/>
      <c r="AE226" s="235"/>
      <c r="AF226" s="316"/>
      <c r="AJ226" s="317"/>
      <c r="AK226" s="11"/>
    </row>
    <row r="227" spans="2:37" s="1" customFormat="1" ht="15" customHeight="1" x14ac:dyDescent="0.25">
      <c r="B227" s="298"/>
      <c r="C227" s="245"/>
      <c r="D227" s="310"/>
      <c r="E227" s="310"/>
      <c r="F227" s="310"/>
      <c r="G227" s="310"/>
      <c r="H227" s="228"/>
      <c r="I227" s="304"/>
      <c r="J227" s="261"/>
      <c r="K227" s="261"/>
      <c r="L227" s="305"/>
      <c r="M227" s="311"/>
      <c r="N227" s="311"/>
      <c r="O227" s="221"/>
      <c r="P227" s="265"/>
      <c r="Q227" s="313"/>
      <c r="R227" s="314"/>
      <c r="S227"/>
      <c r="W227"/>
      <c r="X227"/>
      <c r="Y227" s="315"/>
      <c r="Z227" s="246"/>
      <c r="AA227" s="235"/>
      <c r="AB227" s="247"/>
      <c r="AC227" s="235"/>
      <c r="AE227" s="235"/>
      <c r="AF227" s="316"/>
      <c r="AG227"/>
      <c r="AH227"/>
      <c r="AJ227" s="317"/>
      <c r="AK227" s="11"/>
    </row>
    <row r="228" spans="2:37" ht="15" customHeight="1" x14ac:dyDescent="0.25">
      <c r="B228" s="298"/>
      <c r="C228" s="245"/>
      <c r="D228" s="310"/>
      <c r="E228" s="310"/>
      <c r="F228" s="310"/>
      <c r="G228" s="310"/>
      <c r="H228" s="228"/>
      <c r="I228" s="304"/>
      <c r="J228" s="261"/>
      <c r="K228" s="261"/>
      <c r="L228" s="305"/>
      <c r="M228" s="311"/>
      <c r="N228" s="311"/>
      <c r="O228" s="221"/>
      <c r="P228" s="318"/>
      <c r="Q228" s="313"/>
      <c r="R228" s="314"/>
      <c r="Y228" s="315"/>
      <c r="Z228" s="246"/>
      <c r="AA228" s="235"/>
      <c r="AB228" s="247"/>
      <c r="AC228" s="235"/>
      <c r="AE228" s="235"/>
      <c r="AF228" s="316"/>
      <c r="AH228" s="1"/>
      <c r="AJ228" s="317"/>
      <c r="AK228" s="11"/>
    </row>
    <row r="229" spans="2:37" ht="15" customHeight="1" x14ac:dyDescent="0.25">
      <c r="B229" s="298"/>
      <c r="C229" s="245"/>
      <c r="D229" s="310"/>
      <c r="E229" s="310"/>
      <c r="F229" s="310"/>
      <c r="G229" s="310"/>
      <c r="H229" s="228"/>
      <c r="I229" s="304"/>
      <c r="J229" s="261"/>
      <c r="K229" s="261"/>
      <c r="L229" s="305"/>
      <c r="M229" s="311"/>
      <c r="N229" s="311"/>
      <c r="O229" s="221"/>
      <c r="P229" s="265"/>
      <c r="Q229" s="313"/>
      <c r="R229" s="314"/>
      <c r="Y229" s="315"/>
      <c r="Z229" s="246"/>
      <c r="AA229" s="235"/>
      <c r="AB229" s="247"/>
      <c r="AC229" s="235"/>
      <c r="AE229" s="235"/>
      <c r="AF229" s="316"/>
      <c r="AJ229" s="317"/>
      <c r="AK229" s="11"/>
    </row>
    <row r="230" spans="2:37" s="1" customFormat="1" ht="15" customHeight="1" x14ac:dyDescent="0.25">
      <c r="B230" s="298"/>
      <c r="C230" s="245"/>
      <c r="D230" s="310"/>
      <c r="E230" s="310"/>
      <c r="F230" s="310"/>
      <c r="G230" s="310"/>
      <c r="H230" s="228"/>
      <c r="I230" s="304"/>
      <c r="J230" s="261"/>
      <c r="K230" s="261"/>
      <c r="L230" s="305"/>
      <c r="M230" s="311"/>
      <c r="N230" s="311"/>
      <c r="O230" s="221"/>
      <c r="P230" s="265"/>
      <c r="Q230" s="313"/>
      <c r="R230" s="314"/>
      <c r="S230"/>
      <c r="W230"/>
      <c r="X230"/>
      <c r="Y230" s="315"/>
      <c r="Z230" s="246"/>
      <c r="AA230" s="235"/>
      <c r="AB230" s="247"/>
      <c r="AC230" s="235"/>
      <c r="AE230" s="235"/>
      <c r="AF230" s="316"/>
      <c r="AG230"/>
      <c r="AH230"/>
      <c r="AJ230" s="317"/>
      <c r="AK230" s="11"/>
    </row>
    <row r="231" spans="2:37" ht="15" customHeight="1" x14ac:dyDescent="0.25">
      <c r="B231" s="298"/>
      <c r="C231" s="245"/>
      <c r="D231" s="310"/>
      <c r="E231" s="310"/>
      <c r="F231" s="310"/>
      <c r="G231" s="310"/>
      <c r="H231" s="228"/>
      <c r="I231" s="304"/>
      <c r="J231" s="261"/>
      <c r="K231" s="261"/>
      <c r="L231" s="305"/>
      <c r="M231" s="311"/>
      <c r="N231" s="311"/>
      <c r="O231" s="221"/>
      <c r="P231" s="265"/>
      <c r="Q231" s="313"/>
      <c r="R231" s="314"/>
      <c r="Y231" s="315"/>
      <c r="Z231" s="246"/>
      <c r="AA231" s="235"/>
      <c r="AB231" s="247"/>
      <c r="AC231" s="235"/>
      <c r="AE231" s="235"/>
      <c r="AF231" s="316"/>
      <c r="AJ231" s="317"/>
      <c r="AK231" s="11"/>
    </row>
    <row r="232" spans="2:37" ht="15" customHeight="1" x14ac:dyDescent="0.25">
      <c r="B232" s="298"/>
      <c r="C232" s="245"/>
      <c r="D232" s="310"/>
      <c r="E232" s="310"/>
      <c r="F232" s="310"/>
      <c r="G232" s="310"/>
      <c r="H232" s="228"/>
      <c r="I232" s="304"/>
      <c r="J232" s="261"/>
      <c r="K232" s="261"/>
      <c r="L232" s="305"/>
      <c r="M232" s="311"/>
      <c r="N232" s="311"/>
      <c r="O232" s="221"/>
      <c r="P232" s="265"/>
      <c r="Q232" s="313"/>
      <c r="R232" s="314"/>
      <c r="Y232" s="315"/>
      <c r="Z232" s="246"/>
      <c r="AA232" s="235"/>
      <c r="AB232" s="247"/>
      <c r="AC232" s="235"/>
      <c r="AE232" s="235"/>
      <c r="AF232" s="316"/>
      <c r="AJ232" s="317"/>
      <c r="AK232" s="11"/>
    </row>
    <row r="233" spans="2:37" ht="15" customHeight="1" x14ac:dyDescent="0.25">
      <c r="B233" s="298"/>
      <c r="C233" s="245"/>
      <c r="D233" s="310"/>
      <c r="E233" s="310"/>
      <c r="F233" s="310"/>
      <c r="G233" s="310"/>
      <c r="H233" s="228"/>
      <c r="I233" s="304"/>
      <c r="J233" s="261"/>
      <c r="K233" s="261"/>
      <c r="L233" s="305"/>
      <c r="M233" s="311"/>
      <c r="N233" s="311"/>
      <c r="O233" s="221"/>
      <c r="P233" s="265"/>
      <c r="Q233" s="313"/>
      <c r="R233" s="314"/>
      <c r="Y233" s="315"/>
      <c r="Z233" s="246"/>
      <c r="AA233" s="235"/>
      <c r="AB233" s="247"/>
      <c r="AC233" s="235"/>
      <c r="AE233" s="235"/>
      <c r="AF233" s="316"/>
      <c r="AJ233" s="317"/>
      <c r="AK233" s="11"/>
    </row>
    <row r="234" spans="2:37" ht="15" customHeight="1" x14ac:dyDescent="0.25">
      <c r="B234" s="298"/>
      <c r="C234" s="245"/>
      <c r="D234" s="310"/>
      <c r="E234" s="310"/>
      <c r="F234" s="310"/>
      <c r="G234" s="310"/>
      <c r="H234" s="228"/>
      <c r="I234" s="304"/>
      <c r="J234" s="261"/>
      <c r="K234" s="261"/>
      <c r="L234" s="305"/>
      <c r="M234" s="311"/>
      <c r="N234" s="311"/>
      <c r="O234" s="221"/>
      <c r="P234" s="265"/>
      <c r="Q234" s="313"/>
      <c r="R234" s="314"/>
      <c r="Y234" s="315"/>
      <c r="Z234" s="246"/>
      <c r="AA234" s="235"/>
      <c r="AB234" s="247"/>
      <c r="AC234" s="235"/>
      <c r="AE234" s="235"/>
      <c r="AF234" s="316"/>
      <c r="AJ234" s="317"/>
      <c r="AK234" s="11"/>
    </row>
    <row r="235" spans="2:37" ht="15" customHeight="1" x14ac:dyDescent="0.25">
      <c r="B235" s="298"/>
      <c r="C235" s="245"/>
      <c r="D235" s="310"/>
      <c r="E235" s="310"/>
      <c r="F235" s="310"/>
      <c r="G235" s="310"/>
      <c r="H235" s="228"/>
      <c r="I235" s="304"/>
      <c r="J235" s="261"/>
      <c r="K235" s="261"/>
      <c r="L235" s="305"/>
      <c r="M235" s="311"/>
      <c r="N235" s="311"/>
      <c r="O235" s="221"/>
      <c r="P235" s="265"/>
      <c r="Q235" s="313"/>
      <c r="R235" s="314"/>
      <c r="Y235" s="315"/>
      <c r="Z235" s="246"/>
      <c r="AA235" s="235"/>
      <c r="AB235" s="247"/>
      <c r="AC235" s="235"/>
      <c r="AE235" s="235"/>
      <c r="AF235" s="316"/>
      <c r="AJ235" s="317"/>
      <c r="AK235" s="11"/>
    </row>
    <row r="236" spans="2:37" ht="15" customHeight="1" x14ac:dyDescent="0.25">
      <c r="B236" s="298"/>
      <c r="C236" s="245"/>
      <c r="D236" s="310"/>
      <c r="E236" s="310"/>
      <c r="F236" s="310"/>
      <c r="G236" s="310"/>
      <c r="H236" s="228"/>
      <c r="I236" s="304"/>
      <c r="J236" s="261"/>
      <c r="K236" s="261"/>
      <c r="L236" s="305"/>
      <c r="M236" s="311"/>
      <c r="N236" s="311"/>
      <c r="O236" s="221"/>
      <c r="P236" s="265"/>
      <c r="Q236" s="313"/>
      <c r="R236" s="314"/>
      <c r="Y236" s="315"/>
      <c r="Z236" s="246"/>
      <c r="AA236" s="235"/>
      <c r="AB236" s="247"/>
      <c r="AC236" s="235"/>
      <c r="AE236" s="235"/>
      <c r="AF236" s="316"/>
      <c r="AJ236" s="317"/>
      <c r="AK236" s="11"/>
    </row>
    <row r="237" spans="2:37" ht="15" customHeight="1" x14ac:dyDescent="0.25">
      <c r="B237" s="298"/>
      <c r="C237" s="245"/>
      <c r="D237" s="310"/>
      <c r="E237" s="310"/>
      <c r="F237" s="310"/>
      <c r="G237" s="310"/>
      <c r="H237" s="228"/>
      <c r="I237" s="304"/>
      <c r="J237" s="261"/>
      <c r="K237" s="261"/>
      <c r="L237" s="305"/>
      <c r="M237" s="311"/>
      <c r="N237" s="311"/>
      <c r="O237" s="221"/>
      <c r="P237" s="265"/>
      <c r="Q237" s="313"/>
      <c r="R237" s="314"/>
      <c r="Y237" s="315"/>
      <c r="Z237" s="246"/>
      <c r="AA237" s="235"/>
      <c r="AB237" s="247"/>
      <c r="AC237" s="235"/>
      <c r="AE237" s="235"/>
      <c r="AF237" s="316"/>
      <c r="AJ237" s="317"/>
      <c r="AK237" s="11"/>
    </row>
    <row r="238" spans="2:37" ht="15" customHeight="1" x14ac:dyDescent="0.25">
      <c r="B238" s="309"/>
      <c r="C238" s="245"/>
      <c r="D238" s="310"/>
      <c r="E238" s="310"/>
      <c r="F238" s="310"/>
      <c r="G238" s="310"/>
      <c r="H238" s="228"/>
      <c r="I238" s="304"/>
      <c r="J238" s="261"/>
      <c r="K238" s="261"/>
      <c r="L238" s="305"/>
      <c r="M238" s="311"/>
      <c r="N238" s="311"/>
      <c r="O238" s="312"/>
      <c r="P238" s="265"/>
      <c r="Q238" s="313"/>
      <c r="R238" s="314"/>
      <c r="Y238" s="315"/>
      <c r="Z238" s="246"/>
      <c r="AA238" s="235"/>
      <c r="AB238" s="247"/>
      <c r="AC238" s="235"/>
      <c r="AE238" s="235"/>
      <c r="AF238" s="316"/>
      <c r="AJ238" s="317"/>
      <c r="AK238" s="11"/>
    </row>
    <row r="239" spans="2:37" ht="15" customHeight="1" x14ac:dyDescent="0.25">
      <c r="B239" s="298"/>
      <c r="C239" s="245"/>
      <c r="D239" s="310"/>
      <c r="E239" s="310"/>
      <c r="F239" s="310"/>
      <c r="G239" s="310"/>
      <c r="H239" s="228"/>
      <c r="I239" s="304"/>
      <c r="J239" s="261"/>
      <c r="K239" s="261"/>
      <c r="L239" s="305"/>
      <c r="M239" s="311"/>
      <c r="N239" s="311"/>
      <c r="O239" s="221"/>
      <c r="P239" s="265"/>
      <c r="Q239" s="313"/>
      <c r="R239" s="314"/>
      <c r="Y239" s="315"/>
      <c r="Z239" s="246"/>
      <c r="AA239" s="235"/>
      <c r="AB239" s="247"/>
      <c r="AC239" s="235"/>
      <c r="AE239" s="235"/>
      <c r="AF239" s="316"/>
      <c r="AJ239" s="317"/>
      <c r="AK239" s="11"/>
    </row>
    <row r="240" spans="2:37" ht="15" customHeight="1" x14ac:dyDescent="0.25">
      <c r="B240" s="309"/>
      <c r="C240" s="245"/>
      <c r="D240" s="310"/>
      <c r="E240" s="310"/>
      <c r="F240" s="310"/>
      <c r="G240" s="310"/>
      <c r="H240" s="228"/>
      <c r="I240" s="304"/>
      <c r="J240" s="261"/>
      <c r="K240" s="261"/>
      <c r="L240" s="305"/>
      <c r="M240" s="311"/>
      <c r="N240" s="311"/>
      <c r="O240" s="312"/>
      <c r="P240" s="318"/>
      <c r="Q240" s="313"/>
      <c r="R240" s="314"/>
      <c r="Y240" s="315"/>
      <c r="Z240" s="246"/>
      <c r="AA240" s="235"/>
      <c r="AB240" s="247"/>
      <c r="AC240" s="235"/>
      <c r="AE240" s="235"/>
      <c r="AF240" s="316"/>
      <c r="AJ240" s="317"/>
      <c r="AK240" s="11"/>
    </row>
    <row r="241" spans="2:37" ht="15" customHeight="1" x14ac:dyDescent="0.25">
      <c r="B241" s="309"/>
      <c r="C241" s="245"/>
      <c r="D241" s="310"/>
      <c r="E241" s="310"/>
      <c r="F241" s="310"/>
      <c r="G241" s="310"/>
      <c r="H241" s="228"/>
      <c r="I241" s="304"/>
      <c r="J241" s="261"/>
      <c r="K241" s="261"/>
      <c r="L241" s="305"/>
      <c r="M241" s="311"/>
      <c r="N241" s="311"/>
      <c r="O241" s="312"/>
      <c r="P241" s="265"/>
      <c r="Q241" s="313"/>
      <c r="R241" s="314"/>
      <c r="Y241" s="315"/>
      <c r="Z241" s="246"/>
      <c r="AA241" s="235"/>
      <c r="AB241" s="247"/>
      <c r="AC241" s="235"/>
      <c r="AE241" s="235"/>
      <c r="AF241" s="316"/>
      <c r="AJ241" s="317"/>
      <c r="AK241" s="11"/>
    </row>
    <row r="242" spans="2:37" ht="15" customHeight="1" x14ac:dyDescent="0.25">
      <c r="B242" s="298"/>
      <c r="C242" s="245"/>
      <c r="D242" s="310"/>
      <c r="E242" s="310"/>
      <c r="F242" s="310"/>
      <c r="G242" s="310"/>
      <c r="H242" s="228"/>
      <c r="I242" s="304"/>
      <c r="J242" s="261"/>
      <c r="K242" s="261"/>
      <c r="L242" s="305"/>
      <c r="M242" s="311"/>
      <c r="N242" s="311"/>
      <c r="O242" s="221"/>
      <c r="P242" s="265"/>
      <c r="Q242" s="313"/>
      <c r="R242" s="314"/>
      <c r="Y242" s="315"/>
      <c r="Z242" s="246"/>
      <c r="AA242" s="235"/>
      <c r="AB242" s="247"/>
      <c r="AC242" s="235"/>
      <c r="AE242" s="235"/>
      <c r="AF242" s="316"/>
      <c r="AJ242" s="317"/>
      <c r="AK242" s="11"/>
    </row>
    <row r="243" spans="2:37" ht="15" customHeight="1" x14ac:dyDescent="0.25">
      <c r="B243" s="309"/>
      <c r="C243" s="245"/>
      <c r="D243" s="310"/>
      <c r="E243" s="310"/>
      <c r="F243" s="310"/>
      <c r="G243" s="310"/>
      <c r="H243" s="228"/>
      <c r="I243" s="304"/>
      <c r="J243" s="261"/>
      <c r="K243" s="261"/>
      <c r="L243" s="305"/>
      <c r="M243" s="311"/>
      <c r="N243" s="311"/>
      <c r="O243" s="312"/>
      <c r="P243" s="265"/>
      <c r="Q243" s="313"/>
      <c r="R243" s="314"/>
      <c r="Y243" s="315"/>
      <c r="Z243" s="246"/>
      <c r="AA243" s="235"/>
      <c r="AB243" s="247"/>
      <c r="AC243" s="235"/>
      <c r="AE243" s="235"/>
      <c r="AF243" s="316"/>
      <c r="AJ243" s="317"/>
      <c r="AK243" s="11"/>
    </row>
    <row r="244" spans="2:37" ht="15" customHeight="1" x14ac:dyDescent="0.25">
      <c r="B244" s="298"/>
      <c r="C244" s="245"/>
      <c r="D244" s="310"/>
      <c r="E244" s="310"/>
      <c r="F244" s="310"/>
      <c r="G244" s="310"/>
      <c r="H244" s="228"/>
      <c r="I244" s="304"/>
      <c r="J244" s="261"/>
      <c r="K244" s="261"/>
      <c r="L244" s="305"/>
      <c r="M244" s="311"/>
      <c r="N244" s="311"/>
      <c r="O244" s="221"/>
      <c r="P244" s="318"/>
      <c r="Q244" s="313"/>
      <c r="R244" s="314"/>
      <c r="Y244" s="315"/>
      <c r="Z244" s="246"/>
      <c r="AA244" s="235"/>
      <c r="AB244" s="247"/>
      <c r="AC244" s="235"/>
      <c r="AE244" s="235"/>
      <c r="AF244" s="316"/>
      <c r="AJ244" s="317"/>
      <c r="AK244" s="11"/>
    </row>
    <row r="245" spans="2:37" ht="15" customHeight="1" x14ac:dyDescent="0.25">
      <c r="B245" s="298"/>
      <c r="C245" s="245"/>
      <c r="D245" s="310"/>
      <c r="E245" s="310"/>
      <c r="F245" s="310"/>
      <c r="G245" s="310"/>
      <c r="H245" s="228"/>
      <c r="I245" s="304"/>
      <c r="J245" s="261"/>
      <c r="K245" s="261"/>
      <c r="L245" s="305"/>
      <c r="M245" s="311"/>
      <c r="N245" s="311"/>
      <c r="O245" s="221"/>
      <c r="P245" s="265"/>
      <c r="Q245" s="313"/>
      <c r="R245" s="314"/>
      <c r="Y245" s="315"/>
      <c r="Z245" s="246"/>
      <c r="AA245" s="235"/>
      <c r="AB245" s="247"/>
      <c r="AC245" s="235"/>
      <c r="AE245" s="235"/>
      <c r="AF245" s="316"/>
      <c r="AJ245" s="317"/>
      <c r="AK245" s="11"/>
    </row>
    <row r="246" spans="2:37" ht="15" customHeight="1" x14ac:dyDescent="0.25">
      <c r="B246" s="309"/>
      <c r="C246" s="245"/>
      <c r="D246" s="310"/>
      <c r="E246" s="310"/>
      <c r="F246" s="310"/>
      <c r="G246" s="310"/>
      <c r="H246" s="228"/>
      <c r="I246" s="304"/>
      <c r="J246" s="261"/>
      <c r="K246" s="261"/>
      <c r="L246" s="305"/>
      <c r="M246" s="311"/>
      <c r="N246" s="311"/>
      <c r="O246" s="312"/>
      <c r="P246" s="318"/>
      <c r="Q246" s="313"/>
      <c r="R246" s="314"/>
      <c r="Y246" s="315"/>
      <c r="Z246" s="246"/>
      <c r="AA246" s="235"/>
      <c r="AB246" s="247"/>
      <c r="AC246" s="235"/>
      <c r="AE246" s="235"/>
      <c r="AF246" s="316"/>
      <c r="AJ246" s="317"/>
      <c r="AK246" s="11"/>
    </row>
    <row r="247" spans="2:37" ht="15" customHeight="1" x14ac:dyDescent="0.25">
      <c r="B247" s="298"/>
      <c r="C247" s="245"/>
      <c r="D247" s="310"/>
      <c r="E247" s="310"/>
      <c r="F247" s="310"/>
      <c r="G247" s="310"/>
      <c r="H247" s="228"/>
      <c r="I247" s="304"/>
      <c r="J247" s="261"/>
      <c r="K247" s="261"/>
      <c r="L247" s="305"/>
      <c r="M247" s="311"/>
      <c r="N247" s="311"/>
      <c r="O247" s="221"/>
      <c r="P247" s="265"/>
      <c r="Q247" s="313"/>
      <c r="R247" s="314"/>
      <c r="Y247" s="315"/>
      <c r="Z247" s="246"/>
      <c r="AA247" s="235"/>
      <c r="AB247" s="247"/>
      <c r="AC247" s="235"/>
      <c r="AE247" s="235"/>
      <c r="AF247" s="316"/>
      <c r="AJ247" s="317"/>
      <c r="AK247" s="11"/>
    </row>
    <row r="248" spans="2:37" ht="15" customHeight="1" x14ac:dyDescent="0.25">
      <c r="B248" s="309"/>
      <c r="C248" s="245"/>
      <c r="D248" s="310"/>
      <c r="E248" s="310"/>
      <c r="F248" s="310"/>
      <c r="G248" s="310"/>
      <c r="H248" s="228"/>
      <c r="I248" s="304"/>
      <c r="J248" s="261"/>
      <c r="K248" s="261"/>
      <c r="L248" s="305"/>
      <c r="M248" s="311"/>
      <c r="N248" s="311"/>
      <c r="O248" s="312"/>
      <c r="P248" s="265"/>
      <c r="Q248" s="313"/>
      <c r="R248" s="314"/>
      <c r="Y248" s="315"/>
      <c r="Z248" s="246"/>
      <c r="AA248" s="235"/>
      <c r="AB248" s="247"/>
      <c r="AC248" s="235"/>
      <c r="AE248" s="235"/>
      <c r="AF248" s="316"/>
      <c r="AJ248" s="317"/>
      <c r="AK248" s="11"/>
    </row>
    <row r="249" spans="2:37" ht="15" customHeight="1" x14ac:dyDescent="0.25">
      <c r="B249" s="298"/>
      <c r="C249" s="245"/>
      <c r="D249" s="310"/>
      <c r="E249" s="310"/>
      <c r="F249" s="310"/>
      <c r="G249" s="310"/>
      <c r="H249" s="228"/>
      <c r="I249" s="304"/>
      <c r="J249" s="261"/>
      <c r="K249" s="261"/>
      <c r="L249" s="305"/>
      <c r="M249" s="311"/>
      <c r="N249" s="311"/>
      <c r="O249" s="221"/>
      <c r="P249" s="265"/>
      <c r="Q249" s="313"/>
      <c r="R249" s="314"/>
      <c r="Y249" s="315"/>
      <c r="Z249" s="246"/>
      <c r="AA249" s="235"/>
      <c r="AB249" s="247"/>
      <c r="AC249" s="235"/>
      <c r="AE249" s="235"/>
      <c r="AF249" s="316"/>
      <c r="AJ249" s="317"/>
      <c r="AK249" s="11"/>
    </row>
    <row r="250" spans="2:37" ht="15" customHeight="1" x14ac:dyDescent="0.25">
      <c r="B250" s="298"/>
      <c r="C250" s="245"/>
      <c r="D250" s="310"/>
      <c r="E250" s="310"/>
      <c r="F250" s="310"/>
      <c r="G250" s="310"/>
      <c r="H250" s="228"/>
      <c r="I250" s="304"/>
      <c r="J250" s="261"/>
      <c r="K250" s="261"/>
      <c r="L250" s="305"/>
      <c r="M250" s="311"/>
      <c r="N250" s="311"/>
      <c r="O250" s="221"/>
      <c r="P250" s="265"/>
      <c r="Q250" s="313"/>
      <c r="R250" s="314"/>
      <c r="Y250" s="315"/>
      <c r="Z250" s="246"/>
      <c r="AA250" s="235"/>
      <c r="AB250" s="247"/>
      <c r="AC250" s="235"/>
      <c r="AE250" s="235"/>
      <c r="AF250" s="316"/>
      <c r="AJ250" s="317"/>
      <c r="AK250" s="11"/>
    </row>
    <row r="251" spans="2:37" ht="15" customHeight="1" x14ac:dyDescent="0.25">
      <c r="B251" s="298"/>
      <c r="C251" s="245"/>
      <c r="D251" s="310"/>
      <c r="E251" s="310"/>
      <c r="F251" s="310"/>
      <c r="G251" s="310"/>
      <c r="H251" s="228"/>
      <c r="I251" s="304"/>
      <c r="J251" s="261"/>
      <c r="K251" s="261"/>
      <c r="L251" s="305"/>
      <c r="M251" s="311"/>
      <c r="N251" s="311"/>
      <c r="O251" s="221"/>
      <c r="P251" s="265"/>
      <c r="Q251" s="313"/>
      <c r="R251" s="314"/>
      <c r="Y251" s="315"/>
      <c r="Z251" s="246"/>
      <c r="AA251" s="235"/>
      <c r="AB251" s="247"/>
      <c r="AC251" s="235"/>
      <c r="AE251" s="235"/>
      <c r="AF251" s="316"/>
      <c r="AJ251" s="317"/>
      <c r="AK251" s="11"/>
    </row>
    <row r="252" spans="2:37" ht="15" customHeight="1" x14ac:dyDescent="0.25">
      <c r="B252" s="298"/>
      <c r="C252" s="245"/>
      <c r="D252" s="310"/>
      <c r="E252" s="310"/>
      <c r="F252" s="310"/>
      <c r="G252" s="310"/>
      <c r="H252" s="228"/>
      <c r="I252" s="304"/>
      <c r="J252" s="261"/>
      <c r="K252" s="261"/>
      <c r="L252" s="305"/>
      <c r="M252" s="311"/>
      <c r="N252" s="311"/>
      <c r="O252" s="221"/>
      <c r="P252" s="265"/>
      <c r="Q252" s="313"/>
      <c r="R252" s="314"/>
      <c r="Y252" s="315"/>
      <c r="Z252" s="246"/>
      <c r="AA252" s="235"/>
      <c r="AB252" s="247"/>
      <c r="AC252" s="235"/>
      <c r="AE252" s="235"/>
      <c r="AF252" s="316"/>
      <c r="AJ252" s="317"/>
      <c r="AK252" s="11"/>
    </row>
    <row r="253" spans="2:37" ht="15" customHeight="1" x14ac:dyDescent="0.25">
      <c r="B253" s="298"/>
      <c r="C253" s="245"/>
      <c r="D253" s="310"/>
      <c r="E253" s="310"/>
      <c r="F253" s="310"/>
      <c r="G253" s="310"/>
      <c r="H253" s="228"/>
      <c r="I253" s="304"/>
      <c r="J253" s="261"/>
      <c r="K253" s="261"/>
      <c r="L253" s="305"/>
      <c r="M253" s="311"/>
      <c r="N253" s="311"/>
      <c r="O253" s="221"/>
      <c r="P253" s="265"/>
      <c r="Q253" s="313"/>
      <c r="R253" s="314"/>
      <c r="Y253" s="315"/>
      <c r="Z253" s="246"/>
      <c r="AA253" s="235"/>
      <c r="AB253" s="247"/>
      <c r="AC253" s="235"/>
      <c r="AE253" s="235"/>
      <c r="AF253" s="316"/>
      <c r="AJ253" s="317"/>
      <c r="AK253" s="11"/>
    </row>
    <row r="254" spans="2:37" ht="15" customHeight="1" x14ac:dyDescent="0.25">
      <c r="B254" s="298"/>
      <c r="C254" s="245"/>
      <c r="D254" s="310"/>
      <c r="E254" s="310"/>
      <c r="F254" s="310"/>
      <c r="G254" s="310"/>
      <c r="H254" s="228"/>
      <c r="I254" s="304"/>
      <c r="J254" s="261"/>
      <c r="K254" s="261"/>
      <c r="L254" s="305"/>
      <c r="M254" s="311"/>
      <c r="N254" s="311"/>
      <c r="O254" s="221"/>
      <c r="P254" s="318"/>
      <c r="Q254" s="313"/>
      <c r="R254" s="314"/>
      <c r="Y254" s="315"/>
      <c r="Z254" s="246"/>
      <c r="AA254" s="235"/>
      <c r="AB254" s="247"/>
      <c r="AC254" s="235"/>
      <c r="AE254" s="235"/>
      <c r="AF254" s="316"/>
      <c r="AJ254" s="317"/>
      <c r="AK254" s="11"/>
    </row>
    <row r="255" spans="2:37" ht="15" customHeight="1" x14ac:dyDescent="0.25">
      <c r="B255" s="298"/>
      <c r="C255" s="245"/>
      <c r="D255" s="310"/>
      <c r="E255" s="310"/>
      <c r="F255" s="310"/>
      <c r="G255" s="310"/>
      <c r="H255" s="228"/>
      <c r="I255" s="304"/>
      <c r="J255" s="261"/>
      <c r="K255" s="261"/>
      <c r="L255" s="305"/>
      <c r="M255" s="311"/>
      <c r="N255" s="311"/>
      <c r="O255" s="221"/>
      <c r="P255" s="318"/>
      <c r="Q255" s="313"/>
      <c r="R255" s="314"/>
      <c r="Y255" s="315"/>
      <c r="Z255" s="246"/>
      <c r="AA255" s="235"/>
      <c r="AB255" s="247"/>
      <c r="AC255" s="235"/>
      <c r="AE255" s="235"/>
      <c r="AF255" s="316"/>
      <c r="AJ255" s="317"/>
      <c r="AK255" s="11"/>
    </row>
    <row r="256" spans="2:37" ht="15" customHeight="1" x14ac:dyDescent="0.25">
      <c r="B256" s="298"/>
      <c r="C256" s="245"/>
      <c r="D256" s="310"/>
      <c r="E256" s="310"/>
      <c r="F256" s="310"/>
      <c r="G256" s="310"/>
      <c r="H256" s="228"/>
      <c r="I256" s="304"/>
      <c r="J256" s="261"/>
      <c r="K256" s="261"/>
      <c r="L256" s="305"/>
      <c r="M256" s="311"/>
      <c r="N256" s="311"/>
      <c r="O256" s="221"/>
      <c r="P256" s="265"/>
      <c r="Q256" s="313"/>
      <c r="R256" s="314"/>
      <c r="Y256" s="315"/>
      <c r="Z256" s="246"/>
      <c r="AA256" s="235"/>
      <c r="AB256" s="247"/>
      <c r="AC256" s="235"/>
      <c r="AE256" s="235"/>
      <c r="AF256" s="316"/>
      <c r="AJ256" s="317"/>
      <c r="AK256" s="11"/>
    </row>
    <row r="257" spans="2:37" ht="15" customHeight="1" x14ac:dyDescent="0.25">
      <c r="B257" s="298"/>
      <c r="C257" s="245"/>
      <c r="D257" s="310"/>
      <c r="E257" s="310"/>
      <c r="F257" s="310"/>
      <c r="G257" s="310"/>
      <c r="H257" s="228"/>
      <c r="I257" s="304"/>
      <c r="J257" s="261"/>
      <c r="K257" s="261"/>
      <c r="L257" s="305"/>
      <c r="M257" s="311"/>
      <c r="N257" s="311"/>
      <c r="O257" s="221"/>
      <c r="P257" s="265"/>
      <c r="Q257" s="313"/>
      <c r="R257" s="314"/>
      <c r="Y257" s="315"/>
      <c r="Z257" s="246"/>
      <c r="AA257" s="235"/>
      <c r="AB257" s="247"/>
      <c r="AC257" s="235"/>
      <c r="AE257" s="235"/>
      <c r="AF257" s="316"/>
      <c r="AJ257" s="317"/>
      <c r="AK257" s="11"/>
    </row>
    <row r="258" spans="2:37" ht="15" customHeight="1" x14ac:dyDescent="0.25">
      <c r="B258" s="298"/>
      <c r="C258" s="245"/>
      <c r="D258" s="310"/>
      <c r="E258" s="310"/>
      <c r="F258" s="310"/>
      <c r="G258" s="310"/>
      <c r="H258" s="228"/>
      <c r="I258" s="304"/>
      <c r="J258" s="261"/>
      <c r="K258" s="261"/>
      <c r="L258" s="305"/>
      <c r="M258" s="311"/>
      <c r="N258" s="311"/>
      <c r="O258" s="221"/>
      <c r="P258" s="265"/>
      <c r="Q258" s="313"/>
      <c r="R258" s="314"/>
      <c r="Y258" s="315"/>
      <c r="Z258" s="246"/>
      <c r="AA258" s="235"/>
      <c r="AB258" s="247"/>
      <c r="AC258" s="235"/>
      <c r="AE258" s="235"/>
      <c r="AF258" s="316"/>
      <c r="AJ258" s="317"/>
      <c r="AK258" s="11"/>
    </row>
    <row r="259" spans="2:37" ht="15" customHeight="1" x14ac:dyDescent="0.25">
      <c r="B259" s="298"/>
      <c r="C259" s="245"/>
      <c r="D259" s="310"/>
      <c r="E259" s="310"/>
      <c r="F259" s="310"/>
      <c r="G259" s="310"/>
      <c r="H259" s="228"/>
      <c r="I259" s="304"/>
      <c r="J259" s="261"/>
      <c r="K259" s="261"/>
      <c r="L259" s="305"/>
      <c r="M259" s="311"/>
      <c r="N259" s="311"/>
      <c r="O259" s="221"/>
      <c r="P259" s="265"/>
      <c r="Q259" s="313"/>
      <c r="R259" s="314"/>
      <c r="Y259" s="315"/>
      <c r="Z259" s="246"/>
      <c r="AA259" s="235"/>
      <c r="AB259" s="247"/>
      <c r="AC259" s="235"/>
      <c r="AE259" s="235"/>
      <c r="AF259" s="316"/>
      <c r="AJ259" s="317"/>
      <c r="AK259" s="11"/>
    </row>
    <row r="260" spans="2:37" ht="15" customHeight="1" x14ac:dyDescent="0.25">
      <c r="B260" s="298"/>
      <c r="C260" s="245"/>
      <c r="D260" s="310"/>
      <c r="E260" s="310"/>
      <c r="F260" s="310"/>
      <c r="G260" s="310"/>
      <c r="H260" s="228"/>
      <c r="I260" s="304"/>
      <c r="J260" s="261"/>
      <c r="K260" s="261"/>
      <c r="L260" s="305"/>
      <c r="M260" s="311"/>
      <c r="N260" s="311"/>
      <c r="O260" s="221"/>
      <c r="P260" s="265"/>
      <c r="Q260" s="313"/>
      <c r="R260" s="314"/>
      <c r="Y260" s="315"/>
      <c r="Z260" s="246"/>
      <c r="AA260" s="235"/>
      <c r="AB260" s="247"/>
      <c r="AC260" s="235"/>
      <c r="AE260" s="235"/>
      <c r="AF260" s="316"/>
      <c r="AJ260" s="317"/>
      <c r="AK260" s="11"/>
    </row>
    <row r="261" spans="2:37" ht="15" customHeight="1" x14ac:dyDescent="0.25">
      <c r="B261" s="298"/>
      <c r="C261" s="245"/>
      <c r="D261" s="310"/>
      <c r="E261" s="310"/>
      <c r="F261" s="310"/>
      <c r="G261" s="310"/>
      <c r="H261" s="228"/>
      <c r="I261" s="304"/>
      <c r="J261" s="261"/>
      <c r="K261" s="261"/>
      <c r="L261" s="305"/>
      <c r="M261" s="311"/>
      <c r="N261" s="311"/>
      <c r="O261" s="221"/>
      <c r="P261" s="265"/>
      <c r="Q261" s="313"/>
      <c r="R261" s="314"/>
      <c r="Y261" s="315"/>
      <c r="Z261" s="246"/>
      <c r="AA261" s="235"/>
      <c r="AB261" s="247"/>
      <c r="AC261" s="235"/>
      <c r="AE261" s="235"/>
      <c r="AF261" s="316"/>
      <c r="AJ261" s="317"/>
      <c r="AK261" s="11"/>
    </row>
    <row r="262" spans="2:37" ht="15" customHeight="1" x14ac:dyDescent="0.25">
      <c r="B262" s="298"/>
      <c r="C262" s="245"/>
      <c r="D262" s="310"/>
      <c r="E262" s="310"/>
      <c r="F262" s="310"/>
      <c r="G262" s="310"/>
      <c r="H262" s="228"/>
      <c r="I262" s="304"/>
      <c r="J262" s="261"/>
      <c r="K262" s="261"/>
      <c r="L262" s="305"/>
      <c r="M262" s="311"/>
      <c r="N262" s="311"/>
      <c r="O262" s="221"/>
      <c r="P262" s="265"/>
      <c r="Q262" s="313"/>
      <c r="R262" s="314"/>
      <c r="Y262" s="315"/>
      <c r="Z262" s="246"/>
      <c r="AA262" s="235"/>
      <c r="AB262" s="247"/>
      <c r="AC262" s="235"/>
      <c r="AE262" s="235"/>
      <c r="AF262" s="316"/>
      <c r="AJ262" s="317"/>
      <c r="AK262" s="11"/>
    </row>
    <row r="263" spans="2:37" ht="15" customHeight="1" x14ac:dyDescent="0.25">
      <c r="B263" s="298"/>
      <c r="C263" s="245"/>
      <c r="D263" s="310"/>
      <c r="E263" s="310"/>
      <c r="F263" s="310"/>
      <c r="G263" s="310"/>
      <c r="H263" s="228"/>
      <c r="I263" s="304"/>
      <c r="J263" s="261"/>
      <c r="K263" s="261"/>
      <c r="L263" s="305"/>
      <c r="M263" s="311"/>
      <c r="N263" s="311"/>
      <c r="O263" s="221"/>
      <c r="P263" s="265"/>
      <c r="Q263" s="313"/>
      <c r="R263" s="314"/>
      <c r="Y263" s="315"/>
      <c r="Z263" s="246"/>
      <c r="AA263" s="235"/>
      <c r="AB263" s="247"/>
      <c r="AC263" s="235"/>
      <c r="AE263" s="235"/>
      <c r="AF263" s="316"/>
      <c r="AJ263" s="317"/>
      <c r="AK263" s="11"/>
    </row>
    <row r="264" spans="2:37" ht="15" customHeight="1" x14ac:dyDescent="0.25">
      <c r="B264" s="298"/>
      <c r="C264" s="245"/>
      <c r="D264" s="310"/>
      <c r="E264" s="310"/>
      <c r="F264" s="310"/>
      <c r="G264" s="310"/>
      <c r="H264" s="228"/>
      <c r="I264" s="304"/>
      <c r="J264" s="261"/>
      <c r="K264" s="261"/>
      <c r="L264" s="305"/>
      <c r="M264" s="311"/>
      <c r="N264" s="311"/>
      <c r="O264" s="221"/>
      <c r="P264" s="265"/>
      <c r="Q264" s="313"/>
      <c r="R264" s="314"/>
      <c r="Y264" s="315"/>
      <c r="Z264" s="246"/>
      <c r="AA264" s="235"/>
      <c r="AB264" s="247"/>
      <c r="AC264" s="235"/>
      <c r="AE264" s="235"/>
      <c r="AF264" s="316"/>
      <c r="AJ264" s="317"/>
      <c r="AK264" s="11"/>
    </row>
    <row r="265" spans="2:37" ht="15" customHeight="1" x14ac:dyDescent="0.25">
      <c r="B265" s="298"/>
      <c r="C265" s="245"/>
      <c r="D265" s="310"/>
      <c r="E265" s="310"/>
      <c r="F265" s="310"/>
      <c r="G265" s="310"/>
      <c r="H265" s="228"/>
      <c r="I265" s="304"/>
      <c r="J265" s="261"/>
      <c r="K265" s="261"/>
      <c r="L265" s="305"/>
      <c r="M265" s="311"/>
      <c r="N265" s="311"/>
      <c r="O265" s="221"/>
      <c r="P265" s="265"/>
      <c r="Q265" s="313"/>
      <c r="R265" s="314"/>
      <c r="Y265" s="315"/>
      <c r="Z265" s="246"/>
      <c r="AA265" s="235"/>
      <c r="AB265" s="247"/>
      <c r="AC265" s="235"/>
      <c r="AE265" s="235"/>
      <c r="AF265" s="316"/>
      <c r="AJ265" s="317"/>
      <c r="AK265" s="11"/>
    </row>
    <row r="266" spans="2:37" ht="15" customHeight="1" x14ac:dyDescent="0.25">
      <c r="B266" s="298"/>
      <c r="C266" s="245"/>
      <c r="D266" s="310"/>
      <c r="E266" s="310"/>
      <c r="F266" s="310"/>
      <c r="G266" s="310"/>
      <c r="H266" s="228"/>
      <c r="I266" s="304"/>
      <c r="J266" s="261"/>
      <c r="K266" s="261"/>
      <c r="L266" s="305"/>
      <c r="M266" s="311"/>
      <c r="N266" s="311"/>
      <c r="O266" s="221"/>
      <c r="P266" s="265"/>
      <c r="Q266" s="313"/>
      <c r="R266" s="314"/>
      <c r="Y266" s="315"/>
      <c r="Z266" s="246"/>
      <c r="AA266" s="235"/>
      <c r="AB266" s="247"/>
      <c r="AC266" s="235"/>
      <c r="AE266" s="235"/>
      <c r="AF266" s="316"/>
      <c r="AJ266" s="317"/>
      <c r="AK266" s="11"/>
    </row>
    <row r="267" spans="2:37" ht="15" customHeight="1" x14ac:dyDescent="0.25">
      <c r="B267" s="298"/>
      <c r="C267" s="245"/>
      <c r="D267" s="310"/>
      <c r="E267" s="310"/>
      <c r="F267" s="310"/>
      <c r="G267" s="310"/>
      <c r="H267" s="228"/>
      <c r="I267" s="304"/>
      <c r="J267" s="261"/>
      <c r="K267" s="261"/>
      <c r="L267" s="305"/>
      <c r="M267" s="311"/>
      <c r="N267" s="311"/>
      <c r="O267" s="221"/>
      <c r="P267" s="265"/>
      <c r="Q267" s="313"/>
      <c r="R267" s="314"/>
      <c r="Y267" s="315"/>
      <c r="Z267" s="246"/>
      <c r="AA267" s="235"/>
      <c r="AB267" s="247"/>
      <c r="AC267" s="235"/>
      <c r="AE267" s="235"/>
      <c r="AF267" s="316"/>
      <c r="AJ267" s="317"/>
      <c r="AK267" s="11"/>
    </row>
    <row r="268" spans="2:37" ht="15" customHeight="1" x14ac:dyDescent="0.25">
      <c r="B268" s="309"/>
      <c r="C268" s="245"/>
      <c r="D268" s="310"/>
      <c r="E268" s="310"/>
      <c r="F268" s="310"/>
      <c r="G268" s="310"/>
      <c r="H268" s="228"/>
      <c r="I268" s="304"/>
      <c r="J268" s="261"/>
      <c r="K268" s="261"/>
      <c r="L268" s="305"/>
      <c r="M268" s="311"/>
      <c r="N268" s="311"/>
      <c r="O268" s="312"/>
      <c r="P268" s="265"/>
      <c r="Q268" s="313"/>
      <c r="R268" s="314"/>
      <c r="Y268" s="315"/>
      <c r="Z268" s="246"/>
      <c r="AA268" s="235"/>
      <c r="AB268" s="247"/>
      <c r="AC268" s="235"/>
      <c r="AE268" s="235"/>
      <c r="AF268" s="316"/>
      <c r="AJ268" s="317"/>
      <c r="AK268" s="11"/>
    </row>
    <row r="269" spans="2:37" ht="15" customHeight="1" x14ac:dyDescent="0.25">
      <c r="B269" s="298"/>
      <c r="C269" s="245"/>
      <c r="D269" s="310"/>
      <c r="E269" s="310"/>
      <c r="F269" s="310"/>
      <c r="G269" s="310"/>
      <c r="H269" s="228"/>
      <c r="I269" s="304"/>
      <c r="J269" s="261"/>
      <c r="K269" s="261"/>
      <c r="L269" s="305"/>
      <c r="M269" s="311"/>
      <c r="N269" s="311"/>
      <c r="O269" s="221"/>
      <c r="P269" s="265"/>
      <c r="Q269" s="313"/>
      <c r="R269" s="314"/>
      <c r="Y269" s="315"/>
      <c r="Z269" s="246"/>
      <c r="AA269" s="235"/>
      <c r="AB269" s="247"/>
      <c r="AC269" s="235"/>
      <c r="AE269" s="235"/>
      <c r="AF269" s="316"/>
      <c r="AJ269" s="317"/>
      <c r="AK269" s="11"/>
    </row>
    <row r="270" spans="2:37" ht="15" customHeight="1" x14ac:dyDescent="0.25">
      <c r="B270" s="298"/>
      <c r="C270" s="245"/>
      <c r="D270" s="310"/>
      <c r="E270" s="310"/>
      <c r="F270" s="310"/>
      <c r="G270" s="310"/>
      <c r="H270" s="228"/>
      <c r="I270" s="304"/>
      <c r="J270" s="261"/>
      <c r="K270" s="261"/>
      <c r="L270" s="305"/>
      <c r="M270" s="311"/>
      <c r="N270" s="311"/>
      <c r="O270" s="221"/>
      <c r="P270" s="265"/>
      <c r="Q270" s="313"/>
      <c r="R270" s="314"/>
      <c r="Y270" s="315"/>
      <c r="Z270" s="246"/>
      <c r="AA270" s="235"/>
      <c r="AB270" s="247"/>
      <c r="AC270" s="235"/>
      <c r="AE270" s="235"/>
      <c r="AF270" s="316"/>
      <c r="AJ270" s="317"/>
      <c r="AK270" s="11"/>
    </row>
    <row r="271" spans="2:37" ht="15" customHeight="1" x14ac:dyDescent="0.25">
      <c r="B271" s="298"/>
      <c r="C271" s="245"/>
      <c r="D271" s="310"/>
      <c r="E271" s="310"/>
      <c r="F271" s="310"/>
      <c r="G271" s="310"/>
      <c r="H271" s="228"/>
      <c r="I271" s="304"/>
      <c r="J271" s="261"/>
      <c r="K271" s="261"/>
      <c r="L271" s="305"/>
      <c r="M271" s="311"/>
      <c r="N271" s="311"/>
      <c r="O271" s="221"/>
      <c r="P271" s="318"/>
      <c r="Q271" s="313"/>
      <c r="R271" s="314"/>
      <c r="Y271" s="315"/>
      <c r="Z271" s="246"/>
      <c r="AA271" s="235"/>
      <c r="AB271" s="247"/>
      <c r="AC271" s="235"/>
      <c r="AE271" s="235"/>
      <c r="AF271" s="316"/>
      <c r="AJ271" s="317"/>
      <c r="AK271" s="11"/>
    </row>
    <row r="272" spans="2:37" ht="15" customHeight="1" x14ac:dyDescent="0.25">
      <c r="B272" s="298"/>
      <c r="C272" s="245"/>
      <c r="D272" s="310"/>
      <c r="E272" s="310"/>
      <c r="F272" s="310"/>
      <c r="G272" s="310"/>
      <c r="H272" s="228"/>
      <c r="I272" s="304"/>
      <c r="J272" s="261"/>
      <c r="K272" s="261"/>
      <c r="L272" s="305"/>
      <c r="M272" s="311"/>
      <c r="N272" s="311"/>
      <c r="O272" s="221"/>
      <c r="P272" s="265"/>
      <c r="Q272" s="313"/>
      <c r="R272" s="314"/>
      <c r="Y272" s="315"/>
      <c r="Z272" s="246"/>
      <c r="AA272" s="235"/>
      <c r="AB272" s="247"/>
      <c r="AC272" s="235"/>
      <c r="AE272" s="235"/>
      <c r="AF272" s="316"/>
      <c r="AJ272" s="317"/>
      <c r="AK272" s="11"/>
    </row>
    <row r="273" spans="2:37" ht="15" customHeight="1" x14ac:dyDescent="0.25">
      <c r="B273" s="298"/>
      <c r="C273" s="245"/>
      <c r="D273" s="310"/>
      <c r="E273" s="310"/>
      <c r="F273" s="310"/>
      <c r="G273" s="310"/>
      <c r="H273" s="228"/>
      <c r="I273" s="304"/>
      <c r="J273" s="261"/>
      <c r="K273" s="261"/>
      <c r="L273" s="305"/>
      <c r="M273" s="311"/>
      <c r="N273" s="311"/>
      <c r="O273" s="221"/>
      <c r="P273" s="318"/>
      <c r="Q273" s="313"/>
      <c r="R273" s="314"/>
      <c r="Y273" s="315"/>
      <c r="Z273" s="246"/>
      <c r="AA273" s="235"/>
      <c r="AB273" s="247"/>
      <c r="AC273" s="235"/>
      <c r="AE273" s="235"/>
      <c r="AF273" s="316"/>
      <c r="AJ273" s="317"/>
      <c r="AK273" s="11"/>
    </row>
    <row r="274" spans="2:37" ht="15" customHeight="1" x14ac:dyDescent="0.25">
      <c r="B274" s="298"/>
      <c r="C274" s="245"/>
      <c r="D274" s="310"/>
      <c r="E274" s="310"/>
      <c r="F274" s="310"/>
      <c r="G274" s="310"/>
      <c r="H274" s="228"/>
      <c r="I274" s="304"/>
      <c r="J274" s="261"/>
      <c r="K274" s="261"/>
      <c r="L274" s="305"/>
      <c r="M274" s="311"/>
      <c r="N274" s="311"/>
      <c r="O274" s="221"/>
      <c r="P274" s="265"/>
      <c r="Q274" s="313"/>
      <c r="R274" s="314"/>
      <c r="Y274" s="315"/>
      <c r="Z274" s="246"/>
      <c r="AA274" s="235"/>
      <c r="AB274" s="247"/>
      <c r="AC274" s="235"/>
      <c r="AE274" s="235"/>
      <c r="AF274" s="316"/>
      <c r="AJ274" s="317"/>
      <c r="AK274" s="11"/>
    </row>
    <row r="275" spans="2:37" ht="15" customHeight="1" x14ac:dyDescent="0.25">
      <c r="B275" s="298"/>
      <c r="C275" s="245"/>
      <c r="D275" s="310"/>
      <c r="E275" s="310"/>
      <c r="F275" s="310"/>
      <c r="G275" s="310"/>
      <c r="H275" s="228"/>
      <c r="I275" s="304"/>
      <c r="J275" s="261"/>
      <c r="K275" s="261"/>
      <c r="L275" s="305"/>
      <c r="M275" s="311"/>
      <c r="N275" s="311"/>
      <c r="O275" s="221"/>
      <c r="P275" s="265"/>
      <c r="Q275" s="313"/>
      <c r="R275" s="314"/>
      <c r="Y275" s="315"/>
      <c r="Z275" s="246"/>
      <c r="AA275" s="235"/>
      <c r="AB275" s="247"/>
      <c r="AC275" s="235"/>
      <c r="AE275" s="235"/>
      <c r="AF275" s="316"/>
      <c r="AJ275" s="317"/>
      <c r="AK275" s="11"/>
    </row>
    <row r="276" spans="2:37" s="1" customFormat="1" ht="15" customHeight="1" x14ac:dyDescent="0.25">
      <c r="B276" s="298"/>
      <c r="C276" s="245"/>
      <c r="D276" s="310"/>
      <c r="E276" s="310"/>
      <c r="F276" s="310"/>
      <c r="G276" s="310"/>
      <c r="H276" s="228"/>
      <c r="I276" s="304"/>
      <c r="J276" s="261"/>
      <c r="K276" s="261"/>
      <c r="L276" s="305"/>
      <c r="M276" s="311"/>
      <c r="N276" s="311"/>
      <c r="O276" s="221"/>
      <c r="P276" s="318"/>
      <c r="Q276" s="313"/>
      <c r="R276" s="314"/>
      <c r="S276"/>
      <c r="T276"/>
      <c r="U276"/>
      <c r="V276"/>
      <c r="W276"/>
      <c r="X276"/>
      <c r="Y276" s="315"/>
      <c r="Z276" s="246"/>
      <c r="AA276" s="235"/>
      <c r="AB276" s="247"/>
      <c r="AC276" s="235"/>
      <c r="AD276"/>
      <c r="AE276" s="235"/>
      <c r="AF276" s="316"/>
      <c r="AG276"/>
      <c r="AJ276" s="317"/>
      <c r="AK276" s="11"/>
    </row>
    <row r="277" spans="2:37" ht="15" customHeight="1" x14ac:dyDescent="0.25">
      <c r="B277" s="298"/>
      <c r="C277" s="245"/>
      <c r="D277" s="310"/>
      <c r="E277" s="310"/>
      <c r="F277" s="310"/>
      <c r="G277" s="310"/>
      <c r="H277" s="228"/>
      <c r="I277" s="304"/>
      <c r="J277" s="261"/>
      <c r="K277" s="261"/>
      <c r="L277" s="305"/>
      <c r="M277" s="311"/>
      <c r="N277" s="311"/>
      <c r="O277" s="221"/>
      <c r="P277" s="265"/>
      <c r="Q277" s="313"/>
      <c r="R277" s="314"/>
      <c r="T277" s="1"/>
      <c r="U277" s="1"/>
      <c r="V277" s="1"/>
      <c r="Y277" s="315"/>
      <c r="Z277" s="246"/>
      <c r="AA277" s="235"/>
      <c r="AB277" s="247"/>
      <c r="AC277" s="235"/>
      <c r="AD277" s="1"/>
      <c r="AE277" s="235"/>
      <c r="AF277" s="316"/>
      <c r="AJ277" s="317"/>
      <c r="AK277" s="11"/>
    </row>
    <row r="278" spans="2:37" ht="15" customHeight="1" x14ac:dyDescent="0.25">
      <c r="B278" s="298"/>
      <c r="C278" s="245"/>
      <c r="D278" s="310"/>
      <c r="E278" s="310"/>
      <c r="F278" s="310"/>
      <c r="G278" s="310"/>
      <c r="H278" s="228"/>
      <c r="I278" s="304"/>
      <c r="J278" s="261"/>
      <c r="K278" s="261"/>
      <c r="L278" s="305"/>
      <c r="M278" s="311"/>
      <c r="N278" s="311"/>
      <c r="O278" s="221"/>
      <c r="P278" s="265"/>
      <c r="Q278" s="313"/>
      <c r="R278" s="314"/>
      <c r="Y278" s="315"/>
      <c r="Z278" s="246"/>
      <c r="AA278" s="235"/>
      <c r="AB278" s="247"/>
      <c r="AC278" s="235"/>
      <c r="AE278" s="235"/>
      <c r="AF278" s="316"/>
      <c r="AJ278" s="317"/>
      <c r="AK278" s="11"/>
    </row>
    <row r="279" spans="2:37" ht="15" customHeight="1" x14ac:dyDescent="0.25">
      <c r="B279" s="298"/>
      <c r="C279" s="245"/>
      <c r="D279" s="310"/>
      <c r="E279" s="310"/>
      <c r="F279" s="310"/>
      <c r="G279" s="310"/>
      <c r="H279" s="228"/>
      <c r="I279" s="304"/>
      <c r="J279" s="261"/>
      <c r="K279" s="261"/>
      <c r="L279" s="305"/>
      <c r="M279" s="311"/>
      <c r="N279" s="311"/>
      <c r="O279" s="221"/>
      <c r="P279" s="265"/>
      <c r="Q279" s="313"/>
      <c r="R279" s="314"/>
      <c r="Y279" s="315"/>
      <c r="Z279" s="246"/>
      <c r="AA279" s="235"/>
      <c r="AB279" s="247"/>
      <c r="AC279" s="235"/>
      <c r="AE279" s="235"/>
      <c r="AF279" s="316"/>
      <c r="AJ279" s="317"/>
      <c r="AK279" s="11"/>
    </row>
    <row r="280" spans="2:37" ht="15" customHeight="1" x14ac:dyDescent="0.25">
      <c r="B280" s="298"/>
      <c r="C280" s="245"/>
      <c r="D280" s="310"/>
      <c r="E280" s="310"/>
      <c r="F280" s="310"/>
      <c r="G280" s="310"/>
      <c r="H280" s="228"/>
      <c r="I280" s="304"/>
      <c r="J280" s="261"/>
      <c r="K280" s="261"/>
      <c r="L280" s="305"/>
      <c r="M280" s="311"/>
      <c r="N280" s="311"/>
      <c r="O280" s="221"/>
      <c r="P280" s="318"/>
      <c r="Q280" s="313"/>
      <c r="R280" s="314"/>
      <c r="Y280" s="315"/>
      <c r="Z280" s="246"/>
      <c r="AA280" s="235"/>
      <c r="AB280" s="247"/>
      <c r="AC280" s="235"/>
      <c r="AE280" s="235"/>
      <c r="AF280" s="316"/>
      <c r="AJ280" s="317"/>
      <c r="AK280" s="11"/>
    </row>
    <row r="281" spans="2:37" ht="15" customHeight="1" x14ac:dyDescent="0.25">
      <c r="B281" s="298"/>
      <c r="C281" s="245"/>
      <c r="D281" s="310"/>
      <c r="E281" s="310"/>
      <c r="F281" s="310"/>
      <c r="G281" s="310"/>
      <c r="H281" s="228"/>
      <c r="I281" s="304"/>
      <c r="J281" s="261"/>
      <c r="K281" s="261"/>
      <c r="L281" s="305"/>
      <c r="M281" s="311"/>
      <c r="N281" s="311"/>
      <c r="O281" s="221"/>
      <c r="P281" s="318"/>
      <c r="Q281" s="313"/>
      <c r="R281" s="314"/>
      <c r="Y281" s="315"/>
      <c r="Z281" s="246"/>
      <c r="AA281" s="235"/>
      <c r="AB281" s="247"/>
      <c r="AC281" s="235"/>
      <c r="AE281" s="235"/>
      <c r="AF281" s="316"/>
      <c r="AJ281" s="317"/>
      <c r="AK281" s="11"/>
    </row>
    <row r="282" spans="2:37" ht="15" customHeight="1" x14ac:dyDescent="0.25">
      <c r="B282" s="298"/>
      <c r="C282" s="245"/>
      <c r="D282" s="310"/>
      <c r="E282" s="310"/>
      <c r="F282" s="310"/>
      <c r="G282" s="310"/>
      <c r="H282" s="228"/>
      <c r="I282" s="304"/>
      <c r="J282" s="261"/>
      <c r="K282" s="261"/>
      <c r="L282" s="305"/>
      <c r="M282" s="311"/>
      <c r="N282" s="311"/>
      <c r="O282" s="221"/>
      <c r="P282" s="265"/>
      <c r="Q282" s="313"/>
      <c r="R282" s="314"/>
      <c r="Y282" s="315"/>
      <c r="Z282" s="246"/>
      <c r="AA282" s="235"/>
      <c r="AB282" s="247"/>
      <c r="AC282" s="235"/>
      <c r="AE282" s="235"/>
      <c r="AF282" s="316"/>
      <c r="AJ282" s="317"/>
      <c r="AK282" s="11"/>
    </row>
    <row r="283" spans="2:37" ht="15" customHeight="1" x14ac:dyDescent="0.25">
      <c r="B283" s="298"/>
      <c r="C283" s="245"/>
      <c r="D283" s="310"/>
      <c r="E283" s="310"/>
      <c r="F283" s="310"/>
      <c r="G283" s="310"/>
      <c r="H283" s="228"/>
      <c r="I283" s="304"/>
      <c r="J283" s="261"/>
      <c r="K283" s="261"/>
      <c r="L283" s="305"/>
      <c r="M283" s="311"/>
      <c r="N283" s="311"/>
      <c r="O283" s="221"/>
      <c r="P283" s="265"/>
      <c r="Q283" s="313"/>
      <c r="R283" s="314"/>
      <c r="Y283" s="315"/>
      <c r="Z283" s="246"/>
      <c r="AA283" s="235"/>
      <c r="AB283" s="247"/>
      <c r="AC283" s="235"/>
      <c r="AE283" s="235"/>
      <c r="AF283" s="316"/>
      <c r="AJ283" s="317"/>
      <c r="AK283" s="11"/>
    </row>
    <row r="284" spans="2:37" ht="15" customHeight="1" x14ac:dyDescent="0.25">
      <c r="B284" s="298"/>
      <c r="C284" s="245"/>
      <c r="D284" s="310"/>
      <c r="E284" s="310"/>
      <c r="F284" s="310"/>
      <c r="G284" s="310"/>
      <c r="H284" s="228"/>
      <c r="I284" s="304"/>
      <c r="J284" s="261"/>
      <c r="K284" s="261"/>
      <c r="L284" s="305"/>
      <c r="M284" s="311"/>
      <c r="N284" s="311"/>
      <c r="O284" s="221"/>
      <c r="P284" s="318"/>
      <c r="Q284" s="313"/>
      <c r="R284" s="314"/>
      <c r="Y284" s="315"/>
      <c r="Z284" s="246"/>
      <c r="AA284" s="235"/>
      <c r="AB284" s="247"/>
      <c r="AC284" s="235"/>
      <c r="AE284" s="235"/>
      <c r="AF284" s="316"/>
      <c r="AJ284" s="317"/>
      <c r="AK284" s="11"/>
    </row>
    <row r="285" spans="2:37" ht="15" customHeight="1" x14ac:dyDescent="0.25">
      <c r="B285" s="298"/>
      <c r="C285" s="245"/>
      <c r="D285" s="310"/>
      <c r="E285" s="310"/>
      <c r="F285" s="310"/>
      <c r="G285" s="310"/>
      <c r="H285" s="228"/>
      <c r="I285" s="304"/>
      <c r="J285" s="261"/>
      <c r="K285" s="261"/>
      <c r="L285" s="305"/>
      <c r="M285" s="311"/>
      <c r="N285" s="311"/>
      <c r="O285" s="221"/>
      <c r="P285" s="265"/>
      <c r="Q285" s="313"/>
      <c r="R285" s="314"/>
      <c r="Y285" s="315"/>
      <c r="Z285" s="246"/>
      <c r="AA285" s="235"/>
      <c r="AB285" s="247"/>
      <c r="AC285" s="235"/>
      <c r="AE285" s="235"/>
      <c r="AF285" s="316"/>
      <c r="AJ285" s="317"/>
      <c r="AK285" s="11"/>
    </row>
    <row r="286" spans="2:37" ht="15" customHeight="1" x14ac:dyDescent="0.25">
      <c r="B286" s="298"/>
      <c r="C286" s="245"/>
      <c r="D286" s="310"/>
      <c r="E286" s="310"/>
      <c r="F286" s="310"/>
      <c r="G286" s="310"/>
      <c r="H286" s="228"/>
      <c r="I286" s="304"/>
      <c r="J286" s="261"/>
      <c r="K286" s="261"/>
      <c r="L286" s="305"/>
      <c r="M286" s="311"/>
      <c r="N286" s="311"/>
      <c r="O286" s="221"/>
      <c r="P286" s="318"/>
      <c r="Q286" s="313"/>
      <c r="R286" s="314"/>
      <c r="Y286" s="315"/>
      <c r="Z286" s="246"/>
      <c r="AA286" s="235"/>
      <c r="AB286" s="247"/>
      <c r="AC286" s="235"/>
      <c r="AE286" s="235"/>
      <c r="AF286" s="316"/>
      <c r="AJ286" s="317"/>
      <c r="AK286" s="11"/>
    </row>
    <row r="287" spans="2:37" ht="15" customHeight="1" x14ac:dyDescent="0.25">
      <c r="B287" s="298"/>
      <c r="C287" s="245"/>
      <c r="D287" s="310"/>
      <c r="E287" s="310"/>
      <c r="F287" s="310"/>
      <c r="G287" s="310"/>
      <c r="H287" s="228"/>
      <c r="I287" s="304"/>
      <c r="J287" s="261"/>
      <c r="K287" s="261"/>
      <c r="L287" s="305"/>
      <c r="M287" s="311"/>
      <c r="N287" s="311"/>
      <c r="O287" s="221"/>
      <c r="P287" s="265"/>
      <c r="Q287" s="313"/>
      <c r="R287" s="314"/>
      <c r="Y287" s="315"/>
      <c r="Z287" s="246"/>
      <c r="AA287" s="235"/>
      <c r="AB287" s="247"/>
      <c r="AC287" s="235"/>
      <c r="AE287" s="235"/>
      <c r="AF287" s="316"/>
      <c r="AJ287" s="317"/>
      <c r="AK287" s="11"/>
    </row>
    <row r="288" spans="2:37" ht="15" customHeight="1" x14ac:dyDescent="0.25">
      <c r="B288" s="298"/>
      <c r="C288" s="245"/>
      <c r="D288" s="310"/>
      <c r="E288" s="310"/>
      <c r="F288" s="310"/>
      <c r="G288" s="310"/>
      <c r="H288" s="228"/>
      <c r="I288" s="304"/>
      <c r="J288" s="261"/>
      <c r="K288" s="261"/>
      <c r="L288" s="305"/>
      <c r="M288" s="311"/>
      <c r="N288" s="311"/>
      <c r="O288" s="221"/>
      <c r="P288" s="265"/>
      <c r="Q288" s="313"/>
      <c r="R288" s="314"/>
      <c r="Y288" s="315"/>
      <c r="Z288" s="246"/>
      <c r="AA288" s="235"/>
      <c r="AB288" s="247"/>
      <c r="AC288" s="235"/>
      <c r="AE288" s="235"/>
      <c r="AF288" s="316"/>
      <c r="AJ288" s="317"/>
      <c r="AK288" s="11"/>
    </row>
    <row r="289" spans="2:37" ht="15" customHeight="1" x14ac:dyDescent="0.25">
      <c r="B289" s="298"/>
      <c r="C289" s="245"/>
      <c r="D289" s="310"/>
      <c r="E289" s="310"/>
      <c r="F289" s="310"/>
      <c r="G289" s="310"/>
      <c r="H289" s="228"/>
      <c r="I289" s="304"/>
      <c r="J289" s="261"/>
      <c r="K289" s="261"/>
      <c r="L289" s="305"/>
      <c r="M289" s="311"/>
      <c r="N289" s="311"/>
      <c r="O289" s="221"/>
      <c r="P289" s="265"/>
      <c r="Q289" s="313"/>
      <c r="R289" s="314"/>
      <c r="Y289" s="315"/>
      <c r="Z289" s="246"/>
      <c r="AA289" s="235"/>
      <c r="AB289" s="247"/>
      <c r="AC289" s="235"/>
      <c r="AE289" s="235"/>
      <c r="AF289" s="316"/>
      <c r="AJ289" s="317"/>
      <c r="AK289" s="11"/>
    </row>
    <row r="290" spans="2:37" s="1" customFormat="1" ht="15" customHeight="1" x14ac:dyDescent="0.25">
      <c r="B290" s="298"/>
      <c r="C290" s="245"/>
      <c r="D290" s="310"/>
      <c r="E290" s="310"/>
      <c r="F290" s="310"/>
      <c r="G290" s="310"/>
      <c r="H290" s="228"/>
      <c r="I290" s="304"/>
      <c r="J290" s="261"/>
      <c r="K290" s="261"/>
      <c r="L290" s="305"/>
      <c r="M290" s="311"/>
      <c r="N290" s="311"/>
      <c r="O290" s="221"/>
      <c r="P290" s="265"/>
      <c r="Q290" s="313"/>
      <c r="R290" s="314"/>
      <c r="S290"/>
      <c r="T290"/>
      <c r="U290"/>
      <c r="V290"/>
      <c r="W290"/>
      <c r="X290"/>
      <c r="Y290" s="315"/>
      <c r="Z290" s="246"/>
      <c r="AA290" s="235"/>
      <c r="AB290" s="247"/>
      <c r="AC290" s="235"/>
      <c r="AD290"/>
      <c r="AE290" s="235"/>
      <c r="AF290" s="316"/>
      <c r="AG290"/>
      <c r="AH290"/>
      <c r="AJ290" s="317"/>
      <c r="AK290" s="11"/>
    </row>
    <row r="291" spans="2:37" ht="15" customHeight="1" x14ac:dyDescent="0.25">
      <c r="B291" s="298"/>
      <c r="C291" s="245"/>
      <c r="D291" s="310"/>
      <c r="E291" s="310"/>
      <c r="F291" s="310"/>
      <c r="G291" s="310"/>
      <c r="H291" s="228"/>
      <c r="I291" s="304"/>
      <c r="J291" s="261"/>
      <c r="K291" s="261"/>
      <c r="L291" s="305"/>
      <c r="M291" s="311"/>
      <c r="N291" s="311"/>
      <c r="O291" s="221"/>
      <c r="P291" s="318"/>
      <c r="Q291" s="313"/>
      <c r="R291" s="314"/>
      <c r="Y291" s="315"/>
      <c r="Z291" s="246"/>
      <c r="AA291" s="235"/>
      <c r="AB291" s="247"/>
      <c r="AC291" s="235"/>
      <c r="AE291" s="235"/>
      <c r="AF291" s="316"/>
      <c r="AH291" s="1"/>
      <c r="AJ291" s="317"/>
      <c r="AK291" s="11"/>
    </row>
    <row r="292" spans="2:37" ht="15" customHeight="1" x14ac:dyDescent="0.25">
      <c r="B292" s="298"/>
      <c r="C292" s="245"/>
      <c r="D292" s="310"/>
      <c r="E292" s="310"/>
      <c r="F292" s="310"/>
      <c r="G292" s="310"/>
      <c r="H292" s="228"/>
      <c r="I292" s="304"/>
      <c r="J292" s="261"/>
      <c r="K292" s="261"/>
      <c r="L292" s="305"/>
      <c r="M292" s="311"/>
      <c r="N292" s="311"/>
      <c r="O292" s="221"/>
      <c r="P292" s="318"/>
      <c r="Q292" s="313"/>
      <c r="R292" s="314"/>
      <c r="T292" s="1"/>
      <c r="U292" s="1"/>
      <c r="V292" s="1"/>
      <c r="Y292" s="315"/>
      <c r="Z292" s="246"/>
      <c r="AA292" s="235"/>
      <c r="AB292" s="247"/>
      <c r="AC292" s="235"/>
      <c r="AD292" s="1"/>
      <c r="AE292" s="235"/>
      <c r="AF292" s="316"/>
      <c r="AJ292" s="317"/>
      <c r="AK292" s="11"/>
    </row>
    <row r="293" spans="2:37" ht="15" customHeight="1" x14ac:dyDescent="0.25">
      <c r="B293" s="298"/>
      <c r="C293" s="245"/>
      <c r="D293" s="310"/>
      <c r="E293" s="310"/>
      <c r="F293" s="310"/>
      <c r="G293" s="310"/>
      <c r="H293" s="228"/>
      <c r="I293" s="304"/>
      <c r="J293" s="261"/>
      <c r="K293" s="261"/>
      <c r="L293" s="305"/>
      <c r="M293" s="311"/>
      <c r="N293" s="311"/>
      <c r="O293" s="221"/>
      <c r="P293" s="318"/>
      <c r="Q293" s="313"/>
      <c r="R293" s="314"/>
      <c r="Y293" s="315"/>
      <c r="Z293" s="246"/>
      <c r="AA293" s="235"/>
      <c r="AB293" s="247"/>
      <c r="AC293" s="235"/>
      <c r="AE293" s="235"/>
      <c r="AF293" s="316"/>
      <c r="AJ293" s="317"/>
      <c r="AK293" s="11"/>
    </row>
    <row r="294" spans="2:37" ht="15" customHeight="1" x14ac:dyDescent="0.25">
      <c r="B294" s="298"/>
      <c r="C294" s="245"/>
      <c r="D294" s="310"/>
      <c r="E294" s="310"/>
      <c r="F294" s="310"/>
      <c r="G294" s="310"/>
      <c r="H294" s="228"/>
      <c r="I294" s="304"/>
      <c r="J294" s="261"/>
      <c r="K294" s="261"/>
      <c r="L294" s="305"/>
      <c r="M294" s="311"/>
      <c r="N294" s="311"/>
      <c r="O294" s="221"/>
      <c r="P294" s="265"/>
      <c r="Q294" s="313"/>
      <c r="R294" s="314"/>
      <c r="Y294" s="315"/>
      <c r="Z294" s="246"/>
      <c r="AA294" s="235"/>
      <c r="AB294" s="247"/>
      <c r="AC294" s="235"/>
      <c r="AE294" s="235"/>
      <c r="AF294" s="316"/>
      <c r="AJ294" s="317"/>
      <c r="AK294" s="11"/>
    </row>
    <row r="295" spans="2:37" ht="15" customHeight="1" x14ac:dyDescent="0.25">
      <c r="B295" s="298"/>
      <c r="C295" s="245"/>
      <c r="D295" s="310"/>
      <c r="E295" s="310"/>
      <c r="F295" s="310"/>
      <c r="G295" s="310"/>
      <c r="H295" s="228"/>
      <c r="I295" s="304"/>
      <c r="J295" s="261"/>
      <c r="K295" s="261"/>
      <c r="L295" s="305"/>
      <c r="M295" s="311"/>
      <c r="N295" s="311"/>
      <c r="O295" s="221"/>
      <c r="P295" s="265"/>
      <c r="Q295" s="313"/>
      <c r="R295" s="314"/>
      <c r="Y295" s="315"/>
      <c r="Z295" s="246"/>
      <c r="AA295" s="235"/>
      <c r="AB295" s="247"/>
      <c r="AC295" s="235"/>
      <c r="AE295" s="235"/>
      <c r="AF295" s="316"/>
      <c r="AJ295" s="317"/>
      <c r="AK295" s="11"/>
    </row>
    <row r="296" spans="2:37" ht="15" customHeight="1" x14ac:dyDescent="0.25">
      <c r="B296" s="298"/>
      <c r="C296" s="245"/>
      <c r="D296" s="310"/>
      <c r="E296" s="310"/>
      <c r="F296" s="310"/>
      <c r="G296" s="310"/>
      <c r="H296" s="228"/>
      <c r="I296" s="304"/>
      <c r="J296" s="261"/>
      <c r="K296" s="261"/>
      <c r="L296" s="305"/>
      <c r="M296" s="311"/>
      <c r="N296" s="311"/>
      <c r="O296" s="221"/>
      <c r="P296" s="265"/>
      <c r="Q296" s="313"/>
      <c r="R296" s="314"/>
      <c r="Y296" s="315"/>
      <c r="Z296" s="246"/>
      <c r="AA296" s="235"/>
      <c r="AB296" s="247"/>
      <c r="AC296" s="235"/>
      <c r="AE296" s="235"/>
      <c r="AF296" s="316"/>
      <c r="AJ296" s="317"/>
      <c r="AK296" s="11"/>
    </row>
    <row r="297" spans="2:37" ht="15" customHeight="1" x14ac:dyDescent="0.25">
      <c r="B297" s="298"/>
      <c r="C297" s="245"/>
      <c r="D297" s="310"/>
      <c r="E297" s="310"/>
      <c r="F297" s="310"/>
      <c r="G297" s="310"/>
      <c r="H297" s="228"/>
      <c r="I297" s="304"/>
      <c r="J297" s="261"/>
      <c r="K297" s="261"/>
      <c r="L297" s="305"/>
      <c r="M297" s="311"/>
      <c r="N297" s="311"/>
      <c r="O297" s="221"/>
      <c r="P297" s="265"/>
      <c r="Q297" s="313"/>
      <c r="R297" s="314"/>
      <c r="Y297" s="315"/>
      <c r="Z297" s="246"/>
      <c r="AA297" s="235"/>
      <c r="AB297" s="247"/>
      <c r="AC297" s="235"/>
      <c r="AE297" s="235"/>
      <c r="AF297" s="316"/>
      <c r="AJ297" s="317"/>
      <c r="AK297" s="11"/>
    </row>
    <row r="298" spans="2:37" ht="15" customHeight="1" x14ac:dyDescent="0.25">
      <c r="B298" s="298"/>
      <c r="C298" s="245"/>
      <c r="D298" s="310"/>
      <c r="E298" s="310"/>
      <c r="F298" s="310"/>
      <c r="G298" s="310"/>
      <c r="H298" s="228"/>
      <c r="I298" s="304"/>
      <c r="J298" s="261"/>
      <c r="K298" s="261"/>
      <c r="L298" s="305"/>
      <c r="M298" s="311"/>
      <c r="N298" s="311"/>
      <c r="O298" s="221"/>
      <c r="P298" s="265"/>
      <c r="Q298" s="313"/>
      <c r="R298" s="314"/>
      <c r="Y298" s="315"/>
      <c r="Z298" s="246"/>
      <c r="AA298" s="235"/>
      <c r="AB298" s="247"/>
      <c r="AC298" s="235"/>
      <c r="AE298" s="235"/>
      <c r="AF298" s="316"/>
      <c r="AJ298" s="317"/>
      <c r="AK298" s="11"/>
    </row>
    <row r="299" spans="2:37" ht="15" customHeight="1" x14ac:dyDescent="0.25">
      <c r="B299" s="298"/>
      <c r="C299" s="245"/>
      <c r="D299" s="310"/>
      <c r="E299" s="310"/>
      <c r="F299" s="310"/>
      <c r="G299" s="310"/>
      <c r="H299" s="228"/>
      <c r="I299" s="304"/>
      <c r="J299" s="261"/>
      <c r="K299" s="261"/>
      <c r="L299" s="305"/>
      <c r="M299" s="311"/>
      <c r="N299" s="311"/>
      <c r="O299" s="221"/>
      <c r="P299" s="318"/>
      <c r="Q299" s="313"/>
      <c r="R299" s="314"/>
      <c r="Y299" s="315"/>
      <c r="Z299" s="246"/>
      <c r="AA299" s="235"/>
      <c r="AB299" s="247"/>
      <c r="AC299" s="235"/>
      <c r="AE299" s="235"/>
      <c r="AF299" s="316"/>
      <c r="AJ299" s="317"/>
      <c r="AK299" s="11"/>
    </row>
    <row r="300" spans="2:37" ht="15" customHeight="1" x14ac:dyDescent="0.25">
      <c r="B300" s="298"/>
      <c r="C300" s="245"/>
      <c r="D300" s="310"/>
      <c r="E300" s="310"/>
      <c r="F300" s="310"/>
      <c r="G300" s="310"/>
      <c r="H300" s="228"/>
      <c r="I300" s="304"/>
      <c r="J300" s="261"/>
      <c r="K300" s="261"/>
      <c r="L300" s="305"/>
      <c r="M300" s="311"/>
      <c r="N300" s="311"/>
      <c r="O300" s="221"/>
      <c r="P300" s="265"/>
      <c r="Q300" s="313"/>
      <c r="R300" s="314"/>
      <c r="Y300" s="315"/>
      <c r="Z300" s="246"/>
      <c r="AA300" s="235"/>
      <c r="AB300" s="247"/>
      <c r="AC300" s="235"/>
      <c r="AE300" s="235"/>
      <c r="AF300" s="316"/>
      <c r="AJ300" s="317"/>
      <c r="AK300" s="11"/>
    </row>
    <row r="301" spans="2:37" ht="15" customHeight="1" x14ac:dyDescent="0.25">
      <c r="B301" s="298"/>
      <c r="C301" s="245"/>
      <c r="D301" s="310"/>
      <c r="E301" s="310"/>
      <c r="F301" s="310"/>
      <c r="G301" s="310"/>
      <c r="H301" s="228"/>
      <c r="I301" s="304"/>
      <c r="J301" s="261"/>
      <c r="K301" s="261"/>
      <c r="L301" s="305"/>
      <c r="M301" s="311"/>
      <c r="N301" s="311"/>
      <c r="O301" s="221"/>
      <c r="P301" s="318"/>
      <c r="Q301" s="313"/>
      <c r="R301" s="314"/>
      <c r="Y301" s="315"/>
      <c r="Z301" s="246"/>
      <c r="AA301" s="235"/>
      <c r="AB301" s="247"/>
      <c r="AC301" s="235"/>
      <c r="AE301" s="235"/>
      <c r="AF301" s="316"/>
      <c r="AJ301" s="317"/>
      <c r="AK301" s="11"/>
    </row>
    <row r="302" spans="2:37" ht="15" customHeight="1" x14ac:dyDescent="0.25">
      <c r="B302" s="298"/>
      <c r="C302" s="245"/>
      <c r="D302" s="310"/>
      <c r="E302" s="310"/>
      <c r="F302" s="310"/>
      <c r="G302" s="310"/>
      <c r="H302" s="228"/>
      <c r="I302" s="304"/>
      <c r="J302" s="261"/>
      <c r="K302" s="261"/>
      <c r="L302" s="305"/>
      <c r="M302" s="311"/>
      <c r="N302" s="311"/>
      <c r="O302" s="221"/>
      <c r="P302" s="265"/>
      <c r="Q302" s="313"/>
      <c r="R302" s="314"/>
      <c r="Y302" s="315"/>
      <c r="Z302" s="246"/>
      <c r="AA302" s="235"/>
      <c r="AB302" s="247"/>
      <c r="AC302" s="235"/>
      <c r="AE302" s="235"/>
      <c r="AF302" s="316"/>
      <c r="AJ302" s="317"/>
      <c r="AK302" s="11"/>
    </row>
    <row r="303" spans="2:37" ht="15" customHeight="1" x14ac:dyDescent="0.25">
      <c r="B303" s="298"/>
      <c r="C303" s="245"/>
      <c r="D303" s="310"/>
      <c r="E303" s="310"/>
      <c r="F303" s="310"/>
      <c r="G303" s="310"/>
      <c r="H303" s="228"/>
      <c r="I303" s="304"/>
      <c r="J303" s="261"/>
      <c r="K303" s="261"/>
      <c r="L303" s="305"/>
      <c r="M303" s="311"/>
      <c r="N303" s="311"/>
      <c r="O303" s="221"/>
      <c r="P303" s="265"/>
      <c r="Q303" s="313"/>
      <c r="R303" s="314"/>
      <c r="Y303" s="315"/>
      <c r="Z303" s="246"/>
      <c r="AA303" s="235"/>
      <c r="AB303" s="247"/>
      <c r="AC303" s="235"/>
      <c r="AE303" s="235"/>
      <c r="AF303" s="316"/>
      <c r="AJ303" s="317"/>
      <c r="AK303" s="11"/>
    </row>
    <row r="304" spans="2:37" ht="15" customHeight="1" x14ac:dyDescent="0.25">
      <c r="B304" s="298"/>
      <c r="C304" s="245"/>
      <c r="D304" s="310"/>
      <c r="E304" s="310"/>
      <c r="F304" s="310"/>
      <c r="G304" s="310"/>
      <c r="H304" s="228"/>
      <c r="I304" s="304"/>
      <c r="J304" s="261"/>
      <c r="K304" s="261"/>
      <c r="L304" s="305"/>
      <c r="M304" s="311"/>
      <c r="N304" s="311"/>
      <c r="O304" s="221"/>
      <c r="P304" s="265"/>
      <c r="Q304" s="313"/>
      <c r="R304" s="314"/>
      <c r="Y304" s="315"/>
      <c r="Z304" s="246"/>
      <c r="AA304" s="235"/>
      <c r="AB304" s="247"/>
      <c r="AC304" s="235"/>
      <c r="AE304" s="235"/>
      <c r="AF304" s="316"/>
      <c r="AJ304" s="317"/>
      <c r="AK304" s="11"/>
    </row>
    <row r="305" spans="2:37" ht="15" customHeight="1" x14ac:dyDescent="0.25">
      <c r="B305" s="298"/>
      <c r="C305" s="245"/>
      <c r="D305" s="310"/>
      <c r="E305" s="310"/>
      <c r="F305" s="310"/>
      <c r="G305" s="310"/>
      <c r="H305" s="228"/>
      <c r="I305" s="304"/>
      <c r="J305" s="261"/>
      <c r="K305" s="261"/>
      <c r="L305" s="305"/>
      <c r="M305" s="311"/>
      <c r="N305" s="311"/>
      <c r="O305" s="221"/>
      <c r="P305" s="318"/>
      <c r="Q305" s="313"/>
      <c r="R305" s="314"/>
      <c r="Y305" s="315"/>
      <c r="Z305" s="246"/>
      <c r="AA305" s="235"/>
      <c r="AB305" s="247"/>
      <c r="AC305" s="235"/>
      <c r="AE305" s="235"/>
      <c r="AF305" s="316"/>
      <c r="AJ305" s="317"/>
      <c r="AK305" s="11"/>
    </row>
    <row r="306" spans="2:37" ht="15" customHeight="1" x14ac:dyDescent="0.25">
      <c r="B306" s="298"/>
      <c r="C306" s="245"/>
      <c r="D306" s="310"/>
      <c r="E306" s="310"/>
      <c r="F306" s="310"/>
      <c r="G306" s="310"/>
      <c r="H306" s="228"/>
      <c r="I306" s="304"/>
      <c r="J306" s="261"/>
      <c r="K306" s="261"/>
      <c r="L306" s="305"/>
      <c r="M306" s="311"/>
      <c r="N306" s="311"/>
      <c r="O306" s="221"/>
      <c r="P306" s="318"/>
      <c r="Q306" s="313"/>
      <c r="R306" s="314"/>
      <c r="Y306" s="315"/>
      <c r="Z306" s="246"/>
      <c r="AA306" s="235"/>
      <c r="AB306" s="247"/>
      <c r="AC306" s="235"/>
      <c r="AE306" s="235"/>
      <c r="AF306" s="316"/>
      <c r="AJ306" s="317"/>
      <c r="AK306" s="11"/>
    </row>
    <row r="307" spans="2:37" ht="15" customHeight="1" x14ac:dyDescent="0.25">
      <c r="B307" s="298"/>
      <c r="C307" s="245"/>
      <c r="D307" s="310"/>
      <c r="E307" s="310"/>
      <c r="F307" s="310"/>
      <c r="G307" s="310"/>
      <c r="H307" s="228"/>
      <c r="I307" s="304"/>
      <c r="J307" s="261"/>
      <c r="K307" s="261"/>
      <c r="L307" s="305"/>
      <c r="M307" s="311"/>
      <c r="N307" s="311"/>
      <c r="O307" s="221"/>
      <c r="P307" s="318"/>
      <c r="Q307" s="313"/>
      <c r="R307" s="314"/>
      <c r="Y307" s="315"/>
      <c r="Z307" s="246"/>
      <c r="AA307" s="235"/>
      <c r="AB307" s="247"/>
      <c r="AC307" s="235"/>
      <c r="AE307" s="235"/>
      <c r="AF307" s="316"/>
      <c r="AJ307" s="317"/>
      <c r="AK307" s="11"/>
    </row>
    <row r="308" spans="2:37" ht="15" customHeight="1" x14ac:dyDescent="0.25">
      <c r="B308" s="298"/>
      <c r="C308" s="245"/>
      <c r="D308" s="310"/>
      <c r="E308" s="310"/>
      <c r="F308" s="310"/>
      <c r="G308" s="310"/>
      <c r="H308" s="228"/>
      <c r="I308" s="304"/>
      <c r="J308" s="261"/>
      <c r="K308" s="261"/>
      <c r="L308" s="305"/>
      <c r="M308" s="311"/>
      <c r="N308" s="311"/>
      <c r="O308" s="221"/>
      <c r="P308" s="265"/>
      <c r="Q308" s="313"/>
      <c r="R308" s="314"/>
      <c r="Y308" s="315"/>
      <c r="Z308" s="246"/>
      <c r="AA308" s="235"/>
      <c r="AB308" s="247"/>
      <c r="AC308" s="235"/>
      <c r="AE308" s="235"/>
      <c r="AF308" s="316"/>
      <c r="AJ308" s="317"/>
      <c r="AK308" s="11"/>
    </row>
    <row r="309" spans="2:37" ht="15" customHeight="1" x14ac:dyDescent="0.25">
      <c r="B309" s="298"/>
      <c r="C309" s="245"/>
      <c r="D309" s="310"/>
      <c r="E309" s="310"/>
      <c r="F309" s="310"/>
      <c r="G309" s="310"/>
      <c r="H309" s="228"/>
      <c r="I309" s="304"/>
      <c r="J309" s="261"/>
      <c r="K309" s="261"/>
      <c r="L309" s="305"/>
      <c r="M309" s="311"/>
      <c r="N309" s="311"/>
      <c r="O309" s="221"/>
      <c r="P309" s="265"/>
      <c r="Q309" s="313"/>
      <c r="R309" s="314"/>
      <c r="Y309" s="315"/>
      <c r="Z309" s="246"/>
      <c r="AA309" s="235"/>
      <c r="AB309" s="247"/>
      <c r="AC309" s="235"/>
      <c r="AE309" s="235"/>
      <c r="AF309" s="316"/>
      <c r="AJ309" s="317"/>
      <c r="AK309" s="11"/>
    </row>
    <row r="310" spans="2:37" ht="15" customHeight="1" x14ac:dyDescent="0.25">
      <c r="B310" s="298"/>
      <c r="C310" s="245"/>
      <c r="D310" s="310"/>
      <c r="E310" s="310"/>
      <c r="F310" s="310"/>
      <c r="G310" s="310"/>
      <c r="H310" s="228"/>
      <c r="I310" s="304"/>
      <c r="J310" s="261"/>
      <c r="K310" s="261"/>
      <c r="L310" s="305"/>
      <c r="M310" s="311"/>
      <c r="N310" s="311"/>
      <c r="O310" s="221"/>
      <c r="P310" s="265"/>
      <c r="Q310" s="313"/>
      <c r="R310" s="314"/>
      <c r="Y310" s="315"/>
      <c r="Z310" s="246"/>
      <c r="AA310" s="235"/>
      <c r="AB310" s="247"/>
      <c r="AC310" s="235"/>
      <c r="AE310" s="235"/>
      <c r="AF310" s="316"/>
      <c r="AJ310" s="317"/>
      <c r="AK310" s="11"/>
    </row>
    <row r="311" spans="2:37" ht="15" customHeight="1" x14ac:dyDescent="0.25">
      <c r="B311" s="298"/>
      <c r="C311" s="245"/>
      <c r="D311" s="310"/>
      <c r="E311" s="310"/>
      <c r="F311" s="310"/>
      <c r="G311" s="310"/>
      <c r="H311" s="228"/>
      <c r="I311" s="304"/>
      <c r="J311" s="261"/>
      <c r="K311" s="261"/>
      <c r="L311" s="305"/>
      <c r="M311" s="311"/>
      <c r="N311" s="311"/>
      <c r="O311" s="221"/>
      <c r="P311" s="318"/>
      <c r="Q311" s="313"/>
      <c r="R311" s="314"/>
      <c r="Y311" s="315"/>
      <c r="Z311" s="246"/>
      <c r="AA311" s="235"/>
      <c r="AB311" s="247"/>
      <c r="AC311" s="235"/>
      <c r="AE311" s="235"/>
      <c r="AF311" s="316"/>
      <c r="AJ311" s="317"/>
      <c r="AK311" s="11"/>
    </row>
    <row r="312" spans="2:37" ht="13.5" x14ac:dyDescent="0.25">
      <c r="AE312" s="23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R421"/>
  <sheetViews>
    <sheetView workbookViewId="0">
      <selection activeCell="R19" sqref="R19"/>
    </sheetView>
  </sheetViews>
  <sheetFormatPr defaultRowHeight="12.75" x14ac:dyDescent="0.2"/>
  <cols>
    <col min="1" max="4" width="2.5703125" customWidth="1"/>
    <col min="5" max="5" width="18.7109375" customWidth="1"/>
    <col min="6" max="6" width="13" customWidth="1"/>
    <col min="7" max="7" width="10.5703125" customWidth="1"/>
    <col min="8" max="8" width="13.42578125" customWidth="1"/>
    <col min="9" max="9" width="12.28515625" customWidth="1"/>
    <col min="10" max="10" width="7.28515625" customWidth="1"/>
    <col min="11" max="11" width="3.7109375" customWidth="1"/>
    <col min="15" max="15" width="15.42578125" customWidth="1"/>
    <col min="16" max="16" width="13" customWidth="1"/>
  </cols>
  <sheetData>
    <row r="1" spans="1:16" x14ac:dyDescent="0.2">
      <c r="A1" s="36" t="str">
        <f>'2.Yhteenveto'!A1</f>
        <v>5.1.2024, Kuntaliitto / Olli Riikonen. Lähde: VM:n valtionosuuslaskelmat 8.12.2023 ja OKM:n vos-päätös 29.12.2023</v>
      </c>
    </row>
    <row r="3" spans="1:16" ht="25.5" customHeight="1" x14ac:dyDescent="0.2">
      <c r="A3" s="502" t="s">
        <v>720</v>
      </c>
      <c r="B3" s="503"/>
      <c r="C3" s="503"/>
      <c r="D3" s="503"/>
      <c r="E3" s="503"/>
      <c r="F3" s="503"/>
      <c r="G3" s="503"/>
      <c r="H3" s="503"/>
      <c r="I3" s="503"/>
      <c r="J3" s="504"/>
      <c r="K3" s="88"/>
    </row>
    <row r="5" spans="1:16" ht="18" customHeight="1" x14ac:dyDescent="0.25">
      <c r="B5" s="22" t="s">
        <v>91</v>
      </c>
      <c r="C5" s="371"/>
      <c r="D5" s="371"/>
      <c r="E5" s="421"/>
      <c r="F5" s="23" t="s">
        <v>200</v>
      </c>
      <c r="P5" s="32"/>
    </row>
    <row r="6" spans="1:16" ht="18" x14ac:dyDescent="0.25">
      <c r="B6" s="371"/>
      <c r="C6" s="371"/>
      <c r="D6" s="371"/>
      <c r="E6" s="46"/>
      <c r="F6" s="23" t="s">
        <v>201</v>
      </c>
      <c r="P6" s="32"/>
    </row>
    <row r="7" spans="1:16" ht="14.25" x14ac:dyDescent="0.2">
      <c r="O7" s="33"/>
      <c r="P7" s="33"/>
    </row>
    <row r="8" spans="1:16" ht="14.25" x14ac:dyDescent="0.2">
      <c r="A8" s="412" t="s">
        <v>29</v>
      </c>
      <c r="G8" s="84" t="str">
        <f>'2.Yhteenveto'!G11</f>
        <v>Akaa</v>
      </c>
      <c r="O8" s="34"/>
      <c r="P8" s="34"/>
    </row>
    <row r="9" spans="1:16" x14ac:dyDescent="0.2">
      <c r="A9" s="412" t="str">
        <f>'2.Yhteenveto'!B12</f>
        <v>Asukasluku 31.12.2022:</v>
      </c>
      <c r="G9" s="85">
        <f>'2.Yhteenveto'!H12</f>
        <v>16473</v>
      </c>
    </row>
    <row r="10" spans="1:16" x14ac:dyDescent="0.2">
      <c r="E10" s="1"/>
    </row>
    <row r="11" spans="1:16" x14ac:dyDescent="0.2">
      <c r="A11" s="5"/>
      <c r="E11" s="1"/>
    </row>
    <row r="12" spans="1:16" x14ac:dyDescent="0.2">
      <c r="B12" s="1" t="s">
        <v>719</v>
      </c>
      <c r="E12" s="1"/>
      <c r="F12" s="15">
        <f>INDEX(kkk_1,MATCH($G$8,kunta,0),1,1)</f>
        <v>0</v>
      </c>
      <c r="G12" s="371" t="s">
        <v>38</v>
      </c>
    </row>
    <row r="13" spans="1:16" x14ac:dyDescent="0.2">
      <c r="E13" s="1"/>
    </row>
    <row r="14" spans="1:16" x14ac:dyDescent="0.2">
      <c r="E14" s="1"/>
    </row>
    <row r="15" spans="1:16" x14ac:dyDescent="0.2">
      <c r="B15" s="1" t="s">
        <v>202</v>
      </c>
      <c r="E15" s="1"/>
    </row>
    <row r="16" spans="1:16" x14ac:dyDescent="0.2">
      <c r="B16" s="1" t="s">
        <v>718</v>
      </c>
      <c r="E16" s="1"/>
    </row>
    <row r="17" spans="2:18" x14ac:dyDescent="0.2">
      <c r="E17" s="58"/>
      <c r="F17" s="104" t="s">
        <v>203</v>
      </c>
    </row>
    <row r="18" spans="2:18" x14ac:dyDescent="0.2">
      <c r="E18" s="59"/>
      <c r="F18" s="105" t="s">
        <v>204</v>
      </c>
      <c r="R18" s="11"/>
    </row>
    <row r="19" spans="2:18" x14ac:dyDescent="0.2">
      <c r="E19" s="60"/>
      <c r="F19" s="106" t="s">
        <v>205</v>
      </c>
      <c r="O19" s="11"/>
      <c r="P19" s="11"/>
      <c r="R19" s="11"/>
    </row>
    <row r="20" spans="2:18" ht="15" x14ac:dyDescent="0.25">
      <c r="E20" s="101" t="s">
        <v>717</v>
      </c>
      <c r="F20" s="102">
        <v>7467.85</v>
      </c>
      <c r="I20" s="436"/>
      <c r="O20" s="11"/>
      <c r="P20" s="11"/>
      <c r="R20" s="11"/>
    </row>
    <row r="21" spans="2:18" x14ac:dyDescent="0.2">
      <c r="O21" s="11"/>
      <c r="P21" s="11"/>
      <c r="R21" s="11"/>
    </row>
    <row r="22" spans="2:18" x14ac:dyDescent="0.2">
      <c r="O22" s="11"/>
      <c r="P22" s="11"/>
      <c r="R22" s="11"/>
    </row>
    <row r="23" spans="2:18" x14ac:dyDescent="0.2">
      <c r="B23" s="1" t="s">
        <v>206</v>
      </c>
      <c r="O23" s="11"/>
      <c r="P23" s="11"/>
      <c r="R23" s="11"/>
    </row>
    <row r="24" spans="2:18" x14ac:dyDescent="0.2">
      <c r="B24" s="1"/>
      <c r="O24" s="11"/>
      <c r="P24" s="11"/>
      <c r="R24" s="11"/>
    </row>
    <row r="25" spans="2:18" x14ac:dyDescent="0.2">
      <c r="D25" s="107" t="s">
        <v>207</v>
      </c>
      <c r="O25" s="11"/>
    </row>
    <row r="26" spans="2:18" x14ac:dyDescent="0.2">
      <c r="F26" s="2" t="s">
        <v>208</v>
      </c>
      <c r="G26" s="2" t="s">
        <v>209</v>
      </c>
      <c r="H26" s="2" t="s">
        <v>210</v>
      </c>
      <c r="O26" s="11"/>
    </row>
    <row r="27" spans="2:18" x14ac:dyDescent="0.2">
      <c r="E27" s="7" t="s">
        <v>99</v>
      </c>
      <c r="F27" s="16"/>
      <c r="G27" s="20">
        <f>$F$20*0.61</f>
        <v>4555.3885</v>
      </c>
      <c r="H27" s="18">
        <f>F27*G27</f>
        <v>0</v>
      </c>
      <c r="O27" s="11"/>
    </row>
    <row r="28" spans="2:18" x14ac:dyDescent="0.2">
      <c r="E28" s="7" t="s">
        <v>100</v>
      </c>
      <c r="F28" s="16"/>
      <c r="G28" s="20">
        <f>$F$20*1</f>
        <v>7467.85</v>
      </c>
      <c r="H28" s="18">
        <f>F28*G28</f>
        <v>0</v>
      </c>
      <c r="O28" s="11"/>
    </row>
    <row r="29" spans="2:18" ht="13.5" thickBot="1" x14ac:dyDescent="0.25">
      <c r="E29" t="s">
        <v>211</v>
      </c>
      <c r="F29" s="48"/>
      <c r="G29" s="103">
        <f>$F$20*1.6</f>
        <v>11948.560000000001</v>
      </c>
      <c r="H29" s="61">
        <f>F29*G29</f>
        <v>0</v>
      </c>
      <c r="O29" s="11"/>
    </row>
    <row r="30" spans="2:18" s="4" customFormat="1" ht="13.5" thickTop="1" x14ac:dyDescent="0.2">
      <c r="B30" s="371"/>
      <c r="C30" s="371"/>
      <c r="D30" s="371" t="s">
        <v>212</v>
      </c>
      <c r="E30" s="371"/>
      <c r="F30" s="371"/>
      <c r="G30" s="417"/>
      <c r="H30" s="417">
        <f>SUM(H27:H29)</f>
        <v>0</v>
      </c>
      <c r="I30" s="22"/>
      <c r="J30" s="371"/>
      <c r="K30" s="371"/>
      <c r="L30" s="371"/>
      <c r="M30" s="371"/>
      <c r="N30" s="371"/>
      <c r="O30" s="409"/>
      <c r="P30" s="371"/>
      <c r="Q30" s="371"/>
      <c r="R30" s="371"/>
    </row>
    <row r="31" spans="2:18" x14ac:dyDescent="0.2">
      <c r="B31" s="1"/>
      <c r="E31" s="1"/>
      <c r="F31" s="1"/>
      <c r="G31" s="57"/>
      <c r="H31" s="57"/>
      <c r="I31" s="22"/>
      <c r="O31" s="11"/>
    </row>
    <row r="32" spans="2:18" x14ac:dyDescent="0.2">
      <c r="B32" s="1"/>
      <c r="E32" s="1"/>
      <c r="F32" s="1"/>
      <c r="G32" s="57"/>
      <c r="H32" s="57"/>
      <c r="I32" s="22"/>
      <c r="O32" s="11"/>
    </row>
    <row r="33" spans="2:15" x14ac:dyDescent="0.2">
      <c r="D33" s="107" t="s">
        <v>213</v>
      </c>
      <c r="E33" s="1"/>
      <c r="F33" s="1"/>
      <c r="G33" s="57"/>
      <c r="H33" s="57"/>
      <c r="I33" s="22"/>
      <c r="O33" s="11"/>
    </row>
    <row r="34" spans="2:15" x14ac:dyDescent="0.2">
      <c r="F34" s="2" t="s">
        <v>208</v>
      </c>
      <c r="G34" s="2" t="s">
        <v>209</v>
      </c>
      <c r="H34" s="2" t="s">
        <v>210</v>
      </c>
      <c r="O34" s="11"/>
    </row>
    <row r="35" spans="2:15" x14ac:dyDescent="0.2">
      <c r="E35" s="7" t="s">
        <v>99</v>
      </c>
      <c r="F35" s="16"/>
      <c r="G35" s="20">
        <f>$F$20*0.61*0.94</f>
        <v>4282.0651899999993</v>
      </c>
      <c r="H35" s="18">
        <f>F35*G35</f>
        <v>0</v>
      </c>
      <c r="O35" s="11"/>
    </row>
    <row r="36" spans="2:15" x14ac:dyDescent="0.2">
      <c r="E36" s="7" t="s">
        <v>100</v>
      </c>
      <c r="F36" s="16"/>
      <c r="G36" s="20">
        <f>$F$20*1*0.94</f>
        <v>7019.7789999999995</v>
      </c>
      <c r="H36" s="18">
        <f>F36*G36</f>
        <v>0</v>
      </c>
      <c r="O36" s="11"/>
    </row>
    <row r="37" spans="2:15" ht="13.5" thickBot="1" x14ac:dyDescent="0.25">
      <c r="E37" t="s">
        <v>211</v>
      </c>
      <c r="F37" s="48"/>
      <c r="G37" s="103">
        <f>$F$20*1.6*0.94</f>
        <v>11231.646400000001</v>
      </c>
      <c r="H37" s="61">
        <f>F37*G37</f>
        <v>0</v>
      </c>
      <c r="O37" s="11"/>
    </row>
    <row r="38" spans="2:15" s="4" customFormat="1" ht="13.5" thickTop="1" x14ac:dyDescent="0.2">
      <c r="B38" s="371"/>
      <c r="C38" s="371"/>
      <c r="D38" s="371" t="s">
        <v>212</v>
      </c>
      <c r="E38" s="371"/>
      <c r="F38" s="371"/>
      <c r="G38" s="417"/>
      <c r="H38" s="417">
        <f>SUM(H35:H37)</f>
        <v>0</v>
      </c>
      <c r="I38" s="22"/>
      <c r="J38" s="371"/>
      <c r="K38" s="371"/>
      <c r="L38" s="371"/>
      <c r="M38" s="371"/>
      <c r="N38" s="371"/>
      <c r="O38" s="409"/>
    </row>
    <row r="39" spans="2:15" ht="13.5" thickBot="1" x14ac:dyDescent="0.25">
      <c r="C39" s="108"/>
      <c r="D39" s="50"/>
      <c r="E39" s="108"/>
      <c r="F39" s="108"/>
      <c r="G39" s="109"/>
      <c r="H39" s="109"/>
      <c r="I39" s="22"/>
      <c r="O39" s="11"/>
    </row>
    <row r="40" spans="2:15" ht="13.5" thickTop="1" x14ac:dyDescent="0.2">
      <c r="C40" s="1" t="s">
        <v>212</v>
      </c>
      <c r="E40" s="1"/>
      <c r="F40" s="1"/>
      <c r="G40" s="57"/>
      <c r="H40" s="8">
        <f>H30+H38</f>
        <v>0</v>
      </c>
      <c r="I40" s="143">
        <f>INDEX(kkk_3,MATCH($G$8,kunta,0),1,1)</f>
        <v>-585670.47299999988</v>
      </c>
      <c r="O40" s="11"/>
    </row>
    <row r="41" spans="2:15" x14ac:dyDescent="0.2">
      <c r="I41" s="143"/>
      <c r="O41" s="11"/>
    </row>
    <row r="42" spans="2:15" x14ac:dyDescent="0.2">
      <c r="B42" s="1" t="s">
        <v>214</v>
      </c>
      <c r="E42" s="1"/>
      <c r="H42" s="57"/>
      <c r="I42" s="143"/>
      <c r="O42" s="11"/>
    </row>
    <row r="43" spans="2:15" x14ac:dyDescent="0.2">
      <c r="F43" s="2" t="s">
        <v>208</v>
      </c>
      <c r="G43" s="2" t="s">
        <v>209</v>
      </c>
      <c r="H43" s="2" t="s">
        <v>210</v>
      </c>
      <c r="I43" s="143"/>
      <c r="O43" s="11"/>
    </row>
    <row r="44" spans="2:15" x14ac:dyDescent="0.2">
      <c r="E44" s="7" t="s">
        <v>99</v>
      </c>
      <c r="F44" s="16"/>
      <c r="G44" s="20">
        <f>$F$20*0.61</f>
        <v>4555.3885</v>
      </c>
      <c r="H44" s="18">
        <f>F44*G44</f>
        <v>0</v>
      </c>
      <c r="I44" s="143"/>
      <c r="O44" s="11"/>
    </row>
    <row r="45" spans="2:15" x14ac:dyDescent="0.2">
      <c r="E45" s="7" t="s">
        <v>100</v>
      </c>
      <c r="F45" s="16"/>
      <c r="G45" s="20">
        <f>$F$20*1</f>
        <v>7467.85</v>
      </c>
      <c r="H45" s="18">
        <f>F45*G45</f>
        <v>0</v>
      </c>
      <c r="I45" s="143"/>
      <c r="O45" s="11"/>
    </row>
    <row r="46" spans="2:15" ht="13.5" thickBot="1" x14ac:dyDescent="0.25">
      <c r="E46" t="s">
        <v>211</v>
      </c>
      <c r="F46" s="48"/>
      <c r="G46" s="103">
        <f>$F$20*1.6</f>
        <v>11948.560000000001</v>
      </c>
      <c r="H46" s="61">
        <f>F46*G46</f>
        <v>0</v>
      </c>
      <c r="I46" s="143"/>
      <c r="O46" s="11"/>
    </row>
    <row r="47" spans="2:15" ht="13.5" thickTop="1" x14ac:dyDescent="0.2">
      <c r="B47" s="1" t="s">
        <v>215</v>
      </c>
      <c r="E47" s="1"/>
      <c r="F47" s="1"/>
      <c r="G47" s="57"/>
      <c r="H47" s="8">
        <f>SUM(H44:H46)</f>
        <v>0</v>
      </c>
      <c r="I47" s="143">
        <f>INDEX(kkk_2,MATCH($G$8,kunta,0),1,1)</f>
        <v>0</v>
      </c>
      <c r="O47" s="11"/>
    </row>
    <row r="48" spans="2:15" x14ac:dyDescent="0.2">
      <c r="B48" s="1"/>
      <c r="E48" s="1"/>
      <c r="F48" s="1"/>
      <c r="G48" s="57"/>
      <c r="H48" s="8"/>
      <c r="I48" s="177"/>
      <c r="O48" s="11"/>
    </row>
    <row r="49" spans="2:15" x14ac:dyDescent="0.2">
      <c r="B49" s="1"/>
      <c r="E49" s="1"/>
      <c r="F49" s="1"/>
      <c r="G49" s="57"/>
      <c r="H49" s="57"/>
      <c r="I49" s="177"/>
      <c r="O49" s="11"/>
    </row>
    <row r="50" spans="2:15" x14ac:dyDescent="0.2">
      <c r="B50" s="1" t="s">
        <v>216</v>
      </c>
      <c r="E50" s="1"/>
      <c r="F50" s="1"/>
      <c r="G50" s="57"/>
      <c r="H50" s="8">
        <f>IF(H47-H40&lt;&gt;0,H47-H40,F12)</f>
        <v>0</v>
      </c>
      <c r="I50" s="149">
        <f>I47-I40</f>
        <v>585670.47299999988</v>
      </c>
      <c r="O50" s="11"/>
    </row>
    <row r="51" spans="2:15" x14ac:dyDescent="0.2">
      <c r="B51" s="1"/>
      <c r="E51" s="1"/>
      <c r="F51" s="1"/>
      <c r="G51" s="57"/>
      <c r="H51" s="47" t="s">
        <v>105</v>
      </c>
      <c r="I51" s="22"/>
      <c r="O51" s="11"/>
    </row>
    <row r="52" spans="2:15" x14ac:dyDescent="0.2">
      <c r="O52" s="11"/>
    </row>
    <row r="53" spans="2:15" x14ac:dyDescent="0.2">
      <c r="O53" s="11"/>
    </row>
    <row r="54" spans="2:15" x14ac:dyDescent="0.2">
      <c r="O54" s="11"/>
    </row>
    <row r="55" spans="2:15" x14ac:dyDescent="0.2">
      <c r="O55" s="11"/>
    </row>
    <row r="56" spans="2:15" x14ac:dyDescent="0.2">
      <c r="O56" s="11"/>
    </row>
    <row r="57" spans="2:15" x14ac:dyDescent="0.2">
      <c r="O57" s="11"/>
    </row>
    <row r="58" spans="2:15" x14ac:dyDescent="0.2">
      <c r="O58" s="11"/>
    </row>
    <row r="59" spans="2:15" x14ac:dyDescent="0.2">
      <c r="O59" s="11"/>
    </row>
    <row r="60" spans="2:15" x14ac:dyDescent="0.2">
      <c r="O60" s="11"/>
    </row>
    <row r="61" spans="2:15" x14ac:dyDescent="0.2">
      <c r="O61" s="11"/>
    </row>
    <row r="62" spans="2:15" x14ac:dyDescent="0.2">
      <c r="O62" s="11"/>
    </row>
    <row r="63" spans="2:15" x14ac:dyDescent="0.2">
      <c r="O63" s="11"/>
    </row>
    <row r="64" spans="2:15" x14ac:dyDescent="0.2">
      <c r="O64" s="11"/>
    </row>
    <row r="65" spans="15:15" x14ac:dyDescent="0.2">
      <c r="O65" s="11"/>
    </row>
    <row r="66" spans="15:15" x14ac:dyDescent="0.2">
      <c r="O66" s="11"/>
    </row>
    <row r="67" spans="15:15" x14ac:dyDescent="0.2">
      <c r="O67" s="11"/>
    </row>
    <row r="68" spans="15:15" x14ac:dyDescent="0.2">
      <c r="O68" s="11"/>
    </row>
    <row r="69" spans="15:15" x14ac:dyDescent="0.2">
      <c r="O69" s="11"/>
    </row>
    <row r="70" spans="15:15" x14ac:dyDescent="0.2">
      <c r="O70" s="11"/>
    </row>
    <row r="71" spans="15:15" x14ac:dyDescent="0.2">
      <c r="O71" s="11"/>
    </row>
    <row r="72" spans="15:15" x14ac:dyDescent="0.2">
      <c r="O72" s="11"/>
    </row>
    <row r="73" spans="15:15" x14ac:dyDescent="0.2">
      <c r="O73" s="11"/>
    </row>
    <row r="74" spans="15:15" x14ac:dyDescent="0.2">
      <c r="O74" s="11"/>
    </row>
    <row r="75" spans="15:15" x14ac:dyDescent="0.2">
      <c r="O75" s="11"/>
    </row>
    <row r="76" spans="15:15" x14ac:dyDescent="0.2">
      <c r="O76" s="11"/>
    </row>
    <row r="77" spans="15:15" x14ac:dyDescent="0.2">
      <c r="O77" s="11"/>
    </row>
    <row r="78" spans="15:15" x14ac:dyDescent="0.2">
      <c r="O78" s="11"/>
    </row>
    <row r="79" spans="15:15" x14ac:dyDescent="0.2">
      <c r="O79" s="11"/>
    </row>
    <row r="80" spans="15:15" x14ac:dyDescent="0.2">
      <c r="O80" s="11"/>
    </row>
    <row r="81" spans="15:15" x14ac:dyDescent="0.2">
      <c r="O81" s="11"/>
    </row>
    <row r="82" spans="15:15" x14ac:dyDescent="0.2">
      <c r="O82" s="11"/>
    </row>
    <row r="83" spans="15:15" x14ac:dyDescent="0.2">
      <c r="O83" s="11"/>
    </row>
    <row r="84" spans="15:15" x14ac:dyDescent="0.2">
      <c r="O84" s="11"/>
    </row>
    <row r="85" spans="15:15" x14ac:dyDescent="0.2">
      <c r="O85" s="11"/>
    </row>
    <row r="86" spans="15:15" x14ac:dyDescent="0.2">
      <c r="O86" s="11"/>
    </row>
    <row r="87" spans="15:15" x14ac:dyDescent="0.2">
      <c r="O87" s="11"/>
    </row>
    <row r="88" spans="15:15" x14ac:dyDescent="0.2">
      <c r="O88" s="11"/>
    </row>
    <row r="89" spans="15:15" x14ac:dyDescent="0.2">
      <c r="O89" s="11"/>
    </row>
    <row r="90" spans="15:15" x14ac:dyDescent="0.2">
      <c r="O90" s="11"/>
    </row>
    <row r="91" spans="15:15" x14ac:dyDescent="0.2">
      <c r="O91" s="11"/>
    </row>
    <row r="92" spans="15:15" x14ac:dyDescent="0.2">
      <c r="O92" s="11"/>
    </row>
    <row r="93" spans="15:15" x14ac:dyDescent="0.2">
      <c r="O93" s="11"/>
    </row>
    <row r="94" spans="15:15" x14ac:dyDescent="0.2">
      <c r="O94" s="11"/>
    </row>
    <row r="95" spans="15:15" x14ac:dyDescent="0.2">
      <c r="O95" s="11"/>
    </row>
    <row r="96" spans="15:15" x14ac:dyDescent="0.2">
      <c r="O96" s="11"/>
    </row>
    <row r="97" spans="15:15" x14ac:dyDescent="0.2">
      <c r="O97" s="11"/>
    </row>
    <row r="98" spans="15:15" x14ac:dyDescent="0.2">
      <c r="O98" s="11"/>
    </row>
    <row r="99" spans="15:15" x14ac:dyDescent="0.2">
      <c r="O99" s="11"/>
    </row>
    <row r="100" spans="15:15" x14ac:dyDescent="0.2">
      <c r="O100" s="11"/>
    </row>
    <row r="101" spans="15:15" x14ac:dyDescent="0.2">
      <c r="O101" s="11"/>
    </row>
    <row r="102" spans="15:15" x14ac:dyDescent="0.2">
      <c r="O102" s="11"/>
    </row>
    <row r="103" spans="15:15" x14ac:dyDescent="0.2">
      <c r="O103" s="11"/>
    </row>
    <row r="104" spans="15:15" x14ac:dyDescent="0.2">
      <c r="O104" s="11"/>
    </row>
    <row r="105" spans="15:15" x14ac:dyDescent="0.2">
      <c r="O105" s="11"/>
    </row>
    <row r="106" spans="15:15" x14ac:dyDescent="0.2">
      <c r="O106" s="11"/>
    </row>
    <row r="107" spans="15:15" x14ac:dyDescent="0.2">
      <c r="O107" s="11"/>
    </row>
    <row r="108" spans="15:15" x14ac:dyDescent="0.2">
      <c r="O108" s="11"/>
    </row>
    <row r="109" spans="15:15" x14ac:dyDescent="0.2">
      <c r="O109" s="11"/>
    </row>
    <row r="110" spans="15:15" x14ac:dyDescent="0.2">
      <c r="O110" s="11"/>
    </row>
    <row r="111" spans="15:15" x14ac:dyDescent="0.2">
      <c r="O111" s="11"/>
    </row>
    <row r="112" spans="15:15" x14ac:dyDescent="0.2">
      <c r="O112" s="11"/>
    </row>
    <row r="113" spans="15:15" x14ac:dyDescent="0.2">
      <c r="O113" s="11"/>
    </row>
    <row r="114" spans="15:15" x14ac:dyDescent="0.2">
      <c r="O114" s="11"/>
    </row>
    <row r="115" spans="15:15" x14ac:dyDescent="0.2">
      <c r="O115" s="11"/>
    </row>
    <row r="116" spans="15:15" x14ac:dyDescent="0.2">
      <c r="O116" s="11"/>
    </row>
    <row r="117" spans="15:15" x14ac:dyDescent="0.2">
      <c r="O117" s="11"/>
    </row>
    <row r="118" spans="15:15" x14ac:dyDescent="0.2">
      <c r="O118" s="11"/>
    </row>
    <row r="119" spans="15:15" x14ac:dyDescent="0.2">
      <c r="O119" s="11"/>
    </row>
    <row r="120" spans="15:15" x14ac:dyDescent="0.2">
      <c r="O120" s="11"/>
    </row>
    <row r="121" spans="15:15" x14ac:dyDescent="0.2">
      <c r="O121" s="11"/>
    </row>
    <row r="122" spans="15:15" x14ac:dyDescent="0.2">
      <c r="O122" s="11"/>
    </row>
    <row r="123" spans="15:15" x14ac:dyDescent="0.2">
      <c r="O123" s="11"/>
    </row>
    <row r="124" spans="15:15" x14ac:dyDescent="0.2">
      <c r="O124" s="11"/>
    </row>
    <row r="125" spans="15:15" x14ac:dyDescent="0.2">
      <c r="O125" s="11"/>
    </row>
    <row r="126" spans="15:15" x14ac:dyDescent="0.2">
      <c r="O126" s="11"/>
    </row>
    <row r="127" spans="15:15" x14ac:dyDescent="0.2">
      <c r="O127" s="11"/>
    </row>
    <row r="128" spans="15:15" x14ac:dyDescent="0.2">
      <c r="O128" s="11"/>
    </row>
    <row r="129" spans="15:15" x14ac:dyDescent="0.2">
      <c r="O129" s="11"/>
    </row>
    <row r="130" spans="15:15" x14ac:dyDescent="0.2">
      <c r="O130" s="11"/>
    </row>
    <row r="131" spans="15:15" x14ac:dyDescent="0.2">
      <c r="O131" s="11"/>
    </row>
    <row r="132" spans="15:15" x14ac:dyDescent="0.2">
      <c r="O132" s="11"/>
    </row>
    <row r="133" spans="15:15" x14ac:dyDescent="0.2">
      <c r="O133" s="11"/>
    </row>
    <row r="134" spans="15:15" x14ac:dyDescent="0.2">
      <c r="O134" s="11"/>
    </row>
    <row r="135" spans="15:15" x14ac:dyDescent="0.2">
      <c r="O135" s="11"/>
    </row>
    <row r="136" spans="15:15" x14ac:dyDescent="0.2">
      <c r="O136" s="11"/>
    </row>
    <row r="137" spans="15:15" x14ac:dyDescent="0.2">
      <c r="O137" s="11"/>
    </row>
    <row r="138" spans="15:15" x14ac:dyDescent="0.2">
      <c r="O138" s="11"/>
    </row>
    <row r="139" spans="15:15" x14ac:dyDescent="0.2">
      <c r="O139" s="11"/>
    </row>
    <row r="140" spans="15:15" x14ac:dyDescent="0.2">
      <c r="O140" s="11"/>
    </row>
    <row r="141" spans="15:15" x14ac:dyDescent="0.2">
      <c r="O141" s="11"/>
    </row>
    <row r="142" spans="15:15" x14ac:dyDescent="0.2">
      <c r="O142" s="11"/>
    </row>
    <row r="143" spans="15:15" x14ac:dyDescent="0.2">
      <c r="O143" s="11"/>
    </row>
    <row r="144" spans="15:15" x14ac:dyDescent="0.2">
      <c r="O144" s="11"/>
    </row>
    <row r="145" spans="15:15" x14ac:dyDescent="0.2">
      <c r="O145" s="11"/>
    </row>
    <row r="146" spans="15:15" x14ac:dyDescent="0.2">
      <c r="O146" s="11"/>
    </row>
    <row r="147" spans="15:15" x14ac:dyDescent="0.2">
      <c r="O147" s="11"/>
    </row>
    <row r="148" spans="15:15" x14ac:dyDescent="0.2">
      <c r="O148" s="11"/>
    </row>
    <row r="149" spans="15:15" x14ac:dyDescent="0.2">
      <c r="O149" s="11"/>
    </row>
    <row r="150" spans="15:15" x14ac:dyDescent="0.2">
      <c r="O150" s="11"/>
    </row>
    <row r="151" spans="15:15" x14ac:dyDescent="0.2">
      <c r="O151" s="11"/>
    </row>
    <row r="152" spans="15:15" x14ac:dyDescent="0.2">
      <c r="O152" s="11"/>
    </row>
    <row r="153" spans="15:15" x14ac:dyDescent="0.2">
      <c r="O153" s="11"/>
    </row>
    <row r="154" spans="15:15" x14ac:dyDescent="0.2">
      <c r="O154" s="11"/>
    </row>
    <row r="155" spans="15:15" x14ac:dyDescent="0.2">
      <c r="O155" s="11"/>
    </row>
    <row r="156" spans="15:15" x14ac:dyDescent="0.2">
      <c r="O156" s="11"/>
    </row>
    <row r="157" spans="15:15" x14ac:dyDescent="0.2">
      <c r="O157" s="11"/>
    </row>
    <row r="158" spans="15:15" x14ac:dyDescent="0.2">
      <c r="O158" s="11"/>
    </row>
    <row r="159" spans="15:15" x14ac:dyDescent="0.2">
      <c r="O159" s="11"/>
    </row>
    <row r="160" spans="15:15" x14ac:dyDescent="0.2">
      <c r="O160" s="11"/>
    </row>
    <row r="161" spans="15:15" x14ac:dyDescent="0.2">
      <c r="O161" s="11"/>
    </row>
    <row r="162" spans="15:15" x14ac:dyDescent="0.2">
      <c r="O162" s="11"/>
    </row>
    <row r="163" spans="15:15" x14ac:dyDescent="0.2">
      <c r="O163" s="11"/>
    </row>
    <row r="164" spans="15:15" x14ac:dyDescent="0.2">
      <c r="O164" s="11"/>
    </row>
    <row r="165" spans="15:15" x14ac:dyDescent="0.2">
      <c r="O165" s="11"/>
    </row>
    <row r="166" spans="15:15" x14ac:dyDescent="0.2">
      <c r="O166" s="11"/>
    </row>
    <row r="167" spans="15:15" x14ac:dyDescent="0.2">
      <c r="O167" s="11"/>
    </row>
    <row r="168" spans="15:15" x14ac:dyDescent="0.2">
      <c r="O168" s="11"/>
    </row>
    <row r="169" spans="15:15" x14ac:dyDescent="0.2">
      <c r="O169" s="11"/>
    </row>
    <row r="170" spans="15:15" x14ac:dyDescent="0.2">
      <c r="O170" s="11"/>
    </row>
    <row r="171" spans="15:15" x14ac:dyDescent="0.2">
      <c r="O171" s="11"/>
    </row>
    <row r="172" spans="15:15" x14ac:dyDescent="0.2">
      <c r="O172" s="11"/>
    </row>
    <row r="173" spans="15:15" x14ac:dyDescent="0.2">
      <c r="O173" s="11"/>
    </row>
    <row r="174" spans="15:15" x14ac:dyDescent="0.2">
      <c r="O174" s="11"/>
    </row>
    <row r="175" spans="15:15" x14ac:dyDescent="0.2">
      <c r="O175" s="11"/>
    </row>
    <row r="176" spans="15:15" x14ac:dyDescent="0.2">
      <c r="O176" s="11"/>
    </row>
    <row r="177" spans="15:15" x14ac:dyDescent="0.2">
      <c r="O177" s="11"/>
    </row>
    <row r="178" spans="15:15" x14ac:dyDescent="0.2">
      <c r="O178" s="11"/>
    </row>
    <row r="179" spans="15:15" x14ac:dyDescent="0.2">
      <c r="O179" s="11"/>
    </row>
    <row r="180" spans="15:15" x14ac:dyDescent="0.2">
      <c r="O180" s="11"/>
    </row>
    <row r="181" spans="15:15" x14ac:dyDescent="0.2">
      <c r="O181" s="11"/>
    </row>
    <row r="182" spans="15:15" x14ac:dyDescent="0.2">
      <c r="O182" s="11"/>
    </row>
    <row r="183" spans="15:15" x14ac:dyDescent="0.2">
      <c r="O183" s="11"/>
    </row>
    <row r="184" spans="15:15" x14ac:dyDescent="0.2">
      <c r="O184" s="11"/>
    </row>
    <row r="185" spans="15:15" x14ac:dyDescent="0.2">
      <c r="O185" s="11"/>
    </row>
    <row r="186" spans="15:15" x14ac:dyDescent="0.2">
      <c r="O186" s="11"/>
    </row>
    <row r="187" spans="15:15" x14ac:dyDescent="0.2">
      <c r="O187" s="11"/>
    </row>
    <row r="188" spans="15:15" x14ac:dyDescent="0.2">
      <c r="O188" s="11"/>
    </row>
    <row r="189" spans="15:15" x14ac:dyDescent="0.2">
      <c r="O189" s="11"/>
    </row>
    <row r="190" spans="15:15" x14ac:dyDescent="0.2">
      <c r="O190" s="11"/>
    </row>
    <row r="191" spans="15:15" x14ac:dyDescent="0.2">
      <c r="O191" s="11"/>
    </row>
    <row r="192" spans="15:15" x14ac:dyDescent="0.2">
      <c r="O192" s="11"/>
    </row>
    <row r="193" spans="15:15" x14ac:dyDescent="0.2">
      <c r="O193" s="11"/>
    </row>
    <row r="194" spans="15:15" x14ac:dyDescent="0.2">
      <c r="O194" s="11"/>
    </row>
    <row r="195" spans="15:15" x14ac:dyDescent="0.2">
      <c r="O195" s="11"/>
    </row>
    <row r="326" spans="18:18" x14ac:dyDescent="0.2">
      <c r="R326">
        <v>629984.66814828455</v>
      </c>
    </row>
    <row r="327" spans="18:18" x14ac:dyDescent="0.2">
      <c r="R327">
        <v>533704.51705157664</v>
      </c>
    </row>
    <row r="328" spans="18:18" x14ac:dyDescent="0.2">
      <c r="R328">
        <v>2948920.1810058244</v>
      </c>
    </row>
    <row r="329" spans="18:18" x14ac:dyDescent="0.2">
      <c r="R329">
        <v>2609406.3443768644</v>
      </c>
    </row>
    <row r="330" spans="18:18" x14ac:dyDescent="0.2">
      <c r="R330">
        <v>4229372.3648636164</v>
      </c>
    </row>
    <row r="331" spans="18:18" x14ac:dyDescent="0.2">
      <c r="R331">
        <v>4148131.5539559717</v>
      </c>
    </row>
    <row r="332" spans="18:18" x14ac:dyDescent="0.2">
      <c r="R332">
        <v>5399482.551816998</v>
      </c>
    </row>
    <row r="333" spans="18:18" x14ac:dyDescent="0.2">
      <c r="R333">
        <v>2639720.0797901638</v>
      </c>
    </row>
    <row r="334" spans="18:18" x14ac:dyDescent="0.2">
      <c r="R334">
        <v>9700.395332256001</v>
      </c>
    </row>
    <row r="335" spans="18:18" x14ac:dyDescent="0.2">
      <c r="R335">
        <v>5466172.7697262568</v>
      </c>
    </row>
    <row r="336" spans="18:18" x14ac:dyDescent="0.2">
      <c r="R336">
        <v>264396.40027480264</v>
      </c>
    </row>
    <row r="337" spans="18:18" x14ac:dyDescent="0.2">
      <c r="R337">
        <v>2473600.809725279</v>
      </c>
    </row>
    <row r="338" spans="18:18" x14ac:dyDescent="0.2">
      <c r="R338">
        <v>1090445.6902872275</v>
      </c>
    </row>
    <row r="339" spans="18:18" x14ac:dyDescent="0.2">
      <c r="R339">
        <v>385590.71445717581</v>
      </c>
    </row>
    <row r="340" spans="18:18" x14ac:dyDescent="0.2">
      <c r="R340">
        <v>4560398.3555768533</v>
      </c>
    </row>
    <row r="341" spans="18:18" x14ac:dyDescent="0.2">
      <c r="R341">
        <v>2579092.6089635636</v>
      </c>
    </row>
    <row r="342" spans="18:18" x14ac:dyDescent="0.2">
      <c r="R342">
        <v>2007981.8337769923</v>
      </c>
    </row>
    <row r="343" spans="18:18" x14ac:dyDescent="0.2">
      <c r="R343">
        <v>3484867.0231129681</v>
      </c>
    </row>
    <row r="344" spans="18:18" x14ac:dyDescent="0.2">
      <c r="R344">
        <v>3970393.6900280481</v>
      </c>
    </row>
    <row r="345" spans="18:18" x14ac:dyDescent="0.2">
      <c r="R345">
        <v>200070.65372778007</v>
      </c>
    </row>
    <row r="346" spans="18:18" x14ac:dyDescent="0.2">
      <c r="R346">
        <v>4848031.0509147393</v>
      </c>
    </row>
    <row r="347" spans="18:18" x14ac:dyDescent="0.2">
      <c r="R347">
        <v>2798564.0533558559</v>
      </c>
    </row>
    <row r="348" spans="18:18" x14ac:dyDescent="0.2">
      <c r="R348">
        <v>1577405.5359664788</v>
      </c>
    </row>
    <row r="349" spans="18:18" x14ac:dyDescent="0.2">
      <c r="R349">
        <v>3627341.5795554789</v>
      </c>
    </row>
    <row r="350" spans="18:18" x14ac:dyDescent="0.2">
      <c r="R350">
        <v>4396704.184345033</v>
      </c>
    </row>
    <row r="351" spans="18:18" x14ac:dyDescent="0.2">
      <c r="R351">
        <v>4597987.387489344</v>
      </c>
    </row>
    <row r="352" spans="18:18" x14ac:dyDescent="0.2">
      <c r="R352">
        <v>9700.395332256001</v>
      </c>
    </row>
    <row r="353" spans="18:18" x14ac:dyDescent="0.2">
      <c r="R353">
        <v>1666042.8983149678</v>
      </c>
    </row>
    <row r="354" spans="18:18" x14ac:dyDescent="0.2">
      <c r="R354">
        <v>1551941.9982193066</v>
      </c>
    </row>
    <row r="355" spans="18:18" x14ac:dyDescent="0.2">
      <c r="R355">
        <v>1603347.9390721701</v>
      </c>
    </row>
    <row r="356" spans="18:18" x14ac:dyDescent="0.2">
      <c r="R356">
        <v>1740729.8152081931</v>
      </c>
    </row>
    <row r="357" spans="18:18" x14ac:dyDescent="0.2">
      <c r="R357">
        <v>1106330.0876437968</v>
      </c>
    </row>
    <row r="358" spans="18:18" x14ac:dyDescent="0.2">
      <c r="R358">
        <v>1407875.8399696494</v>
      </c>
    </row>
    <row r="359" spans="18:18" x14ac:dyDescent="0.2">
      <c r="R359">
        <v>1461061.4194502328</v>
      </c>
    </row>
    <row r="360" spans="18:18" x14ac:dyDescent="0.2">
      <c r="R360">
        <v>1323861.4529696372</v>
      </c>
    </row>
    <row r="361" spans="18:18" x14ac:dyDescent="0.2">
      <c r="R361">
        <v>830591.32947768457</v>
      </c>
    </row>
    <row r="362" spans="18:18" x14ac:dyDescent="0.2">
      <c r="R362">
        <v>1558126.0002436198</v>
      </c>
    </row>
    <row r="363" spans="18:18" x14ac:dyDescent="0.2">
      <c r="R363">
        <v>1116082.076058425</v>
      </c>
    </row>
    <row r="364" spans="18:18" x14ac:dyDescent="0.2">
      <c r="R364">
        <v>608786.27062133863</v>
      </c>
    </row>
    <row r="365" spans="18:18" x14ac:dyDescent="0.2">
      <c r="R365">
        <v>1068256.035964692</v>
      </c>
    </row>
    <row r="366" spans="18:18" x14ac:dyDescent="0.2">
      <c r="R366">
        <v>1641791.9099843276</v>
      </c>
    </row>
    <row r="367" spans="18:18" x14ac:dyDescent="0.2">
      <c r="R367">
        <v>1048273.1398771544</v>
      </c>
    </row>
    <row r="368" spans="18:18" x14ac:dyDescent="0.2">
      <c r="R368">
        <v>414691.90045394399</v>
      </c>
    </row>
    <row r="369" spans="18:18" x14ac:dyDescent="0.2">
      <c r="R369">
        <v>1162410.4981584016</v>
      </c>
    </row>
    <row r="370" spans="18:18" x14ac:dyDescent="0.2">
      <c r="R370">
        <v>482594.66777973599</v>
      </c>
    </row>
    <row r="371" spans="18:18" x14ac:dyDescent="0.2">
      <c r="R371">
        <v>1659357.4923391074</v>
      </c>
    </row>
    <row r="372" spans="18:18" x14ac:dyDescent="0.2">
      <c r="R372">
        <v>59414.921410068004</v>
      </c>
    </row>
    <row r="373" spans="18:18" x14ac:dyDescent="0.2">
      <c r="R373">
        <v>1230313.2654841938</v>
      </c>
    </row>
    <row r="374" spans="18:18" x14ac:dyDescent="0.2">
      <c r="R374">
        <v>2869388.5800708369</v>
      </c>
    </row>
    <row r="375" spans="18:18" x14ac:dyDescent="0.2">
      <c r="R375">
        <v>575233.44320278079</v>
      </c>
    </row>
    <row r="376" spans="18:18" x14ac:dyDescent="0.2">
      <c r="R376">
        <v>4674341.624248364</v>
      </c>
    </row>
    <row r="377" spans="18:18" x14ac:dyDescent="0.2">
      <c r="R377">
        <v>1411407.5208432481</v>
      </c>
    </row>
    <row r="378" spans="18:18" x14ac:dyDescent="0.2">
      <c r="R378">
        <v>572868.97184054332</v>
      </c>
    </row>
    <row r="379" spans="18:18" x14ac:dyDescent="0.2">
      <c r="R379">
        <v>623007.89021414157</v>
      </c>
    </row>
    <row r="380" spans="18:18" x14ac:dyDescent="0.2">
      <c r="R380">
        <v>485565.41385023936</v>
      </c>
    </row>
    <row r="381" spans="18:18" x14ac:dyDescent="0.2">
      <c r="R381">
        <v>1189510.977617892</v>
      </c>
    </row>
    <row r="382" spans="18:18" x14ac:dyDescent="0.2">
      <c r="R382">
        <v>1247592.0946697746</v>
      </c>
    </row>
    <row r="383" spans="18:18" x14ac:dyDescent="0.2">
      <c r="R383">
        <v>491082.51369545993</v>
      </c>
    </row>
    <row r="384" spans="18:18" x14ac:dyDescent="0.2">
      <c r="R384">
        <v>369398.62965589541</v>
      </c>
    </row>
    <row r="385" spans="18:18" x14ac:dyDescent="0.2">
      <c r="R385">
        <v>574869.67837782123</v>
      </c>
    </row>
    <row r="386" spans="18:18" x14ac:dyDescent="0.2">
      <c r="R386">
        <v>412266.80162088003</v>
      </c>
    </row>
    <row r="387" spans="18:18" x14ac:dyDescent="0.2">
      <c r="R387">
        <v>77603.162658048008</v>
      </c>
    </row>
    <row r="388" spans="18:18" x14ac:dyDescent="0.2">
      <c r="R388">
        <v>727105.25762341393</v>
      </c>
    </row>
    <row r="389" spans="18:18" x14ac:dyDescent="0.2">
      <c r="R389">
        <v>206012.83648000003</v>
      </c>
    </row>
    <row r="390" spans="18:18" x14ac:dyDescent="0.2">
      <c r="R390">
        <v>142804.35256000003</v>
      </c>
    </row>
    <row r="391" spans="18:18" x14ac:dyDescent="0.2">
      <c r="R391">
        <v>168555.95712000006</v>
      </c>
    </row>
    <row r="392" spans="18:18" x14ac:dyDescent="0.2">
      <c r="R392">
        <v>309019.25471999997</v>
      </c>
    </row>
    <row r="393" spans="18:18" x14ac:dyDescent="0.2">
      <c r="R393">
        <v>112370.63808</v>
      </c>
    </row>
    <row r="394" spans="18:18" x14ac:dyDescent="0.2">
      <c r="R394">
        <v>4410468.7014020002</v>
      </c>
    </row>
    <row r="395" spans="18:18" x14ac:dyDescent="0.2">
      <c r="R395">
        <v>3928791.5104749999</v>
      </c>
    </row>
    <row r="396" spans="18:18" x14ac:dyDescent="0.2">
      <c r="R396">
        <v>242474.76748200005</v>
      </c>
    </row>
    <row r="397" spans="18:18" x14ac:dyDescent="0.2">
      <c r="R397">
        <v>36286.351880000002</v>
      </c>
    </row>
    <row r="398" spans="18:18" x14ac:dyDescent="0.2">
      <c r="R398">
        <v>515032.09119999985</v>
      </c>
    </row>
    <row r="399" spans="18:18" x14ac:dyDescent="0.2">
      <c r="R399">
        <v>255174.99064000006</v>
      </c>
    </row>
    <row r="400" spans="18:18" x14ac:dyDescent="0.2">
      <c r="R400">
        <v>635713.47438800021</v>
      </c>
    </row>
    <row r="401" spans="18:18" x14ac:dyDescent="0.2">
      <c r="R401">
        <v>959071.69073800067</v>
      </c>
    </row>
    <row r="402" spans="18:18" x14ac:dyDescent="0.2">
      <c r="R402">
        <v>324236.11196000001</v>
      </c>
    </row>
    <row r="403" spans="18:18" x14ac:dyDescent="0.2">
      <c r="R403">
        <v>1244621.8694839994</v>
      </c>
    </row>
    <row r="404" spans="18:18" x14ac:dyDescent="0.2">
      <c r="R404">
        <v>2866466.8206816483</v>
      </c>
    </row>
    <row r="405" spans="18:18" x14ac:dyDescent="0.2">
      <c r="R405">
        <v>5292171.9284539148</v>
      </c>
    </row>
    <row r="406" spans="18:18" x14ac:dyDescent="0.2">
      <c r="R406">
        <v>4225916.5990264993</v>
      </c>
    </row>
    <row r="407" spans="18:18" x14ac:dyDescent="0.2">
      <c r="R407">
        <v>2639783.5897832643</v>
      </c>
    </row>
    <row r="408" spans="18:18" x14ac:dyDescent="0.2">
      <c r="R408">
        <v>5473508.6936962763</v>
      </c>
    </row>
    <row r="409" spans="18:18" x14ac:dyDescent="0.2">
      <c r="R409">
        <v>2488317.0198984272</v>
      </c>
    </row>
    <row r="410" spans="18:18" x14ac:dyDescent="0.2">
      <c r="R410">
        <v>5564510.5274070008</v>
      </c>
    </row>
    <row r="411" spans="18:18" x14ac:dyDescent="0.2">
      <c r="R411">
        <v>4865960.8085429166</v>
      </c>
    </row>
    <row r="412" spans="18:18" x14ac:dyDescent="0.2">
      <c r="R412">
        <v>4791995.2941344632</v>
      </c>
    </row>
    <row r="413" spans="18:18" x14ac:dyDescent="0.2">
      <c r="R413">
        <v>2512402.3910543043</v>
      </c>
    </row>
    <row r="414" spans="18:18" x14ac:dyDescent="0.2">
      <c r="R414">
        <v>3317369.4268152765</v>
      </c>
    </row>
    <row r="415" spans="18:18" x14ac:dyDescent="0.2">
      <c r="R415">
        <v>222458.74757400004</v>
      </c>
    </row>
    <row r="416" spans="18:18" x14ac:dyDescent="0.2">
      <c r="R416">
        <v>18728.439680000003</v>
      </c>
    </row>
    <row r="417" spans="18:18" x14ac:dyDescent="0.2">
      <c r="R417">
        <v>268167.84566799999</v>
      </c>
    </row>
    <row r="418" spans="18:18" x14ac:dyDescent="0.2">
      <c r="R418">
        <v>103006.41824000001</v>
      </c>
    </row>
    <row r="419" spans="18:18" x14ac:dyDescent="0.2">
      <c r="R419">
        <v>145835.72510500005</v>
      </c>
    </row>
    <row r="420" spans="18:18" x14ac:dyDescent="0.2">
      <c r="R420">
        <v>195478.08916000003</v>
      </c>
    </row>
    <row r="421" spans="18:18" x14ac:dyDescent="0.2">
      <c r="R421">
        <v>231822.96741400004</v>
      </c>
    </row>
  </sheetData>
  <protectedRanges>
    <protectedRange sqref="F27:F29 F44:F46 F35:F37" name="Alue1"/>
  </protectedRanges>
  <mergeCells count="1">
    <mergeCell ref="A3:J3"/>
  </mergeCells>
  <phoneticPr fontId="3" type="noConversion"/>
  <pageMargins left="0.75" right="0.75" top="1" bottom="1"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0" ma:contentTypeDescription="Luo uusi asiakirja." ma:contentTypeScope="" ma:versionID="b425b55f6b70fb32d96661fb637a9d3c">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460bab6569bf612e64a908be64624303"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1BC269-F5BC-487D-831E-E75A3C38B10C}">
  <ds:schemaRefs>
    <ds:schemaRef ds:uri="http://schemas.microsoft.com/office/2006/metadata/longProperties"/>
  </ds:schemaRefs>
</ds:datastoreItem>
</file>

<file path=customXml/itemProps2.xml><?xml version="1.0" encoding="utf-8"?>
<ds:datastoreItem xmlns:ds="http://schemas.openxmlformats.org/officeDocument/2006/customXml" ds:itemID="{C4ADDE2A-8951-49B1-BE1A-39BF4E92D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99AD3D-04B0-48A3-97D2-60F52D1AB070}">
  <ds:schemaRefs>
    <ds:schemaRef ds:uri="http://schemas.microsoft.com/sharepoint/v3/contenttype/forms"/>
  </ds:schemaRefs>
</ds:datastoreItem>
</file>

<file path=customXml/itemProps4.xml><?xml version="1.0" encoding="utf-8"?>
<ds:datastoreItem xmlns:ds="http://schemas.openxmlformats.org/officeDocument/2006/customXml" ds:itemID="{6C3501B7-C252-47B5-BBBD-82CFFF7DA9D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12</vt:i4>
      </vt:variant>
      <vt:variant>
        <vt:lpstr>Nimetyt alueet</vt:lpstr>
      </vt:variant>
      <vt:variant>
        <vt:i4>101</vt:i4>
      </vt:variant>
    </vt:vector>
  </HeadingPairs>
  <TitlesOfParts>
    <vt:vector size="113" baseType="lpstr">
      <vt:lpstr>Tietoa aineistosta</vt:lpstr>
      <vt:lpstr>1.Käyttöohjeet</vt:lpstr>
      <vt:lpstr>2.Yhteenveto</vt:lpstr>
      <vt:lpstr>3.Ikärakenne</vt:lpstr>
      <vt:lpstr>4.Muut lask. kustannukset</vt:lpstr>
      <vt:lpstr>5.Lisäosat</vt:lpstr>
      <vt:lpstr>6.Vähennykset ja lisäykset</vt:lpstr>
      <vt:lpstr>7.Tulopohjan tasaus</vt:lpstr>
      <vt:lpstr>7.Kotikuntakorvaukset</vt:lpstr>
      <vt:lpstr>tiedot</vt:lpstr>
      <vt:lpstr>8.Opetus ja kulttuuri, muu vos</vt:lpstr>
      <vt:lpstr>9.Lukio</vt:lpstr>
      <vt:lpstr>hyte_1</vt:lpstr>
      <vt:lpstr>ikar_1</vt:lpstr>
      <vt:lpstr>ikar_11</vt:lpstr>
      <vt:lpstr>ikar_12</vt:lpstr>
      <vt:lpstr>ikar_13</vt:lpstr>
      <vt:lpstr>ikar_14</vt:lpstr>
      <vt:lpstr>ikar_16</vt:lpstr>
      <vt:lpstr>ikar_2</vt:lpstr>
      <vt:lpstr>ikar_3</vt:lpstr>
      <vt:lpstr>ikar_4</vt:lpstr>
      <vt:lpstr>ikar_5</vt:lpstr>
      <vt:lpstr>ikar_6</vt:lpstr>
      <vt:lpstr>ikar_7</vt:lpstr>
      <vt:lpstr>ikar_8</vt:lpstr>
      <vt:lpstr>ikar_9</vt:lpstr>
      <vt:lpstr>jm_1</vt:lpstr>
      <vt:lpstr>kkk_1</vt:lpstr>
      <vt:lpstr>kkk_2</vt:lpstr>
      <vt:lpstr>kkk_3</vt:lpstr>
      <vt:lpstr>kunta</vt:lpstr>
      <vt:lpstr>lo_1</vt:lpstr>
      <vt:lpstr>lo_2</vt:lpstr>
      <vt:lpstr>lo_3</vt:lpstr>
      <vt:lpstr>lo_4</vt:lpstr>
      <vt:lpstr>lo_5</vt:lpstr>
      <vt:lpstr>lo_6</vt:lpstr>
      <vt:lpstr>lo_7</vt:lpstr>
      <vt:lpstr>muutla_1</vt:lpstr>
      <vt:lpstr>muutla_10</vt:lpstr>
      <vt:lpstr>muutla_11</vt:lpstr>
      <vt:lpstr>muutla_12</vt:lpstr>
      <vt:lpstr>muutla_13</vt:lpstr>
      <vt:lpstr>muutla_14</vt:lpstr>
      <vt:lpstr>muutla_15</vt:lpstr>
      <vt:lpstr>muutla_16</vt:lpstr>
      <vt:lpstr>muutla_17</vt:lpstr>
      <vt:lpstr>muutla_18</vt:lpstr>
      <vt:lpstr>muutla_2</vt:lpstr>
      <vt:lpstr>muutla_3</vt:lpstr>
      <vt:lpstr>muutla_4</vt:lpstr>
      <vt:lpstr>muutla_5</vt:lpstr>
      <vt:lpstr>muutla_6</vt:lpstr>
      <vt:lpstr>muutla_7</vt:lpstr>
      <vt:lpstr>muutla_8</vt:lpstr>
      <vt:lpstr>muutla_9</vt:lpstr>
      <vt:lpstr>numero</vt:lpstr>
      <vt:lpstr>okm</vt:lpstr>
      <vt:lpstr>sote_1</vt:lpstr>
      <vt:lpstr>sote_2</vt:lpstr>
      <vt:lpstr>sote_3</vt:lpstr>
      <vt:lpstr>sote_4</vt:lpstr>
      <vt:lpstr>tasa_1</vt:lpstr>
      <vt:lpstr>'1.Käyttöohjeet'!Tulostusalue</vt:lpstr>
      <vt:lpstr>'2.Yhteenveto'!Tulostusalue</vt:lpstr>
      <vt:lpstr>'7.Kotikuntakorvaukset'!Tulostusalue</vt:lpstr>
      <vt:lpstr>'8.Opetus ja kulttuuri, muu vos'!Tulostusalue</vt:lpstr>
      <vt:lpstr>vl_1</vt:lpstr>
      <vt:lpstr>vl_10</vt:lpstr>
      <vt:lpstr>vl_11</vt:lpstr>
      <vt:lpstr>vl_12</vt:lpstr>
      <vt:lpstr>vl_13</vt:lpstr>
      <vt:lpstr>vl_14</vt:lpstr>
      <vt:lpstr>vl_15</vt:lpstr>
      <vt:lpstr>vl_16</vt:lpstr>
      <vt:lpstr>vl_17</vt:lpstr>
      <vt:lpstr>vl_18</vt:lpstr>
      <vt:lpstr>vl_19</vt:lpstr>
      <vt:lpstr>vl_2</vt:lpstr>
      <vt:lpstr>vl_20</vt:lpstr>
      <vt:lpstr>vl_21</vt:lpstr>
      <vt:lpstr>vl_22</vt:lpstr>
      <vt:lpstr>vl_23</vt:lpstr>
      <vt:lpstr>vl_24</vt:lpstr>
      <vt:lpstr>vl_25</vt:lpstr>
      <vt:lpstr>vl_26</vt:lpstr>
      <vt:lpstr>vl_27</vt:lpstr>
      <vt:lpstr>vl_28</vt:lpstr>
      <vt:lpstr>vl_29</vt:lpstr>
      <vt:lpstr>vl_3</vt:lpstr>
      <vt:lpstr>vl_4</vt:lpstr>
      <vt:lpstr>vl_5</vt:lpstr>
      <vt:lpstr>vl_6</vt:lpstr>
      <vt:lpstr>vl_7</vt:lpstr>
      <vt:lpstr>vl_8</vt:lpstr>
      <vt:lpstr>vl_9</vt:lpstr>
      <vt:lpstr>vos_maks</vt:lpstr>
      <vt:lpstr>vos_maksatus</vt:lpstr>
      <vt:lpstr>vosC</vt:lpstr>
      <vt:lpstr>vosD</vt:lpstr>
      <vt:lpstr>vosE</vt:lpstr>
      <vt:lpstr>vosF</vt:lpstr>
      <vt:lpstr>vosG</vt:lpstr>
      <vt:lpstr>vosH</vt:lpstr>
      <vt:lpstr>vosI</vt:lpstr>
      <vt:lpstr>vosJ</vt:lpstr>
      <vt:lpstr>vosK</vt:lpstr>
      <vt:lpstr>vosL</vt:lpstr>
      <vt:lpstr>vosM</vt:lpstr>
      <vt:lpstr>vosN</vt:lpstr>
      <vt:lpstr>vosO</vt:lpstr>
      <vt:lpstr>vosP</vt:lpstr>
    </vt:vector>
  </TitlesOfParts>
  <Manager>Jouko HeikkiläJan Björkwall</Manager>
  <Company>Kuntaliitto/Kuntatalous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Valtionosuuslaskuri 2015 kunnalle</dc:title>
  <dc:subject/>
  <dc:creator>Björkwall Jan</dc:creator>
  <cp:keywords>Valtionosuudet</cp:keywords>
  <dc:description/>
  <cp:lastModifiedBy>Riikonen Olli</cp:lastModifiedBy>
  <cp:revision/>
  <cp:lastPrinted>2023-09-27T05:07:42Z</cp:lastPrinted>
  <dcterms:created xsi:type="dcterms:W3CDTF">2009-11-13T07:40:31Z</dcterms:created>
  <dcterms:modified xsi:type="dcterms:W3CDTF">2024-03-22T13:21:38Z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G94TWSLYV3F3-10977-6</vt:lpwstr>
  </property>
  <property fmtid="{D5CDD505-2E9C-101B-9397-08002B2CF9AE}" pid="3" name="_dlc_DocIdItemGuid">
    <vt:lpwstr>da0710d3-609a-4fad-9489-b7d9d8d26918</vt:lpwstr>
  </property>
  <property fmtid="{D5CDD505-2E9C-101B-9397-08002B2CF9AE}" pid="4" name="_dlc_DocIdUrl">
    <vt:lpwstr>http://www.kunnat.net/fi/asiantuntijapalvelut/kuntatalous/valtionosuudet/valtionosuuslaskelmat/valtionosuudet-vuonna-2015/valtionosuuslaskuri-2015/_layouts/DocIdRedir.aspx?ID=G94TWSLYV3F3-10977-6, G94TWSLYV3F3-10977-6</vt:lpwstr>
  </property>
  <property fmtid="{D5CDD505-2E9C-101B-9397-08002B2CF9AE}" pid="5" name="Theme">
    <vt:lpwstr/>
  </property>
  <property fmtid="{D5CDD505-2E9C-101B-9397-08002B2CF9AE}" pid="6" name="ExpertService">
    <vt:lpwstr>7;#Kuntatalous|f60f4e25-53fd-466c-b326-d92406949689</vt:lpwstr>
  </property>
  <property fmtid="{D5CDD505-2E9C-101B-9397-08002B2CF9AE}" pid="7" name="TaxCatchAll">
    <vt:lpwstr>7;#Kuntatalous|f60f4e25-53fd-466c-b326-d92406949689</vt:lpwstr>
  </property>
  <property fmtid="{D5CDD505-2E9C-101B-9397-08002B2CF9AE}" pid="8" name="KN2Keywords">
    <vt:lpwstr/>
  </property>
  <property fmtid="{D5CDD505-2E9C-101B-9397-08002B2CF9AE}" pid="9" name="KN2Description">
    <vt:lpwstr>Laskuri on päivitetty 27.1.2015.</vt:lpwstr>
  </property>
  <property fmtid="{D5CDD505-2E9C-101B-9397-08002B2CF9AE}" pid="10" name="KN2LanguageTaxHTField0">
    <vt:lpwstr/>
  </property>
  <property fmtid="{D5CDD505-2E9C-101B-9397-08002B2CF9AE}" pid="11" name="Municipality">
    <vt:lpwstr/>
  </property>
  <property fmtid="{D5CDD505-2E9C-101B-9397-08002B2CF9AE}" pid="12" name="ThemeTaxHTField0">
    <vt:lpwstr/>
  </property>
  <property fmtid="{D5CDD505-2E9C-101B-9397-08002B2CF9AE}" pid="13" name="MunicipalityTaxHTField0">
    <vt:lpwstr/>
  </property>
  <property fmtid="{D5CDD505-2E9C-101B-9397-08002B2CF9AE}" pid="14" name="ExpertServiceTaxHTField0">
    <vt:lpwstr>Kuntatalous|f60f4e25-53fd-466c-b326-d92406949689</vt:lpwstr>
  </property>
  <property fmtid="{D5CDD505-2E9C-101B-9397-08002B2CF9AE}" pid="15" name="KN2KeywordsTaxHTField0">
    <vt:lpwstr/>
  </property>
  <property fmtid="{D5CDD505-2E9C-101B-9397-08002B2CF9AE}" pid="16" name="KN2ArticleDateTime">
    <vt:lpwstr>2015-04-27T09:46:00Z</vt:lpwstr>
  </property>
  <property fmtid="{D5CDD505-2E9C-101B-9397-08002B2CF9AE}" pid="17" name="KN2Language">
    <vt:lpwstr/>
  </property>
  <property fmtid="{D5CDD505-2E9C-101B-9397-08002B2CF9AE}" pid="18" name="ContentTypeId">
    <vt:lpwstr>0x01010066000AE223E22E49AE9A6766EBE498ED</vt:lpwstr>
  </property>
</Properties>
</file>