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80" windowWidth="15360" windowHeight="8310" tabRatio="783" firstSheet="1" activeTab="2"/>
  </bookViews>
  <sheets>
    <sheet name="tiedot" sheetId="1" state="hidden" r:id="rId1"/>
    <sheet name="1.Täyttöohjeet" sheetId="2" r:id="rId2"/>
    <sheet name="2.Yhteenveto" sheetId="3" r:id="rId3"/>
    <sheet name="3.Ikärakenne" sheetId="4" r:id="rId4"/>
    <sheet name="4.Muut lask. kustannukset" sheetId="5" r:id="rId5"/>
    <sheet name="5.Lisäosat" sheetId="6" r:id="rId6"/>
    <sheet name="6.Vähennykset ja lisäykset" sheetId="7" r:id="rId7"/>
    <sheet name="7.Järjestelmämuutos 2015" sheetId="8" r:id="rId8"/>
    <sheet name="8.Kotikuntakorvaukset" sheetId="9" r:id="rId9"/>
    <sheet name="9.Opetus ja kulttuuri, muu vos" sheetId="10" r:id="rId10"/>
    <sheet name="10.Lukio" sheetId="11" r:id="rId11"/>
  </sheets>
  <definedNames>
    <definedName name="ikar_1">'tiedot'!$Q$2:$Q$296</definedName>
    <definedName name="ikar_11">'tiedot'!$Z$2:$Z$296</definedName>
    <definedName name="ikar_12">'tiedot'!$AA$2:$AA$296</definedName>
    <definedName name="ikar_13">'tiedot'!$AB$2:$AB$296</definedName>
    <definedName name="ikar_14">'tiedot'!$AC$2:$AC$296</definedName>
    <definedName name="ikar_16">'tiedot'!$AD$2:$AD$296</definedName>
    <definedName name="ikar_2">'tiedot'!$R$2:$R$296</definedName>
    <definedName name="ikar_3">'tiedot'!$S$2:$S$296</definedName>
    <definedName name="ikar_4">'tiedot'!$T$2:$T$296</definedName>
    <definedName name="ikar_5">'tiedot'!$U$2:$U$296</definedName>
    <definedName name="ikar_6">'tiedot'!$V$2:$V$296</definedName>
    <definedName name="ikar_7">'tiedot'!$W$2:$W$296</definedName>
    <definedName name="ikar_8">'tiedot'!$X$2:$X$296</definedName>
    <definedName name="ikar_9">'tiedot'!$Y$2:$Y$296</definedName>
    <definedName name="jm_1">'tiedot'!$CF$2:$CF$296</definedName>
    <definedName name="kkk_1">'tiedot'!$CI$2:$CI$296</definedName>
    <definedName name="kunta">'tiedot'!$B$2:$B$296</definedName>
    <definedName name="lo_1">'tiedot'!$BB$2:$BB$296</definedName>
    <definedName name="lo_2">'tiedot'!$BC$2:$BC$296</definedName>
    <definedName name="lo_3">'tiedot'!$BD$2:$BD$296</definedName>
    <definedName name="lo_4">'tiedot'!$BE$2:$BE$296</definedName>
    <definedName name="lo_5">'tiedot'!$BF$2:$BF$296</definedName>
    <definedName name="lo_6">'tiedot'!$BG$2:$BG$296</definedName>
    <definedName name="lo_7">'tiedot'!$BH$2:$BH$296</definedName>
    <definedName name="muutla_1">'tiedot'!$AJ$2:$AJ$296</definedName>
    <definedName name="muutla_10">'tiedot'!$AS$2:$AS$296</definedName>
    <definedName name="muutla_11">'tiedot'!$AU$2:$AU$296</definedName>
    <definedName name="muutla_12">'tiedot'!$AV$2:$AV$296</definedName>
    <definedName name="muutla_13">'tiedot'!$AW$2:$AW$296</definedName>
    <definedName name="muutla_14">'tiedot'!$AX$2:$AX$296</definedName>
    <definedName name="muutla_15">'tiedot'!$AY$2:$AY$296</definedName>
    <definedName name="muutla_16">'tiedot'!$AZ$2:$AZ$296</definedName>
    <definedName name="muutla_17">'tiedot'!$BA$2:$BA$296</definedName>
    <definedName name="muutla_18">'tiedot'!$AT$2:$AT$296</definedName>
    <definedName name="muutla_2">'tiedot'!$AK$2:$AK$296</definedName>
    <definedName name="muutla_3">'tiedot'!$AL$2:$AL$296</definedName>
    <definedName name="muutla_4">'tiedot'!$AM$2:$AM$296</definedName>
    <definedName name="muutla_5">'tiedot'!$AN$2:$AN$296</definedName>
    <definedName name="muutla_6">'tiedot'!$AO$2:$AO$296</definedName>
    <definedName name="muutla_7">'tiedot'!$AP$2:$AP$296</definedName>
    <definedName name="muutla_8">'tiedot'!$AQ$2:$AQ$296</definedName>
    <definedName name="muutla_9">'tiedot'!$AR$2:$AR$296</definedName>
    <definedName name="numero">'tiedot'!$A$2:$A$296</definedName>
    <definedName name="okm">'tiedot'!$CH$2:$CH$296</definedName>
    <definedName name="sair_0">'tiedot'!$AE$2:$AE$296</definedName>
    <definedName name="sair_1">'tiedot'!$AF$2:$AF$296</definedName>
    <definedName name="sair_2">'tiedot'!$AG$2:$AG$296</definedName>
    <definedName name="sair_3">'tiedot'!$AH$2:$AH$296</definedName>
    <definedName name="sair_4">'tiedot'!$AI$2:$AI$296</definedName>
    <definedName name="tasa_1">'tiedot'!$CG$2:$CG$296</definedName>
    <definedName name="_xlnm.Print_Area" localSheetId="1">'1.Täyttöohjeet'!$A$1:$M$105</definedName>
    <definedName name="_xlnm.Print_Area" localSheetId="8">'8.Kotikuntakorvaukset'!$E$10:$K$51</definedName>
    <definedName name="_xlnm.Print_Area" localSheetId="9">'9.Opetus ja kulttuuri, muu vos'!$A$1:$K$104</definedName>
    <definedName name="vl_1">'tiedot'!$BI$2:$BI$296</definedName>
    <definedName name="vl_10">'tiedot'!$BT$2:$BT$296</definedName>
    <definedName name="vl_11">'tiedot'!$BU$2:$BU$296</definedName>
    <definedName name="vl_12">'tiedot'!$BV$2:$BV$296</definedName>
    <definedName name="vl_13">'tiedot'!$BW$2:$BW$296</definedName>
    <definedName name="vl_14">'tiedot'!$BX$2:$BX$296</definedName>
    <definedName name="vl_15">'tiedot'!$CB$2:$CB$296</definedName>
    <definedName name="vl_16">'tiedot'!$CC$2:$CC$296</definedName>
    <definedName name="vl_17">'tiedot'!$CD$2:$CD$296</definedName>
    <definedName name="vl_18">'tiedot'!$CE$2:$CE$296</definedName>
    <definedName name="vl_19">'tiedot'!$BY$2:$BY$296</definedName>
    <definedName name="vl_2">'tiedot'!$BJ$2:$BJ$296</definedName>
    <definedName name="vl_20">'tiedot'!$BP$2:$BP$296</definedName>
    <definedName name="vl_21">'tiedot'!$BQ$2:$BQ$296</definedName>
    <definedName name="vl_22">'tiedot'!$BZ$2:$BZ$296</definedName>
    <definedName name="vl_23">'tiedot'!$CA$2:$CA$297</definedName>
    <definedName name="vl_3">'tiedot'!$BK$2:$BK$296</definedName>
    <definedName name="vl_4">'tiedot'!$BL$2:$BL$296</definedName>
    <definedName name="vl_5">'tiedot'!$BM$2:$BM$296</definedName>
    <definedName name="vl_6">'tiedot'!$BN$2:$BN$296</definedName>
    <definedName name="vl_7">'tiedot'!$BO$2:$BO$296</definedName>
    <definedName name="vl_8">'tiedot'!$BR$2:$BR$296</definedName>
    <definedName name="vl_9">'tiedot'!$BS$2:$BS$296</definedName>
    <definedName name="vos_maks">'tiedot'!$CJ$2:$CJ$296</definedName>
    <definedName name="vosC">'tiedot'!$C$2:$C$296</definedName>
    <definedName name="vosD">'tiedot'!$D$2:$D$296</definedName>
    <definedName name="vosE">'tiedot'!$E$2:$E$296</definedName>
    <definedName name="vosF">'tiedot'!$F$2:$F$296</definedName>
    <definedName name="vosG">'tiedot'!$G$2:$G$296</definedName>
    <definedName name="vosH">'tiedot'!$H$2:$H$296</definedName>
    <definedName name="vosI">'tiedot'!$I$2:$I$296</definedName>
    <definedName name="vosJ">'tiedot'!$J$2:$J$296</definedName>
    <definedName name="vosK">'tiedot'!$K$2:$K$296</definedName>
    <definedName name="vosL">'tiedot'!$L$2:$L$296</definedName>
    <definedName name="vosM">'tiedot'!$M$2:$M$296</definedName>
    <definedName name="vosN">'tiedot'!$N$2:$N$296</definedName>
    <definedName name="vosO">'tiedot'!$O$2:$O$296</definedName>
    <definedName name="vosP">'tiedot'!$P$2:$P$296</definedName>
  </definedNames>
  <calcPr fullCalcOnLoad="1"/>
</workbook>
</file>

<file path=xl/comments10.xml><?xml version="1.0" encoding="utf-8"?>
<comments xmlns="http://schemas.openxmlformats.org/spreadsheetml/2006/main">
  <authors>
    <author>Lehtonen Sanna</author>
  </authors>
  <commentList>
    <comment ref="B26" authorId="0">
      <text>
        <r>
          <rPr>
            <b/>
            <sz val="9"/>
            <rFont val="Tahoma"/>
            <family val="2"/>
          </rPr>
          <t>Lehtonen Sanna:</t>
        </r>
        <r>
          <rPr>
            <sz val="9"/>
            <rFont val="Tahoma"/>
            <family val="2"/>
          </rPr>
          <t xml:space="preserve">
Kunnan omarahoitusosuus lukiokoulutuksen, ammatillisen peruskoulutuksen ja ammattikorkeakoulujen käyttökustannuksiin määräytyy valtionosuusprosentin perusteella. Valtionosuusprosentin ollessa 41,89 prosenttia on kuntien rahoitusosuus 58,11 prosenttia.
</t>
        </r>
      </text>
    </comment>
    <comment ref="C74" authorId="0">
      <text>
        <r>
          <rPr>
            <b/>
            <sz val="9"/>
            <rFont val="Tahoma"/>
            <family val="2"/>
          </rPr>
          <t>Lehtonen Sanna:</t>
        </r>
        <r>
          <rPr>
            <sz val="9"/>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6" authorId="0">
      <text>
        <r>
          <rPr>
            <b/>
            <sz val="9"/>
            <rFont val="Tahoma"/>
            <family val="2"/>
          </rPr>
          <t>Lehtonen Sanna:</t>
        </r>
        <r>
          <rPr>
            <sz val="9"/>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90" authorId="0">
      <text>
        <r>
          <rPr>
            <b/>
            <sz val="9"/>
            <rFont val="Tahoma"/>
            <family val="2"/>
          </rPr>
          <t>Lehtonen Sanna:</t>
        </r>
        <r>
          <rPr>
            <sz val="9"/>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92" authorId="0">
      <text>
        <r>
          <rPr>
            <b/>
            <sz val="9"/>
            <rFont val="Tahoma"/>
            <family val="2"/>
          </rPr>
          <t>Lehtonen Sanna:</t>
        </r>
        <r>
          <rPr>
            <sz val="9"/>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94" authorId="0">
      <text>
        <r>
          <rPr>
            <b/>
            <sz val="9"/>
            <rFont val="Tahoma"/>
            <family val="2"/>
          </rPr>
          <t>Lehtonen Sanna:</t>
        </r>
        <r>
          <rPr>
            <sz val="9"/>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 ref="C81" authorId="0">
      <text>
        <r>
          <rPr>
            <b/>
            <sz val="9"/>
            <rFont val="Tahoma"/>
            <family val="2"/>
          </rPr>
          <t>Lehtonen Sanna:</t>
        </r>
        <r>
          <rPr>
            <sz val="9"/>
            <rFont val="Tahoma"/>
            <family val="2"/>
          </rPr>
          <t xml:space="preserve">
Yksikköhintaa korotetaan seuraavien tekijöiden perusteella (A 805/1998, 3§):
- opistossa majoitettujen opiskelijoiden opiskelijaviikkojen osalta 30%
- vaikeasti vammaisten opiskelijaviikkojen osalta 97% kansanopistoille, joiden pääasiallisen koulutustehtävän muodostaa vaikeasti vammaisille järjestettävä koulutus (ns. erityiskansanopistot), ja 32% kansanopistoille, joiden koulutustehtävään kuuluu osana vaikeasti vammaisille järjestettävä koulutus 
- niistä opiskelijaviikoista, jotka osana kansanopiston ylläpitämisluvan mukaista koulutustehtävää ovat työelämän aktiiviseen kansalaisuuteen ja työolojen kehittämiseen tarkoitettua koulutusta tai erityisestä syystä määrättävää muuta erityistä koulutustehtävää, yksikköhintaa korotetaan 26%
(pohja-arvo x opiskelijaviikot + korotus% x pohja-arvo x korotettavat opiskelijaviikot) / opiskelijaviikot</t>
        </r>
      </text>
    </comment>
  </commentList>
</comments>
</file>

<file path=xl/comments11.xml><?xml version="1.0" encoding="utf-8"?>
<comments xmlns="http://schemas.openxmlformats.org/spreadsheetml/2006/main">
  <authors>
    <author>Lehtonen Sanna</author>
  </authors>
  <commentList>
    <comment ref="H37" authorId="0">
      <text>
        <r>
          <rPr>
            <b/>
            <sz val="9"/>
            <rFont val="Tahoma"/>
            <family val="2"/>
          </rPr>
          <t>Lehtonen Sanna:</t>
        </r>
        <r>
          <rPr>
            <sz val="9"/>
            <rFont val="Tahoma"/>
            <family val="2"/>
          </rPr>
          <t xml:space="preserve">
Lukiokoulutuksen rahoituksen määrää laskettaessa käytetään kahden laskentapäivän oppilasmäärien kuukausilla painotettua keskiarvioa (kevät 7/12 ja syksy 5/12). Aineopiskelijoiden lukumäärä otetaan huomioon painottamattomana. Laskettaessa vuoden 2014 rahoitusta laskentapäivät lukiokoulutuksessa ovat 20.1.2014 ja 20.9.2014.</t>
        </r>
      </text>
    </comment>
  </commentList>
</comments>
</file>

<file path=xl/sharedStrings.xml><?xml version="1.0" encoding="utf-8"?>
<sst xmlns="http://schemas.openxmlformats.org/spreadsheetml/2006/main" count="811" uniqueCount="691">
  <si>
    <t>Kunta:</t>
  </si>
  <si>
    <t>€/asukas</t>
  </si>
  <si>
    <t>Laskennalliset</t>
  </si>
  <si>
    <t>Yhteensä</t>
  </si>
  <si>
    <t>hinta</t>
  </si>
  <si>
    <t>määrä</t>
  </si>
  <si>
    <t>kerroin</t>
  </si>
  <si>
    <t>Aamu- ja iltapäivätoiminta</t>
  </si>
  <si>
    <t>Kansalaisopisto</t>
  </si>
  <si>
    <t>Liikunta</t>
  </si>
  <si>
    <t>Nuorisotyö</t>
  </si>
  <si>
    <t>€/alle 29-v.</t>
  </si>
  <si>
    <t>Museo</t>
  </si>
  <si>
    <t>€/henkilötyöv.</t>
  </si>
  <si>
    <t>Teatteri</t>
  </si>
  <si>
    <t>Orkesteri</t>
  </si>
  <si>
    <t>€/oppilas</t>
  </si>
  <si>
    <t>Ammatillinen koulutus</t>
  </si>
  <si>
    <t>Erillisen laskelman mukaan</t>
  </si>
  <si>
    <t>Muut mahdolliset lisät</t>
  </si>
  <si>
    <t>Keskimääräinen yksikköhinta</t>
  </si>
  <si>
    <t>Tasauskerroin</t>
  </si>
  <si>
    <t>Oppilas-</t>
  </si>
  <si>
    <t>Pisteitä</t>
  </si>
  <si>
    <t>määrä 1)</t>
  </si>
  <si>
    <t>Painotettu pistearvo</t>
  </si>
  <si>
    <t>Aikuis-</t>
  </si>
  <si>
    <t>oppilaita 2)</t>
  </si>
  <si>
    <t>Painotettu oppilasmäärä</t>
  </si>
  <si>
    <t>Aineopiskelun laskennalliset opiskelijat yhteensä 3)</t>
  </si>
  <si>
    <t>Lukion valtionosuuden laskennallinen peruste:</t>
  </si>
  <si>
    <t>Aikuisoppilaiden valtionosuuden laskennallinen peruste:</t>
  </si>
  <si>
    <t>Aineopiskelun laskennallinen peruste:</t>
  </si>
  <si>
    <t>2) Pois lukien aineopiskelun laskennalliset opiskelijat</t>
  </si>
  <si>
    <t xml:space="preserve">   ei oteta huomioon.</t>
  </si>
  <si>
    <t>Pidennetty oppivelvollisuus</t>
  </si>
  <si>
    <t>Lisäopetus</t>
  </si>
  <si>
    <t>Muut kuin oppivelvolliset</t>
  </si>
  <si>
    <t>Määrä</t>
  </si>
  <si>
    <t>13-15-vuotiaat</t>
  </si>
  <si>
    <t>7-12-vuotiaat</t>
  </si>
  <si>
    <t>6-vuotiaat</t>
  </si>
  <si>
    <t>Peruste</t>
  </si>
  <si>
    <t>Summa</t>
  </si>
  <si>
    <t>Maahanmuuttajien</t>
  </si>
  <si>
    <t>valmistava opetus</t>
  </si>
  <si>
    <t>Kotikuntakorv. perusosa</t>
  </si>
  <si>
    <t>YHTEENVETO</t>
  </si>
  <si>
    <t>Ohjeet:</t>
  </si>
  <si>
    <t>1)</t>
  </si>
  <si>
    <t>opetuksen lisä</t>
  </si>
  <si>
    <t>Joustavan perus-</t>
  </si>
  <si>
    <t>Yksikköhinta</t>
  </si>
  <si>
    <t>Sisäoppilaitoslisä</t>
  </si>
  <si>
    <t>Valtionosuuteen tehtävät vähennykset ja lisäykset yhteensä</t>
  </si>
  <si>
    <t>VÄHENNYKSET</t>
  </si>
  <si>
    <t>LISÄYKSET</t>
  </si>
  <si>
    <t>Lisäykset yhteensä</t>
  </si>
  <si>
    <t>VÄHENNYKSET JA LISÄYKSET YHTEENSÄ</t>
  </si>
  <si>
    <t>Vähennykset yhteensä</t>
  </si>
  <si>
    <t>Kotikuntakorvaukset esi- ja perusopetuksessa</t>
  </si>
  <si>
    <t>3) Lukuvuoden kurssit jaettuna 15:llä. Muussa oppilaitoksessa suoritettavia aineopiskelun kursseja</t>
  </si>
  <si>
    <t>Lukio</t>
  </si>
  <si>
    <t>Oppilaitosmuotoinen ammatillinen lisäkoulutus</t>
  </si>
  <si>
    <t>(Siirtyy välilehdestä "Lukio")</t>
  </si>
  <si>
    <t>Oppisopimuskoulutus (perus- ja lisäkoulutus)</t>
  </si>
  <si>
    <t>Esi- ja perusopetuksen kotikuntakorvauksen</t>
  </si>
  <si>
    <t>Kotikunta-</t>
  </si>
  <si>
    <t>korvauksen</t>
  </si>
  <si>
    <t>perusosa</t>
  </si>
  <si>
    <t>Akaa</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</si>
  <si>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</si>
  <si>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</si>
  <si>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</si>
  <si>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</si>
  <si>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</si>
  <si>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</si>
  <si>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</si>
  <si>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</si>
  <si>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</si>
  <si>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</si>
  <si>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</si>
  <si>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</si>
  <si>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</si>
  <si>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</si>
  <si>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</si>
  <si>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</si>
  <si>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</si>
  <si>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</si>
  <si>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</si>
  <si>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</si>
  <si>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</si>
  <si>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</si>
  <si>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</si>
  <si>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</si>
  <si>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Heinola</t>
  </si>
  <si>
    <t>Heinävesi</t>
  </si>
  <si>
    <t>Helsinki</t>
  </si>
  <si>
    <t>Hirvensalmi</t>
  </si>
  <si>
    <t>Hollola</t>
  </si>
  <si>
    <t>Honkajoki</t>
  </si>
  <si>
    <t>Huittinen</t>
  </si>
  <si>
    <t>Humppila</t>
  </si>
  <si>
    <t>Hyrynsalmi</t>
  </si>
  <si>
    <t>Hyvinkää</t>
  </si>
  <si>
    <t>Hämeenkyrö</t>
  </si>
  <si>
    <t>Hämeenlinna</t>
  </si>
  <si>
    <t>Ii</t>
  </si>
  <si>
    <t>Iisalmi</t>
  </si>
  <si>
    <t>Iitti</t>
  </si>
  <si>
    <t>Ikaalinen</t>
  </si>
  <si>
    <t>Ilmajoki</t>
  </si>
  <si>
    <t>Ilomantsi</t>
  </si>
  <si>
    <t>Imatra</t>
  </si>
  <si>
    <t>Inari</t>
  </si>
  <si>
    <t>Inkoo</t>
  </si>
  <si>
    <t>Isojoki</t>
  </si>
  <si>
    <t>Isokyrö</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</si>
  <si>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</si>
  <si>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</si>
  <si>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</si>
  <si>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</si>
  <si>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</si>
  <si>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</si>
  <si>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</si>
  <si>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</si>
  <si>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</si>
  <si>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</si>
  <si>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</si>
  <si>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</si>
  <si>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</si>
  <si>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</si>
  <si>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</si>
  <si>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</si>
  <si>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</si>
  <si>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</si>
  <si>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</si>
  <si>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</si>
  <si>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</si>
  <si>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</si>
  <si>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</si>
  <si>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</si>
  <si>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</si>
  <si>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</si>
  <si>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</si>
  <si>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</si>
  <si>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</si>
  <si>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</si>
  <si>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</si>
  <si>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</si>
  <si>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Kemijärvi</t>
  </si>
  <si>
    <t>Keminmaa</t>
  </si>
  <si>
    <t>Kemiönsaari</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</si>
  <si>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</si>
  <si>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</si>
  <si>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</si>
  <si>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</si>
  <si>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</si>
  <si>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</si>
  <si>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</si>
  <si>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</si>
  <si>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</si>
  <si>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</si>
  <si>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</si>
  <si>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</si>
  <si>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</si>
  <si>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</si>
  <si>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</si>
  <si>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</si>
  <si>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</si>
  <si>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</si>
  <si>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</si>
  <si>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</si>
  <si>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</si>
  <si>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</si>
  <si>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</si>
  <si>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</si>
  <si>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</si>
  <si>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</si>
  <si>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</si>
  <si>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</si>
  <si>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</si>
  <si>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</si>
  <si>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</si>
  <si>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Lahti</t>
  </si>
  <si>
    <t>Laihia</t>
  </si>
  <si>
    <t>Laitila</t>
  </si>
  <si>
    <t>Lapinjärvi</t>
  </si>
  <si>
    <t>Lapinlahti</t>
  </si>
  <si>
    <t>Lappajärvi</t>
  </si>
  <si>
    <t>Lappeenranta</t>
  </si>
  <si>
    <t>Lapua</t>
  </si>
  <si>
    <t>Laukaa</t>
  </si>
  <si>
    <t>Lemi</t>
  </si>
  <si>
    <t>Lempäälä</t>
  </si>
  <si>
    <t>Leppävirta</t>
  </si>
  <si>
    <t>Lestijärvi</t>
  </si>
  <si>
    <t>Lieksa</t>
  </si>
  <si>
    <t>Lieto</t>
  </si>
  <si>
    <t>Liminka</t>
  </si>
  <si>
    <t>Liperi</t>
  </si>
  <si>
    <t>Lohja</t>
  </si>
  <si>
    <t>Loimaa</t>
  </si>
  <si>
    <t>Loppi</t>
  </si>
  <si>
    <t>Loviisa</t>
  </si>
  <si>
    <t>Luhanka</t>
  </si>
  <si>
    <t>Lumijoki</t>
  </si>
  <si>
    <t>Luoto</t>
  </si>
  <si>
    <t>Luumäki</t>
  </si>
  <si>
    <t>Maalahti</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</si>
  <si>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</si>
  <si>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</si>
  <si>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</si>
  <si>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</si>
  <si>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</si>
  <si>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</si>
  <si>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</si>
  <si>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</si>
  <si>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</si>
  <si>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</si>
  <si>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</si>
  <si>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</si>
  <si>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</si>
  <si>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</si>
  <si>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</si>
  <si>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</si>
  <si>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</si>
  <si>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</si>
  <si>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Nivala</t>
  </si>
  <si>
    <t>Nokia</t>
  </si>
  <si>
    <t>Nousiainen</t>
  </si>
  <si>
    <t>Nurmes</t>
  </si>
  <si>
    <t>Nurmijärvi</t>
  </si>
  <si>
    <t>Närpiö</t>
  </si>
  <si>
    <t>Orimattila</t>
  </si>
  <si>
    <t>Oripää</t>
  </si>
  <si>
    <t>Orivesi</t>
  </si>
  <si>
    <t>Oulainen</t>
  </si>
  <si>
    <t>Oulu</t>
  </si>
  <si>
    <t>Outokumpu</t>
  </si>
  <si>
    <t>Padasjoki</t>
  </si>
  <si>
    <t>Paimio</t>
  </si>
  <si>
    <t>Paltamo</t>
  </si>
  <si>
    <t>Parikkala</t>
  </si>
  <si>
    <t>Parkano</t>
  </si>
  <si>
    <t>Pedersöre</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</si>
  <si>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</si>
  <si>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</si>
  <si>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</si>
  <si>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</si>
  <si>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</si>
  <si>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</si>
  <si>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</si>
  <si>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</si>
  <si>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</si>
  <si>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</si>
  <si>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</si>
  <si>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</si>
  <si>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</si>
  <si>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</si>
  <si>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</si>
  <si>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</si>
  <si>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</si>
  <si>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</si>
  <si>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</si>
  <si>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</si>
  <si>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</si>
  <si>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Pyhtää</t>
  </si>
  <si>
    <t>Pyhäjoki</t>
  </si>
  <si>
    <t>Pyhäjärvi</t>
  </si>
  <si>
    <t>Pyhäntä</t>
  </si>
  <si>
    <t>Pyhäranta</t>
  </si>
  <si>
    <t>Pälkäne</t>
  </si>
  <si>
    <t>Pöytyä</t>
  </si>
  <si>
    <t>Raahe</t>
  </si>
  <si>
    <t>Raasepori</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</si>
  <si>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</si>
  <si>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</si>
  <si>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</si>
  <si>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</si>
  <si>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</si>
  <si>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</si>
  <si>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</si>
  <si>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</si>
  <si>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</si>
  <si>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</si>
  <si>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</si>
  <si>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</si>
  <si>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</si>
  <si>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</si>
  <si>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</si>
  <si>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</si>
  <si>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</si>
  <si>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</si>
  <si>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Sastamala</t>
  </si>
  <si>
    <t>Sauvo</t>
  </si>
  <si>
    <t>Savitaipale</t>
  </si>
  <si>
    <t>Savonlinna</t>
  </si>
  <si>
    <t>Savukoski</t>
  </si>
  <si>
    <t>Seinäjoki</t>
  </si>
  <si>
    <t>Sievi</t>
  </si>
  <si>
    <t>Siikainen</t>
  </si>
  <si>
    <t>Siikajoki</t>
  </si>
  <si>
    <t>Siikalatva</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</si>
  <si>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</si>
  <si>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</si>
  <si>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</si>
  <si>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</si>
  <si>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</si>
  <si>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</si>
  <si>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</si>
  <si>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</si>
  <si>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</si>
  <si>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</si>
  <si>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</si>
  <si>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</si>
  <si>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</si>
  <si>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</si>
  <si>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</si>
  <si>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</si>
  <si>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</si>
  <si>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</si>
  <si>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</si>
  <si>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</si>
  <si>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</si>
  <si>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</si>
  <si>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</si>
  <si>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</si>
  <si>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</si>
  <si>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</si>
  <si>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</si>
  <si>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</si>
  <si>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</si>
  <si>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</si>
  <si>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</si>
  <si>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</si>
  <si>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</si>
  <si>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</si>
  <si>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</si>
  <si>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</si>
  <si>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</si>
  <si>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</si>
  <si>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</si>
  <si>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</si>
  <si>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Valtimo</t>
  </si>
  <si>
    <t>Vantaa</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</si>
  <si>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</si>
  <si>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</si>
  <si>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</si>
  <si>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</si>
  <si>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</si>
  <si>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</si>
  <si>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</si>
  <si>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</si>
  <si>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</si>
  <si>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</si>
  <si>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</si>
  <si>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</si>
  <si>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</si>
  <si>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</si>
  <si>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</si>
  <si>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</si>
  <si>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</si>
  <si>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</si>
  <si>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Kunnan peruspalvelujen valtionosuuden rahoitusosuus</t>
  </si>
  <si>
    <t>Kunnan peruspalvelujen valtionosuus ennen tasausta</t>
  </si>
  <si>
    <t>Kunnan peruspalvelujen valtionosuus:</t>
  </si>
  <si>
    <t>Verotuloihin perustuva valtionosuuden tasaus (+/-)</t>
  </si>
  <si>
    <t>1. Kunnan peruspalvelujen valtionosuus</t>
  </si>
  <si>
    <t>Kotikuntakorvaustulot (+)</t>
  </si>
  <si>
    <t>Kotikuntakorvausmenot (-)</t>
  </si>
  <si>
    <t>Ikärakenne yhteensä:</t>
  </si>
  <si>
    <t>euroa</t>
  </si>
  <si>
    <t>kustannukset, euroa</t>
  </si>
  <si>
    <t>= tarkista vihreiden solujen valtakunnalliset tiedot</t>
  </si>
  <si>
    <t>= syötä kuntakohtaiset tiedot keltaisiin soluihin</t>
  </si>
  <si>
    <t>Ikärakenne</t>
  </si>
  <si>
    <t>SOSIAALIHUOLTO</t>
  </si>
  <si>
    <t>65-74-vuotiaat</t>
  </si>
  <si>
    <t>75-84-vuotiaat</t>
  </si>
  <si>
    <t>yli 84-vuotiaat</t>
  </si>
  <si>
    <t>perushinta</t>
  </si>
  <si>
    <t>KOTIKUNTAKORVAUSTULOT</t>
  </si>
  <si>
    <t>Kotikuntakorvausmenot yhteensä</t>
  </si>
  <si>
    <t>KOTIKUNTAKORVAUSMENOT</t>
  </si>
  <si>
    <t>Ylläpitäjäjärjestelmän laskennallinen peruste yhteensä</t>
  </si>
  <si>
    <t>Opetus- ja kulttuuritoimen rahoitusosuus</t>
  </si>
  <si>
    <t>Ylläpitäjien yksikköhintarahoitus</t>
  </si>
  <si>
    <t>ESI- JA PERUSOPETUKSEN OPPILASKOHTAISET LISÄT</t>
  </si>
  <si>
    <t>MUU OPETUS- JA KULTTUURITOIMEN VALTIONOSUUSRAHOITUS</t>
  </si>
  <si>
    <t>yksikkö</t>
  </si>
  <si>
    <t>yksikkö-</t>
  </si>
  <si>
    <t>oppilas-</t>
  </si>
  <si>
    <t>Esi- ja perusopetuksen oppilaskohtaiset lisät yhteensä</t>
  </si>
  <si>
    <t>suorite-</t>
  </si>
  <si>
    <t>vos-</t>
  </si>
  <si>
    <t>prosentti</t>
  </si>
  <si>
    <t>tasaus-</t>
  </si>
  <si>
    <t>Opetus- ja kulttuuritoimen valtionosuus yhteensä:</t>
  </si>
  <si>
    <t>Muu opetus- ja kulttuuritoimen valtionosuusrahoitus yhteensä</t>
  </si>
  <si>
    <t>Sivu 1</t>
  </si>
  <si>
    <t>Sivu 2</t>
  </si>
  <si>
    <t>LUKION YKSIKKÖHINTA</t>
  </si>
  <si>
    <t>1) Mikäli toisessa tai molemmissa kieliryhmissä on alle 200 oppilasta</t>
  </si>
  <si>
    <t>LUKION YKSIKKÖHINTARAHOITUKSEN LASKENNALLINEN PERUSTE</t>
  </si>
  <si>
    <t>Lukion yksikköhintarahoituksen laskennallinen peruste yhteensä</t>
  </si>
  <si>
    <t>Erityisen tehtävän lisäys (%)</t>
  </si>
  <si>
    <t>Tunnusluvun mukainen yksikköhinta</t>
  </si>
  <si>
    <t>Kaksikielisyys</t>
  </si>
  <si>
    <t>Klikkaa solu aktiiviseksi ja valitse kunta alasvetovalikosta</t>
  </si>
  <si>
    <t>Syrjäisyys</t>
  </si>
  <si>
    <t>Tarkista asukasluku</t>
  </si>
  <si>
    <t>Parainen</t>
  </si>
  <si>
    <t>Taulukon täyttöohje:</t>
  </si>
  <si>
    <t>euroa/asukas</t>
  </si>
  <si>
    <t xml:space="preserve"> - kuukausierä, maksetaan jokaisen kuukauden 11. päivään mennessä</t>
  </si>
  <si>
    <t xml:space="preserve">  Valitse, syötä tai tarkista sinisten kenttien tiedot</t>
  </si>
  <si>
    <t xml:space="preserve">  Tiedot siirtyvät automaattisesti työkirjan muista taulukoista keltaisiin kenttiin. Tarkista tiedot.</t>
  </si>
  <si>
    <t>Tarkista vihreiden solujen valtakunnalliset tiedot.</t>
  </si>
  <si>
    <t>Syötä kuntakohtaiset tiedot keltaisiin soluihin.</t>
  </si>
  <si>
    <t>(Tieto siirtyy automaattisesti taulukkoon "2. Yhteenveto".)</t>
  </si>
  <si>
    <r>
      <t xml:space="preserve">Valtionosuusmaksatus </t>
    </r>
    <r>
      <rPr>
        <sz val="10"/>
        <rFont val="Arial"/>
        <family val="0"/>
      </rPr>
      <t>(kunnan peruspalvelujen valtionosuus +/- OKM:n valtionosuus</t>
    </r>
  </si>
  <si>
    <t>Perushinta</t>
  </si>
  <si>
    <t>Tarkista vihreiden solujen tiedot.</t>
  </si>
  <si>
    <t>(0 tai 1)</t>
  </si>
  <si>
    <t>Veromenetyksen kompensaatio vuodelta 2010</t>
  </si>
  <si>
    <t>Veromenetyksen kompensaatio vuodelta 2011</t>
  </si>
  <si>
    <t>Veromenetyksen kompensaatio vuodelta 2012</t>
  </si>
  <si>
    <t>Veromenetyksen kompensaatio vuodelta 2013</t>
  </si>
  <si>
    <t>Työmarkkinatukikompensaatio (+/-)</t>
  </si>
  <si>
    <t>- mistä alle 29-vuotiaita</t>
  </si>
  <si>
    <t>YLLÄPITÄJÄN YKSIKKÖHINTARAHOITUS</t>
  </si>
  <si>
    <t>Maakuntien kehittämisraha</t>
  </si>
  <si>
    <t>Vakiomuotoisten tietoluovutusten hinnoittelumuutos</t>
  </si>
  <si>
    <t>Opiskelijavalintajärjestelmän uudistuksen rahoitus (OPH)</t>
  </si>
  <si>
    <t>Lääkäri- ja lääkintähelikopteritoiminnan rahoitus</t>
  </si>
  <si>
    <t>Ylläpitäjän lukion yksikköhinta</t>
  </si>
  <si>
    <t>Ylläpitäjän aikuisoppilaan yksikköhinta</t>
  </si>
  <si>
    <t>vosC</t>
  </si>
  <si>
    <t>vosD</t>
  </si>
  <si>
    <t>vosE</t>
  </si>
  <si>
    <t>vosF</t>
  </si>
  <si>
    <t>vosG</t>
  </si>
  <si>
    <t>vosH</t>
  </si>
  <si>
    <t>vosI</t>
  </si>
  <si>
    <t>vosJ</t>
  </si>
  <si>
    <t>vosK</t>
  </si>
  <si>
    <t>vosL</t>
  </si>
  <si>
    <t>vosM</t>
  </si>
  <si>
    <t>vosN</t>
  </si>
  <si>
    <t>vosO</t>
  </si>
  <si>
    <t>vosP</t>
  </si>
  <si>
    <t>ikar_1</t>
  </si>
  <si>
    <t>ikar_2</t>
  </si>
  <si>
    <t>ikar_3</t>
  </si>
  <si>
    <t>ikar_4</t>
  </si>
  <si>
    <t>ikar_5</t>
  </si>
  <si>
    <t>ikar_6</t>
  </si>
  <si>
    <t>ikar_7</t>
  </si>
  <si>
    <t>ikar_8</t>
  </si>
  <si>
    <t>ikar_9</t>
  </si>
  <si>
    <t>ikar_11</t>
  </si>
  <si>
    <t>ikar_12</t>
  </si>
  <si>
    <t>ikar_13</t>
  </si>
  <si>
    <t>ikar_14</t>
  </si>
  <si>
    <t>ikar_16</t>
  </si>
  <si>
    <t>muutla_1</t>
  </si>
  <si>
    <t>muutla_2</t>
  </si>
  <si>
    <t>muutla_3</t>
  </si>
  <si>
    <t>muutla_4</t>
  </si>
  <si>
    <t>muutla_5</t>
  </si>
  <si>
    <t>muutla_6</t>
  </si>
  <si>
    <t>muutla_7</t>
  </si>
  <si>
    <t>muutla_8</t>
  </si>
  <si>
    <t>muutla_9</t>
  </si>
  <si>
    <t>muutla_10</t>
  </si>
  <si>
    <t>muutla_11</t>
  </si>
  <si>
    <t>muutla_12</t>
  </si>
  <si>
    <t>muutla_13</t>
  </si>
  <si>
    <t>muutla_14</t>
  </si>
  <si>
    <t>muutla_15</t>
  </si>
  <si>
    <t>muutla_16</t>
  </si>
  <si>
    <t>muutla_17</t>
  </si>
  <si>
    <t>lo_1</t>
  </si>
  <si>
    <t>lo_2</t>
  </si>
  <si>
    <t>lo_3</t>
  </si>
  <si>
    <t>lo_4</t>
  </si>
  <si>
    <t>lo_5</t>
  </si>
  <si>
    <t>lo_6</t>
  </si>
  <si>
    <t>lo_7</t>
  </si>
  <si>
    <t>jm_1</t>
  </si>
  <si>
    <t>vl_1</t>
  </si>
  <si>
    <t>vl_2</t>
  </si>
  <si>
    <t>vl_3</t>
  </si>
  <si>
    <t>vl_4</t>
  </si>
  <si>
    <t>vl_5</t>
  </si>
  <si>
    <t>vl_6</t>
  </si>
  <si>
    <t>vl_7</t>
  </si>
  <si>
    <t>vl_8</t>
  </si>
  <si>
    <t>vl_9</t>
  </si>
  <si>
    <t>vl_10</t>
  </si>
  <si>
    <t>vl_11</t>
  </si>
  <si>
    <t>vl_12</t>
  </si>
  <si>
    <t>vl_13</t>
  </si>
  <si>
    <t>vl_14</t>
  </si>
  <si>
    <t>vl_15</t>
  </si>
  <si>
    <t>vl_16</t>
  </si>
  <si>
    <t>tasa_1</t>
  </si>
  <si>
    <t>Sairastavuus</t>
  </si>
  <si>
    <t>Muut laskennalliset kustannukset</t>
  </si>
  <si>
    <t>Lisäosat</t>
  </si>
  <si>
    <t xml:space="preserve">  +/- kotikuntakorvaukset; pl. harkinnanvarainen valtionosuuden korotus)</t>
  </si>
  <si>
    <t>sair_1</t>
  </si>
  <si>
    <t>vl_17</t>
  </si>
  <si>
    <t>vl_18</t>
  </si>
  <si>
    <t>Asukastiheys</t>
  </si>
  <si>
    <t>0-5-vuotiaat</t>
  </si>
  <si>
    <t>16-18-vuotiaat</t>
  </si>
  <si>
    <t>19-64-vuotiaat</t>
  </si>
  <si>
    <t>Ikärakenteen perusteella määräytyvät laskennalliset kustannukset yhteensä</t>
  </si>
  <si>
    <t>Sairastavuuden laskennalliset kustannukset sekä</t>
  </si>
  <si>
    <t>Sairastavuuden laskennallinen kustannus</t>
  </si>
  <si>
    <t>MUUT LASKENNALLISET KUSTANNUKSET</t>
  </si>
  <si>
    <t>Työttömyys</t>
  </si>
  <si>
    <t>Työttömien määrä</t>
  </si>
  <si>
    <t>Työttömyyskerroin</t>
  </si>
  <si>
    <t>Työvoima</t>
  </si>
  <si>
    <t>Koko maa</t>
  </si>
  <si>
    <t>Vieraskielisyys</t>
  </si>
  <si>
    <t>Vieraskielisten määrä</t>
  </si>
  <si>
    <t>Vieraskielisten osuus</t>
  </si>
  <si>
    <t>Koko maan minimi</t>
  </si>
  <si>
    <t>Vieraskielisyyskerroin</t>
  </si>
  <si>
    <t>Onko kunta kaksikielinen? (0, 1, 2, 3)</t>
  </si>
  <si>
    <t>0 = yksikielinen suomenkielinen</t>
  </si>
  <si>
    <t>1 = kaksikielinen, suomi pääkieli</t>
  </si>
  <si>
    <t>2 = yksikielinen ruotsinkielinen</t>
  </si>
  <si>
    <t>3 = kaksikielinen, ruotsi pääkieli</t>
  </si>
  <si>
    <t>A) 7 % kokonaisuudesta asukasmäärään perustuen</t>
  </si>
  <si>
    <t>B) 93 % kokonaisuudesta ruotsinkielisten määrään perustuen</t>
  </si>
  <si>
    <t>Ruotsinkielisten määrä</t>
  </si>
  <si>
    <t>Saaristoisuus</t>
  </si>
  <si>
    <t>Onko kunta saaristokunta? (0, 1, 2, 3)</t>
  </si>
  <si>
    <t>0 = ei saaristo- eikä saaristo-osakunta</t>
  </si>
  <si>
    <t>Työttömyyden perusteella yhteensä</t>
  </si>
  <si>
    <t>Vieraskielisyyden perusteella yhteensä</t>
  </si>
  <si>
    <t>Kaksikielisyyden perusteella yhteensä</t>
  </si>
  <si>
    <t>Saaristoisuuden perusteella yhteensä</t>
  </si>
  <si>
    <t>Maapinta-ala</t>
  </si>
  <si>
    <t>Asukastiheyden perusteella yhteensä</t>
  </si>
  <si>
    <t>Asukastiheyskerroin</t>
  </si>
  <si>
    <t>Koulutustausta</t>
  </si>
  <si>
    <t>Ilman perusasteen jälkeistä tutkintoa olevat 30–54-vuotiaat</t>
  </si>
  <si>
    <t>30-54-vuotiaat</t>
  </si>
  <si>
    <t>osuus</t>
  </si>
  <si>
    <t>Koulutustaustakerroin</t>
  </si>
  <si>
    <t>Muut laskennalliset kustannukset yhteensä</t>
  </si>
  <si>
    <t>Sairastavuus ja muut laskennalliset kustannukset yhteensä</t>
  </si>
  <si>
    <t>Syrjäisyysluku (jos kunnalle on määrätty)</t>
  </si>
  <si>
    <t>- syrjäisyysluku 1,5 as/km2 tai enemmän</t>
  </si>
  <si>
    <t xml:space="preserve"> - syrjäisyysluku 1 - 1,5 as/km2 </t>
  </si>
  <si>
    <t xml:space="preserve"> - syrjäisyysluku alle 1 as/km2 </t>
  </si>
  <si>
    <t>Syrjäisyyden perusteella yhteensä</t>
  </si>
  <si>
    <t>Työpaikkaomavaraisuus</t>
  </si>
  <si>
    <t>Alueella työssäkäyvät (työpaikat)</t>
  </si>
  <si>
    <t>Työlliset</t>
  </si>
  <si>
    <t>Työpaikkaomavaraisuuskerroin</t>
  </si>
  <si>
    <t>Saamelaisten kotiseutualueen kunta</t>
  </si>
  <si>
    <t>Onko kunta saamelaisten kotiseutualueen kunta?</t>
  </si>
  <si>
    <t>Saamenkieliset</t>
  </si>
  <si>
    <t>Lisäosat yhteensä</t>
  </si>
  <si>
    <t>Järjestelmämuutoksen tasaus</t>
  </si>
  <si>
    <t>Kotikuntakorvausjärjestelmän muutos;</t>
  </si>
  <si>
    <t>siirtymäajan rahoitus</t>
  </si>
  <si>
    <t>Veromenetyksen kompensaatio vuodelta 2014</t>
  </si>
  <si>
    <t>Veroperustemuutosten vaikutus vuodelta 2015</t>
  </si>
  <si>
    <t>Vuoden 2010 järjestelmämuutoksen tasaus</t>
  </si>
  <si>
    <t>Järjestelmämuutoksen tasaus yhteensä</t>
  </si>
  <si>
    <t>okm</t>
  </si>
  <si>
    <t>sair_2</t>
  </si>
  <si>
    <t>sair_3</t>
  </si>
  <si>
    <t>sair_4</t>
  </si>
  <si>
    <t>Kotikuntakorvaukset yhteensä</t>
  </si>
  <si>
    <r>
      <t xml:space="preserve">Oppilaat </t>
    </r>
    <r>
      <rPr>
        <b/>
        <u val="single"/>
        <sz val="10"/>
        <rFont val="Arial"/>
        <family val="2"/>
      </rPr>
      <t>muiden järjestäjien</t>
    </r>
    <r>
      <rPr>
        <u val="single"/>
        <sz val="10"/>
        <rFont val="Arial"/>
        <family val="2"/>
      </rPr>
      <t xml:space="preserve"> perusopetuksessa (rahoitus 94 %)</t>
    </r>
  </si>
  <si>
    <r>
      <t xml:space="preserve">Oppilaat </t>
    </r>
    <r>
      <rPr>
        <b/>
        <u val="single"/>
        <sz val="10"/>
        <rFont val="Arial"/>
        <family val="2"/>
      </rPr>
      <t>toisen kunnan</t>
    </r>
    <r>
      <rPr>
        <u val="single"/>
        <sz val="10"/>
        <rFont val="Arial"/>
        <family val="2"/>
      </rPr>
      <t xml:space="preserve"> järjestämässä perusopetuksessa (rahoitus 100 %)</t>
    </r>
  </si>
  <si>
    <t>Kotikuntakorvaustulot yhteensä</t>
  </si>
  <si>
    <t>Kotikuntakorvaukset, yhteensä</t>
  </si>
  <si>
    <t>kkk_1</t>
  </si>
  <si>
    <r>
      <t>as./maa-km</t>
    </r>
    <r>
      <rPr>
        <vertAlign val="superscript"/>
        <sz val="10"/>
        <rFont val="Arial"/>
        <family val="2"/>
      </rPr>
      <t>2</t>
    </r>
    <r>
      <rPr>
        <sz val="10"/>
        <rFont val="Arial"/>
        <family val="0"/>
      </rPr>
      <t>.</t>
    </r>
  </si>
  <si>
    <t>Kotikuntakorvauksen perusosa</t>
  </si>
  <si>
    <t>Perusosaan tehtävä vähennys</t>
  </si>
  <si>
    <t>Koulukotikorotus</t>
  </si>
  <si>
    <t xml:space="preserve">  Vaikeimmin vammaiset</t>
  </si>
  <si>
    <t>Työmarkkinatukiuudistukseen liittyvä valtionosuustasaus</t>
  </si>
  <si>
    <t>Veroperustemuutosten vaikutus vuodelta 2016</t>
  </si>
  <si>
    <t>vl_19</t>
  </si>
  <si>
    <t>Vuoden 2015 valtionosuusjärjestelmämuutoksen tasaus (+/-)</t>
  </si>
  <si>
    <t>Kotikuntakorvaukset, netto</t>
  </si>
  <si>
    <t>2. Opetus- ja kulttuuritoimen valtionosuudet 2017</t>
  </si>
  <si>
    <t>Saaristo-osakunnat</t>
  </si>
  <si>
    <t>Saaristo-osakuntakorotus yhteensä</t>
  </si>
  <si>
    <t>Vuoden 2017 valtionosuudessa huomioon otettava osuus muutoksesta, yhteensä euroa</t>
  </si>
  <si>
    <t>Arvioitu oppilasmäärä 20.1.2017</t>
  </si>
  <si>
    <t>Arvioitu oppilasmäärä 20.9.2017</t>
  </si>
  <si>
    <t>Sairastavuuskerroin</t>
  </si>
  <si>
    <t>sair_0</t>
  </si>
  <si>
    <t>2 = saaristokunta ilman kiinteää tieyhteyttä mantereeseen (Hailuoto)</t>
  </si>
  <si>
    <t>1 = saaristokunta</t>
  </si>
  <si>
    <t>3 = saaristo-osakunta</t>
  </si>
  <si>
    <t>Väestö kunnan saaristo-osissa</t>
  </si>
  <si>
    <t>muutla_18</t>
  </si>
  <si>
    <t>Perustoimeentulotuen siirto Kelalle; valtionosuusvähennys</t>
  </si>
  <si>
    <t>vl_20</t>
  </si>
  <si>
    <t>Kilpailukykysopimuksen vaikutus valtionosuuteen</t>
  </si>
  <si>
    <t>vl_21</t>
  </si>
  <si>
    <t>Eläketukivähennys, "Lex Lindström"</t>
  </si>
  <si>
    <t>vl_22</t>
  </si>
  <si>
    <t xml:space="preserve">  5-vuotiaiden esiopetus</t>
  </si>
  <si>
    <t>Laskennallinen kustannus</t>
  </si>
  <si>
    <t>Kuntien rahoitusosuus</t>
  </si>
  <si>
    <t>Kiky-vaikutus</t>
  </si>
  <si>
    <t>Vos-indeksin vaikutus</t>
  </si>
  <si>
    <t>Leikkausten vaikutus yksikköhintaan</t>
  </si>
  <si>
    <t>Lukiokoulutukseen valmistava koulutus</t>
  </si>
  <si>
    <t>Lukiokoulutuksen yli 18-vuotiaiden valmistava koulutus</t>
  </si>
  <si>
    <t>kuntanro</t>
  </si>
  <si>
    <t>kuntanimi</t>
  </si>
  <si>
    <t>asm_311213</t>
  </si>
  <si>
    <t>13-16-vuotiaat</t>
  </si>
  <si>
    <t>vos_kirjanpito</t>
  </si>
  <si>
    <t>Aloittavien koulujen rahoituksen vähentäminen</t>
  </si>
  <si>
    <t>KUNNAN VALTIONOSUUSRAHOITUS 2018</t>
  </si>
  <si>
    <t>Asukasluku 31.12.2016:</t>
  </si>
  <si>
    <t>Kunnan valtionosuusrahoitus 2018</t>
  </si>
  <si>
    <t>Maksatus 2018</t>
  </si>
  <si>
    <t>Ikärakenteen laskennalliset kustannukset 2018</t>
  </si>
  <si>
    <t>muut laskennalliset kustannukset 2018</t>
  </si>
  <si>
    <t>Lisäosat 2018</t>
  </si>
  <si>
    <t>Valtionosuuteen tehtävät vähennykset ja lisäykset 2018</t>
  </si>
  <si>
    <t xml:space="preserve">Veroperustemuutosten vaikutus vuodelta 2017 </t>
  </si>
  <si>
    <t>Veroperustemuutosten vaikutus vuodelta 2018</t>
  </si>
  <si>
    <t>Vuoden 2015 valtionosuusjärjestelmämuutoksen tasaus vuonna 2018</t>
  </si>
  <si>
    <t>Kotikuntakorvaukset vuonna 2018</t>
  </si>
  <si>
    <t>Kotikuntakorvausnetto 2018</t>
  </si>
  <si>
    <t>peruste vuonna 2018</t>
  </si>
  <si>
    <t>Vuosi 2018</t>
  </si>
  <si>
    <t>Opetus ja kulttuuritoimen valtionosuus 2018</t>
  </si>
  <si>
    <t>Lukioiden yksikköhintarahoitus 2018</t>
  </si>
  <si>
    <t>Valtion TAE vuodelle 2018 (19.9.2017)</t>
  </si>
  <si>
    <t>Sairastavuuden perushinta</t>
  </si>
  <si>
    <t>Todennetun osaamisen rekisteri</t>
  </si>
  <si>
    <t>Indeksikorotusten jäädytys 2017</t>
  </si>
  <si>
    <t>Indeksikorotusten jäädytys 2018</t>
  </si>
  <si>
    <t>Tasauksen neutralisointi</t>
  </si>
  <si>
    <t>vl_23</t>
  </si>
  <si>
    <t>Kenttäjärjestelmähanke (kejo)</t>
  </si>
  <si>
    <t>Vuoden 2017 rahoitus : https://vos.oph.fi/cgi-bin/tiedot1r.cgi?tnimi=vos/v17/vos6sl17.lis</t>
  </si>
  <si>
    <t>Sisältää</t>
  </si>
  <si>
    <t>- kunnan omarahoitusosuuden</t>
  </si>
  <si>
    <t>- positiiviset erät (esim. vammaiskorotukset, lukio, opistot, taidelaitokset, apip jne.)</t>
  </si>
  <si>
    <t>3.10.2017, Kuntaliitto / SL</t>
  </si>
  <si>
    <t>Rahoituksen myöntökerroin</t>
  </si>
  <si>
    <t xml:space="preserve">  Muut vammaiset</t>
  </si>
  <si>
    <t>Yksikköhinta 2018</t>
  </si>
  <si>
    <t xml:space="preserve">  Oppivelvollisuusiän ylittäneet</t>
  </si>
  <si>
    <t>kurssimäärä</t>
  </si>
  <si>
    <t xml:space="preserve">  Aineopetus</t>
  </si>
  <si>
    <r>
      <t>1)</t>
    </r>
    <r>
      <rPr>
        <i/>
        <sz val="8"/>
        <rFont val="Arial"/>
        <family val="2"/>
      </rPr>
      <t xml:space="preserve"> Laskennallisten opiskelijoiden määrä = oppiaineiden lukumäärä jaettuna 15:llä.</t>
    </r>
  </si>
  <si>
    <t>läsnäolokuukausia</t>
  </si>
  <si>
    <t>€/ohjaustunti</t>
  </si>
  <si>
    <t>Kansanopistot</t>
  </si>
  <si>
    <t>€/opetustunti</t>
  </si>
  <si>
    <t>€/opiskelijaviikko</t>
  </si>
  <si>
    <t>Opintokeskukset</t>
  </si>
  <si>
    <t>Kesäyliopisto</t>
  </si>
  <si>
    <t>Liikunnan koulutuskeskukset</t>
  </si>
  <si>
    <t>€/opisk.vrk.</t>
  </si>
  <si>
    <t>OKM:n rahoitus itse laskemalla</t>
  </si>
  <si>
    <t>taulukoiden 9-10 avulla:</t>
  </si>
  <si>
    <t>Valtionosuusmaksatus 2018</t>
  </si>
  <si>
    <t>- mistä euroa / kuukausi</t>
  </si>
  <si>
    <t>(yksikköhinnan pohja-arvo)</t>
  </si>
  <si>
    <t>Taiteen perusopetus</t>
  </si>
  <si>
    <t>(Musiikkioppilaitos)</t>
  </si>
  <si>
    <t>Suomenkielinen lukiokoulutus 20.9.2017: 1)</t>
  </si>
  <si>
    <t>Ruotsinkielinen lukiokoulutus 20.9.2017: 1)</t>
  </si>
  <si>
    <t>Alennettu yksikköhinta (kiky ym.)</t>
  </si>
  <si>
    <t>https://vos.oph.fi/cgi-bin/tiedot2.cgi?saaja=9053;tnimi=vos/v17/v06yt7s17.lis</t>
  </si>
  <si>
    <t>Esimerkki järjestäjäkohtaisen yksikköhinnan laskennasta (Vaasan kaupunki):</t>
  </si>
  <si>
    <t>Raportti vuoden 2017 yksikköhinnoista / OPH</t>
  </si>
  <si>
    <t>Lisätiedot lukion valtionosuudesta / OPH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</si>
</sst>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
    <numFmt numFmtId="165" formatCode="#,##0.000000000"/>
    <numFmt numFmtId="166" formatCode="#,##0.000"/>
    <numFmt numFmtId="167" formatCode="0.00000000"/>
    <numFmt numFmtId="168" formatCode="#,##0.00000"/>
    <numFmt numFmtId="169" formatCode="#,##0.0000000"/>
    <numFmt numFmtId="170" formatCode="#,##0.000000"/>
    <numFmt numFmtId="171" formatCode="#,##0.0000"/>
    <numFmt numFmtId="172" formatCode="#,##0.0"/>
    <numFmt numFmtId="173" formatCode="0.0000000"/>
    <numFmt numFmtId="174" formatCode="0.000"/>
    <numFmt numFmtId="175" formatCode="&quot;Kyllä&quot;;&quot;Kyllä&quot;;&quot;Ei&quot;"/>
    <numFmt numFmtId="176" formatCode="&quot;Tosi&quot;;&quot;Tosi&quot;;&quot;Epätosi&quot;"/>
    <numFmt numFmtId="177" formatCode="&quot;Käytössä&quot;;&quot;Käytössä&quot;;&quot;Ei käytössä&quot;"/>
    <numFmt numFmtId="178" formatCode="0.0"/>
    <numFmt numFmtId="179" formatCode="[$-40B]d\.\ mmmm&quot;ta &quot;yyyy"/>
    <numFmt numFmtId="180" formatCode="0.000000"/>
    <numFmt numFmtId="181" formatCode="0.00000"/>
    <numFmt numFmtId="182" formatCode="0.0000"/>
    <numFmt numFmtId="183" formatCode="0.000000000000000"/>
    <numFmt numFmtId="184" formatCode="[$€-2]\ #\ ##,000_);[Red]\([$€-2]\ #\ ##,000\)"/>
    <numFmt numFmtId="185" formatCode="0.0\ %"/>
    <numFmt numFmtId="186" formatCode="0.000\ %"/>
  </numFmts>
  <fonts count="91">
    <font>
      <sz val="10"/>
      <name val="Arial"/>
      <family val="0"/>
    </font>
    <font>
      <b/>
      <sz val="10"/>
      <name val="Arial"/>
      <family val="2"/>
    </font>
    <font>
      <sz val="8"/>
      <name val="Arial"/>
      <family val="2"/>
    </font>
    <font>
      <b/>
      <sz val="12"/>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val="single"/>
      <sz val="10"/>
      <color indexed="12"/>
      <name val="Arial"/>
      <family val="2"/>
    </font>
    <font>
      <u val="single"/>
      <sz val="10"/>
      <color indexed="36"/>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i/>
      <vertAlign val="superscript"/>
      <sz val="10"/>
      <name val="Arial"/>
      <family val="2"/>
    </font>
    <font>
      <b/>
      <i/>
      <sz val="10"/>
      <name val="Arial"/>
      <family val="2"/>
    </font>
    <font>
      <sz val="10"/>
      <color indexed="24"/>
      <name val="Arial"/>
      <family val="2"/>
    </font>
    <font>
      <sz val="9"/>
      <name val="Tahoma"/>
      <family val="2"/>
    </font>
    <font>
      <b/>
      <sz val="9"/>
      <name val="Tahoma"/>
      <family val="2"/>
    </font>
    <font>
      <b/>
      <sz val="9"/>
      <name val="Arial"/>
      <family val="2"/>
    </font>
    <font>
      <b/>
      <u val="single"/>
      <sz val="10"/>
      <name val="Arial"/>
      <family val="2"/>
    </font>
    <font>
      <u val="single"/>
      <sz val="10"/>
      <name val="Arial"/>
      <family val="2"/>
    </font>
    <font>
      <u val="single"/>
      <sz val="11"/>
      <name val="Arial"/>
      <family val="2"/>
    </font>
    <font>
      <i/>
      <sz val="9"/>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i/>
      <sz val="10"/>
      <color indexed="30"/>
      <name val="Arial"/>
      <family val="2"/>
    </font>
    <font>
      <sz val="10"/>
      <color indexed="55"/>
      <name val="Arial"/>
      <family val="2"/>
    </font>
    <font>
      <i/>
      <sz val="10"/>
      <color indexed="55"/>
      <name val="Arial"/>
      <family val="2"/>
    </font>
    <font>
      <b/>
      <i/>
      <sz val="10"/>
      <color indexed="55"/>
      <name val="Arial"/>
      <family val="2"/>
    </font>
    <font>
      <b/>
      <u val="single"/>
      <sz val="10"/>
      <color indexed="55"/>
      <name val="Arial"/>
      <family val="2"/>
    </font>
    <font>
      <i/>
      <vertAlign val="superscript"/>
      <sz val="8"/>
      <name val="Arial"/>
      <family val="2"/>
    </font>
    <font>
      <u val="single"/>
      <sz val="8"/>
      <name val="Arial"/>
      <family val="2"/>
    </font>
    <font>
      <i/>
      <u val="single"/>
      <sz val="10"/>
      <color indexed="12"/>
      <name val="Arial"/>
      <family val="2"/>
    </font>
    <font>
      <b/>
      <u val="single"/>
      <sz val="14"/>
      <color indexed="8"/>
      <name val="Calibri"/>
      <family val="0"/>
    </font>
    <font>
      <b/>
      <sz val="14"/>
      <color indexed="8"/>
      <name val="Calibri"/>
      <family val="0"/>
    </font>
    <font>
      <i/>
      <sz val="12"/>
      <color indexed="8"/>
      <name val="Calibri"/>
      <family val="0"/>
    </font>
    <font>
      <sz val="12"/>
      <color indexed="8"/>
      <name val="Calibri"/>
      <family val="0"/>
    </font>
    <font>
      <b/>
      <sz val="12"/>
      <color indexed="8"/>
      <name val="Calibri"/>
      <family val="0"/>
    </font>
    <font>
      <sz val="5"/>
      <color indexed="8"/>
      <name val="Calibri"/>
      <family val="0"/>
    </font>
    <font>
      <b/>
      <sz val="12"/>
      <color indexed="17"/>
      <name val="Calibri"/>
      <family val="0"/>
    </font>
    <font>
      <b/>
      <sz val="12"/>
      <color indexed="30"/>
      <name val="Calibri"/>
      <family val="0"/>
    </font>
    <font>
      <sz val="12"/>
      <color indexed="17"/>
      <name val="Calibri"/>
      <family val="0"/>
    </font>
    <font>
      <sz val="12"/>
      <color indexed="30"/>
      <name val="Calibri"/>
      <family val="0"/>
    </font>
    <font>
      <b/>
      <sz val="12"/>
      <color indexed="10"/>
      <name val="Calibri"/>
      <family val="0"/>
    </font>
    <font>
      <b/>
      <sz val="5"/>
      <color indexed="8"/>
      <name val="Calibri"/>
      <family val="0"/>
    </font>
    <font>
      <b/>
      <i/>
      <sz val="12"/>
      <color indexed="30"/>
      <name val="Calibri"/>
      <family val="0"/>
    </font>
    <font>
      <b/>
      <i/>
      <sz val="12"/>
      <color indexed="8"/>
      <name val="Calibri"/>
      <family val="0"/>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i/>
      <sz val="10"/>
      <color rgb="FF0070C0"/>
      <name val="Arial"/>
      <family val="2"/>
    </font>
    <font>
      <sz val="10"/>
      <color theme="0"/>
      <name val="Arial"/>
      <family val="2"/>
    </font>
    <font>
      <sz val="10"/>
      <color theme="0" tint="-0.24997000396251678"/>
      <name val="Arial"/>
      <family val="2"/>
    </font>
    <font>
      <sz val="10"/>
      <color theme="0" tint="-0.3499799966812134"/>
      <name val="Arial"/>
      <family val="2"/>
    </font>
    <font>
      <i/>
      <sz val="10"/>
      <color theme="0" tint="-0.24997000396251678"/>
      <name val="Arial"/>
      <family val="2"/>
    </font>
    <font>
      <b/>
      <i/>
      <sz val="10"/>
      <color theme="0" tint="-0.24997000396251678"/>
      <name val="Arial"/>
      <family val="2"/>
    </font>
    <font>
      <b/>
      <u val="single"/>
      <sz val="10"/>
      <color theme="0" tint="-0.24997000396251678"/>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10" fillId="0" borderId="0" applyNumberFormat="0" applyFill="0" applyBorder="0" applyAlignment="0" applyProtection="0"/>
    <xf numFmtId="0" fontId="0" fillId="26" borderId="1" applyNumberFormat="0" applyFont="0" applyAlignment="0" applyProtection="0"/>
    <xf numFmtId="0" fontId="68" fillId="27" borderId="0" applyNumberFormat="0" applyBorder="0" applyAlignment="0" applyProtection="0"/>
    <xf numFmtId="0" fontId="9" fillId="0" borderId="0" applyNumberFormat="0" applyFill="0" applyBorder="0" applyAlignment="0" applyProtection="0"/>
    <xf numFmtId="0" fontId="69" fillId="28" borderId="0" applyNumberFormat="0" applyBorder="0" applyAlignment="0" applyProtection="0"/>
    <xf numFmtId="0" fontId="70" fillId="29" borderId="2" applyNumberFormat="0" applyAlignment="0" applyProtection="0"/>
    <xf numFmtId="0" fontId="71" fillId="0" borderId="3" applyNumberFormat="0" applyFill="0" applyAlignment="0" applyProtection="0"/>
    <xf numFmtId="0" fontId="72" fillId="30" borderId="0" applyNumberFormat="0" applyBorder="0" applyAlignment="0" applyProtection="0"/>
    <xf numFmtId="0" fontId="0" fillId="0" borderId="0">
      <alignment/>
      <protection/>
    </xf>
    <xf numFmtId="0" fontId="19" fillId="0" borderId="0">
      <alignment/>
      <protection/>
    </xf>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9" fillId="31" borderId="2" applyNumberFormat="0" applyAlignment="0" applyProtection="0"/>
    <xf numFmtId="0" fontId="80" fillId="32" borderId="8" applyNumberFormat="0" applyAlignment="0" applyProtection="0"/>
    <xf numFmtId="0" fontId="81"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cellStyleXfs>
  <cellXfs count="304">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xf>
    <xf numFmtId="0" fontId="0" fillId="0" borderId="0" xfId="0" applyFont="1" applyAlignment="1">
      <alignment/>
    </xf>
    <xf numFmtId="0" fontId="0" fillId="0" borderId="0" xfId="0" applyBorder="1" applyAlignment="1" applyProtection="1">
      <alignment/>
      <protection/>
    </xf>
    <xf numFmtId="0" fontId="5" fillId="0" borderId="0" xfId="0" applyFont="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1" fillId="0" borderId="0" xfId="0" applyFont="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0" fillId="0" borderId="0" xfId="0" applyBorder="1" applyAlignment="1" applyProtection="1" quotePrefix="1">
      <alignment/>
      <protection/>
    </xf>
    <xf numFmtId="3" fontId="0" fillId="0" borderId="0" xfId="0" applyNumberFormat="1" applyFont="1" applyBorder="1" applyAlignment="1" applyProtection="1">
      <alignment/>
      <protection/>
    </xf>
    <xf numFmtId="0" fontId="0" fillId="0" borderId="0" xfId="0" applyFont="1" applyBorder="1" applyAlignment="1" applyProtection="1">
      <alignment/>
      <protection/>
    </xf>
    <xf numFmtId="3" fontId="1" fillId="0" borderId="0" xfId="0" applyNumberFormat="1" applyFont="1" applyAlignment="1" applyProtection="1">
      <alignment/>
      <protection/>
    </xf>
    <xf numFmtId="0" fontId="0" fillId="0" borderId="0" xfId="0" applyBorder="1" applyAlignment="1" applyProtection="1">
      <alignment horizontal="right"/>
      <protection/>
    </xf>
    <xf numFmtId="3" fontId="6" fillId="0" borderId="0" xfId="0" applyNumberFormat="1" applyFont="1" applyBorder="1" applyAlignment="1" applyProtection="1">
      <alignment/>
      <protection/>
    </xf>
    <xf numFmtId="3" fontId="0" fillId="0" borderId="0" xfId="0" applyNumberFormat="1" applyAlignment="1" applyProtection="1">
      <alignment/>
      <protection/>
    </xf>
    <xf numFmtId="2" fontId="0" fillId="0" borderId="0" xfId="0" applyNumberFormat="1" applyFill="1" applyBorder="1" applyAlignment="1" applyProtection="1">
      <alignment/>
      <protection/>
    </xf>
    <xf numFmtId="3" fontId="0" fillId="0" borderId="0" xfId="0" applyNumberFormat="1" applyBorder="1" applyAlignment="1" applyProtection="1">
      <alignment/>
      <protection/>
    </xf>
    <xf numFmtId="3" fontId="1" fillId="0" borderId="0" xfId="0" applyNumberFormat="1" applyFont="1" applyBorder="1" applyAlignment="1" applyProtection="1">
      <alignment/>
      <protection/>
    </xf>
    <xf numFmtId="3" fontId="0" fillId="0" borderId="0" xfId="0" applyNumberFormat="1" applyFont="1" applyFill="1" applyBorder="1" applyAlignment="1" applyProtection="1">
      <alignment/>
      <protection/>
    </xf>
    <xf numFmtId="0" fontId="6" fillId="0" borderId="0" xfId="0" applyFont="1" applyAlignment="1" applyProtection="1">
      <alignment/>
      <protection/>
    </xf>
    <xf numFmtId="2" fontId="6" fillId="0" borderId="0" xfId="0" applyNumberFormat="1" applyFont="1" applyAlignment="1" applyProtection="1">
      <alignment/>
      <protection/>
    </xf>
    <xf numFmtId="2" fontId="0" fillId="0" borderId="0" xfId="0" applyNumberFormat="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protection/>
    </xf>
    <xf numFmtId="3"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9" fontId="0" fillId="0" borderId="0" xfId="0" applyNumberFormat="1" applyFont="1" applyAlignment="1" applyProtection="1">
      <alignment/>
      <protection/>
    </xf>
    <xf numFmtId="3" fontId="0" fillId="0" borderId="0" xfId="0" applyNumberFormat="1" applyFill="1" applyAlignment="1" applyProtection="1">
      <alignment/>
      <protection/>
    </xf>
    <xf numFmtId="9" fontId="0" fillId="0" borderId="0" xfId="0" applyNumberFormat="1" applyAlignment="1" applyProtection="1">
      <alignment/>
      <protection/>
    </xf>
    <xf numFmtId="10" fontId="0" fillId="0" borderId="0" xfId="0" applyNumberFormat="1" applyAlignment="1" applyProtection="1">
      <alignment/>
      <protection/>
    </xf>
    <xf numFmtId="0" fontId="0" fillId="0" borderId="0" xfId="0" applyFont="1" applyAlignment="1" applyProtection="1" quotePrefix="1">
      <alignment/>
      <protection/>
    </xf>
    <xf numFmtId="3" fontId="0" fillId="0" borderId="0" xfId="0" applyNumberFormat="1" applyFill="1" applyAlignment="1" applyProtection="1" quotePrefix="1">
      <alignment/>
      <protection/>
    </xf>
    <xf numFmtId="2" fontId="0" fillId="0" borderId="0" xfId="0" applyNumberFormat="1" applyFill="1" applyAlignment="1" applyProtection="1">
      <alignment/>
      <protection/>
    </xf>
    <xf numFmtId="0" fontId="4" fillId="0" borderId="0" xfId="0" applyFont="1" applyBorder="1" applyAlignment="1">
      <alignment/>
    </xf>
    <xf numFmtId="0" fontId="0" fillId="0" borderId="0" xfId="0" applyFill="1" applyAlignment="1" quotePrefix="1">
      <alignment/>
    </xf>
    <xf numFmtId="173" fontId="0" fillId="0" borderId="0" xfId="0" applyNumberFormat="1" applyFont="1" applyFill="1" applyBorder="1" applyAlignment="1">
      <alignment/>
    </xf>
    <xf numFmtId="3" fontId="0" fillId="33" borderId="10" xfId="0" applyNumberFormat="1" applyFont="1" applyFill="1" applyBorder="1" applyAlignment="1" applyProtection="1">
      <alignment/>
      <protection locked="0"/>
    </xf>
    <xf numFmtId="3" fontId="0" fillId="0" borderId="0" xfId="0" applyNumberFormat="1" applyFont="1" applyFill="1" applyBorder="1" applyAlignment="1">
      <alignment/>
    </xf>
    <xf numFmtId="174" fontId="0" fillId="0" borderId="0" xfId="0" applyNumberFormat="1" applyFill="1" applyBorder="1" applyAlignment="1">
      <alignment/>
    </xf>
    <xf numFmtId="4" fontId="0" fillId="0" borderId="0" xfId="0" applyNumberFormat="1" applyFont="1" applyFill="1" applyBorder="1" applyAlignment="1">
      <alignment/>
    </xf>
    <xf numFmtId="4" fontId="0" fillId="0" borderId="0" xfId="0" applyNumberFormat="1" applyAlignment="1">
      <alignment/>
    </xf>
    <xf numFmtId="171" fontId="7" fillId="0" borderId="0" xfId="0" applyNumberFormat="1" applyFont="1" applyFill="1" applyBorder="1" applyAlignment="1">
      <alignment/>
    </xf>
    <xf numFmtId="3" fontId="0" fillId="0" borderId="0" xfId="0" applyNumberFormat="1" applyFill="1" applyAlignment="1">
      <alignment/>
    </xf>
    <xf numFmtId="0" fontId="8" fillId="0" borderId="0" xfId="0" applyFont="1" applyAlignment="1">
      <alignment/>
    </xf>
    <xf numFmtId="0" fontId="3" fillId="0" borderId="0" xfId="0" applyFont="1" applyBorder="1" applyAlignment="1" applyProtection="1">
      <alignment/>
      <protection/>
    </xf>
    <xf numFmtId="0" fontId="0" fillId="0" borderId="0" xfId="0" applyAlignment="1" quotePrefix="1">
      <alignment/>
    </xf>
    <xf numFmtId="0" fontId="0" fillId="0" borderId="0" xfId="0" applyFill="1" applyAlignment="1" applyProtection="1">
      <alignment/>
      <protection/>
    </xf>
    <xf numFmtId="4" fontId="0" fillId="0" borderId="10" xfId="0" applyNumberFormat="1" applyFill="1" applyBorder="1" applyAlignment="1">
      <alignment/>
    </xf>
    <xf numFmtId="4" fontId="0" fillId="33" borderId="10" xfId="0" applyNumberFormat="1" applyFill="1" applyBorder="1" applyAlignment="1" applyProtection="1">
      <alignment/>
      <protection locked="0"/>
    </xf>
    <xf numFmtId="0" fontId="0" fillId="0" borderId="0" xfId="0" applyBorder="1" applyAlignment="1">
      <alignment/>
    </xf>
    <xf numFmtId="0" fontId="0" fillId="0" borderId="11" xfId="0" applyBorder="1" applyAlignment="1">
      <alignment/>
    </xf>
    <xf numFmtId="0" fontId="11" fillId="0" borderId="0" xfId="0" applyFont="1" applyAlignment="1">
      <alignment/>
    </xf>
    <xf numFmtId="0" fontId="11" fillId="0" borderId="0" xfId="0" applyFont="1" applyAlignment="1" quotePrefix="1">
      <alignment/>
    </xf>
    <xf numFmtId="14" fontId="11" fillId="0" borderId="0" xfId="0" applyNumberFormat="1" applyFont="1" applyAlignment="1" quotePrefix="1">
      <alignment/>
    </xf>
    <xf numFmtId="3" fontId="1" fillId="0" borderId="0" xfId="0" applyNumberFormat="1" applyFont="1" applyFill="1" applyAlignment="1">
      <alignment/>
    </xf>
    <xf numFmtId="14" fontId="0" fillId="0" borderId="0" xfId="0" applyNumberFormat="1" applyFont="1" applyAlignment="1" applyProtection="1">
      <alignment/>
      <protection/>
    </xf>
    <xf numFmtId="4" fontId="0" fillId="0" borderId="0" xfId="0" applyNumberFormat="1" applyFill="1" applyAlignment="1" applyProtection="1">
      <alignment/>
      <protection/>
    </xf>
    <xf numFmtId="0" fontId="11" fillId="0" borderId="0" xfId="0" applyFont="1" applyBorder="1" applyAlignment="1" applyProtection="1">
      <alignment/>
      <protection/>
    </xf>
    <xf numFmtId="0" fontId="12" fillId="0" borderId="0" xfId="0" applyFont="1" applyAlignment="1">
      <alignment/>
    </xf>
    <xf numFmtId="0" fontId="13" fillId="0" borderId="0" xfId="0" applyFont="1" applyAlignment="1">
      <alignment/>
    </xf>
    <xf numFmtId="3" fontId="0" fillId="0" borderId="0" xfId="0" applyNumberFormat="1" applyAlignment="1">
      <alignment/>
    </xf>
    <xf numFmtId="0" fontId="5" fillId="0" borderId="0" xfId="0" applyFont="1" applyAlignment="1" quotePrefix="1">
      <alignment/>
    </xf>
    <xf numFmtId="0" fontId="5" fillId="0" borderId="0" xfId="0" applyFont="1" applyAlignment="1">
      <alignment/>
    </xf>
    <xf numFmtId="0" fontId="5" fillId="0" borderId="0" xfId="0" applyFont="1" applyAlignment="1">
      <alignment horizontal="center"/>
    </xf>
    <xf numFmtId="3" fontId="1" fillId="0" borderId="0" xfId="0" applyNumberFormat="1" applyFont="1" applyBorder="1" applyAlignment="1" applyProtection="1">
      <alignment horizontal="center"/>
      <protection/>
    </xf>
    <xf numFmtId="2" fontId="0" fillId="0" borderId="0" xfId="0" applyNumberFormat="1" applyBorder="1" applyAlignment="1" applyProtection="1">
      <alignment horizontal="center"/>
      <protection/>
    </xf>
    <xf numFmtId="2" fontId="0" fillId="0" borderId="0" xfId="0" applyNumberFormat="1" applyAlignment="1">
      <alignment/>
    </xf>
    <xf numFmtId="2" fontId="0" fillId="0" borderId="0" xfId="0" applyNumberFormat="1" applyAlignment="1">
      <alignment horizontal="center"/>
    </xf>
    <xf numFmtId="0" fontId="11" fillId="0" borderId="0" xfId="0" applyFont="1" applyAlignment="1" applyProtection="1">
      <alignment/>
      <protection/>
    </xf>
    <xf numFmtId="172" fontId="0" fillId="0" borderId="0" xfId="0" applyNumberFormat="1" applyFill="1" applyAlignment="1" applyProtection="1">
      <alignment/>
      <protection/>
    </xf>
    <xf numFmtId="0" fontId="14" fillId="0" borderId="0" xfId="47" applyFont="1">
      <alignment/>
      <protection/>
    </xf>
    <xf numFmtId="0" fontId="15" fillId="0" borderId="0" xfId="47" applyFont="1">
      <alignment/>
      <protection/>
    </xf>
    <xf numFmtId="3" fontId="15" fillId="0" borderId="0" xfId="47" applyNumberFormat="1" applyFont="1">
      <alignment/>
      <protection/>
    </xf>
    <xf numFmtId="0" fontId="0" fillId="33" borderId="10" xfId="0" applyFill="1" applyBorder="1" applyAlignment="1">
      <alignment/>
    </xf>
    <xf numFmtId="3" fontId="0" fillId="33" borderId="10" xfId="0" applyNumberFormat="1" applyFill="1" applyBorder="1" applyAlignment="1" applyProtection="1">
      <alignment/>
      <protection/>
    </xf>
    <xf numFmtId="3" fontId="0" fillId="33" borderId="10" xfId="0" applyNumberFormat="1" applyFill="1" applyBorder="1" applyAlignment="1">
      <alignment/>
    </xf>
    <xf numFmtId="14" fontId="11" fillId="0" borderId="0" xfId="0" applyNumberFormat="1" applyFont="1" applyFill="1" applyAlignment="1" applyProtection="1" quotePrefix="1">
      <alignment/>
      <protection locked="0"/>
    </xf>
    <xf numFmtId="3" fontId="1" fillId="33" borderId="10" xfId="0" applyNumberFormat="1" applyFont="1" applyFill="1" applyBorder="1" applyAlignment="1" quotePrefix="1">
      <alignment/>
    </xf>
    <xf numFmtId="0" fontId="1" fillId="34" borderId="12" xfId="0" applyFont="1" applyFill="1" applyBorder="1" applyAlignment="1">
      <alignment/>
    </xf>
    <xf numFmtId="0" fontId="0" fillId="34" borderId="13" xfId="0" applyFill="1" applyBorder="1" applyAlignment="1">
      <alignment/>
    </xf>
    <xf numFmtId="3" fontId="1" fillId="34" borderId="14" xfId="0" applyNumberFormat="1" applyFont="1" applyFill="1" applyBorder="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4" fontId="1" fillId="0" borderId="0" xfId="0" applyNumberFormat="1" applyFont="1" applyBorder="1" applyAlignment="1" applyProtection="1">
      <alignment/>
      <protection/>
    </xf>
    <xf numFmtId="3" fontId="0" fillId="0" borderId="0" xfId="0" applyNumberFormat="1" applyFont="1" applyAlignment="1" applyProtection="1">
      <alignment/>
      <protection/>
    </xf>
    <xf numFmtId="0" fontId="0" fillId="0" borderId="0" xfId="0" applyFont="1" applyFill="1" applyAlignment="1" applyProtection="1">
      <alignment/>
      <protection/>
    </xf>
    <xf numFmtId="0" fontId="1" fillId="35" borderId="12" xfId="0" applyFont="1" applyFill="1" applyBorder="1" applyAlignment="1">
      <alignment/>
    </xf>
    <xf numFmtId="0" fontId="0" fillId="35" borderId="13" xfId="0" applyFill="1" applyBorder="1" applyAlignment="1">
      <alignment/>
    </xf>
    <xf numFmtId="3" fontId="1" fillId="35" borderId="14" xfId="0" applyNumberFormat="1" applyFont="1" applyFill="1" applyBorder="1" applyAlignment="1">
      <alignment/>
    </xf>
    <xf numFmtId="0" fontId="1" fillId="34" borderId="12" xfId="0" applyFont="1" applyFill="1" applyBorder="1" applyAlignment="1" applyProtection="1">
      <alignment/>
      <protection/>
    </xf>
    <xf numFmtId="0" fontId="1" fillId="34" borderId="13" xfId="0" applyFont="1" applyFill="1" applyBorder="1" applyAlignment="1" applyProtection="1">
      <alignment/>
      <protection/>
    </xf>
    <xf numFmtId="0" fontId="83" fillId="0" borderId="0" xfId="0" applyFont="1" applyAlignment="1" applyProtection="1">
      <alignment/>
      <protection/>
    </xf>
    <xf numFmtId="4" fontId="1" fillId="34" borderId="13" xfId="0" applyNumberFormat="1" applyFont="1" applyFill="1" applyBorder="1" applyAlignment="1" applyProtection="1">
      <alignment/>
      <protection/>
    </xf>
    <xf numFmtId="4" fontId="0" fillId="10" borderId="10" xfId="0" applyNumberFormat="1" applyFont="1" applyFill="1" applyBorder="1" applyAlignment="1" applyProtection="1">
      <alignment/>
      <protection locked="0"/>
    </xf>
    <xf numFmtId="4" fontId="0" fillId="10" borderId="10" xfId="0" applyNumberFormat="1" applyFill="1" applyBorder="1" applyAlignment="1" applyProtection="1">
      <alignment/>
      <protection locked="0"/>
    </xf>
    <xf numFmtId="2" fontId="0" fillId="10" borderId="10" xfId="0" applyNumberFormat="1" applyFill="1" applyBorder="1" applyAlignment="1" applyProtection="1">
      <alignment/>
      <protection locked="0"/>
    </xf>
    <xf numFmtId="3" fontId="1" fillId="34" borderId="14" xfId="0" applyNumberFormat="1" applyFont="1" applyFill="1" applyBorder="1" applyAlignment="1" applyProtection="1">
      <alignment/>
      <protection/>
    </xf>
    <xf numFmtId="0" fontId="0" fillId="0" borderId="0" xfId="0" applyFont="1" applyAlignment="1" applyProtection="1">
      <alignment horizontal="center"/>
      <protection/>
    </xf>
    <xf numFmtId="0" fontId="1" fillId="34" borderId="13" xfId="0" applyFont="1" applyFill="1" applyBorder="1" applyAlignment="1">
      <alignment/>
    </xf>
    <xf numFmtId="0" fontId="0" fillId="10" borderId="10" xfId="0" applyFill="1" applyBorder="1" applyAlignment="1">
      <alignment/>
    </xf>
    <xf numFmtId="0" fontId="0" fillId="34" borderId="13" xfId="0" applyFont="1" applyFill="1" applyBorder="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right"/>
      <protection/>
    </xf>
    <xf numFmtId="3" fontId="1" fillId="0" borderId="0" xfId="0" applyNumberFormat="1" applyFont="1" applyFill="1" applyBorder="1" applyAlignment="1" applyProtection="1">
      <alignment/>
      <protection/>
    </xf>
    <xf numFmtId="0" fontId="0" fillId="0" borderId="15" xfId="0" applyFont="1" applyBorder="1" applyAlignment="1" applyProtection="1">
      <alignment/>
      <protection/>
    </xf>
    <xf numFmtId="0" fontId="0" fillId="33" borderId="16" xfId="0" applyFill="1" applyBorder="1" applyAlignment="1" applyProtection="1">
      <alignment/>
      <protection locked="0"/>
    </xf>
    <xf numFmtId="3" fontId="5" fillId="0" borderId="0" xfId="0" applyNumberFormat="1" applyFont="1" applyBorder="1" applyAlignment="1" applyProtection="1">
      <alignment horizontal="right"/>
      <protection/>
    </xf>
    <xf numFmtId="0" fontId="0" fillId="0" borderId="15" xfId="0" applyBorder="1" applyAlignment="1">
      <alignment/>
    </xf>
    <xf numFmtId="3" fontId="0" fillId="0" borderId="15" xfId="0" applyNumberFormat="1" applyBorder="1" applyAlignment="1" applyProtection="1">
      <alignment/>
      <protection/>
    </xf>
    <xf numFmtId="0" fontId="1" fillId="35" borderId="13" xfId="0" applyFont="1" applyFill="1" applyBorder="1" applyAlignment="1" applyProtection="1">
      <alignment/>
      <protection/>
    </xf>
    <xf numFmtId="0" fontId="0" fillId="35" borderId="13" xfId="0" applyFill="1" applyBorder="1" applyAlignment="1" applyProtection="1">
      <alignment/>
      <protection/>
    </xf>
    <xf numFmtId="2" fontId="0" fillId="35" borderId="13" xfId="0" applyNumberFormat="1" applyFill="1" applyBorder="1" applyAlignment="1" applyProtection="1">
      <alignment/>
      <protection/>
    </xf>
    <xf numFmtId="3" fontId="1" fillId="35" borderId="14"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0" fontId="5" fillId="0" borderId="0" xfId="0" applyFont="1" applyAlignment="1" applyProtection="1">
      <alignment/>
      <protection/>
    </xf>
    <xf numFmtId="0" fontId="1" fillId="35" borderId="12" xfId="0" applyFont="1" applyFill="1" applyBorder="1" applyAlignment="1" applyProtection="1">
      <alignment/>
      <protection/>
    </xf>
    <xf numFmtId="2" fontId="0" fillId="16" borderId="10" xfId="0" applyNumberFormat="1" applyFill="1" applyBorder="1" applyAlignment="1" applyProtection="1">
      <alignment horizontal="center"/>
      <protection locked="0"/>
    </xf>
    <xf numFmtId="2" fontId="1" fillId="35" borderId="13" xfId="0" applyNumberFormat="1" applyFont="1" applyFill="1" applyBorder="1" applyAlignment="1">
      <alignment/>
    </xf>
    <xf numFmtId="2" fontId="1" fillId="34" borderId="13" xfId="0" applyNumberFormat="1" applyFont="1" applyFill="1" applyBorder="1" applyAlignment="1">
      <alignment/>
    </xf>
    <xf numFmtId="2" fontId="5" fillId="0" borderId="0" xfId="0" applyNumberFormat="1" applyFont="1" applyAlignment="1">
      <alignment horizontal="right"/>
    </xf>
    <xf numFmtId="3" fontId="5" fillId="0" borderId="0" xfId="0" applyNumberFormat="1" applyFont="1" applyAlignment="1">
      <alignment horizontal="right"/>
    </xf>
    <xf numFmtId="0" fontId="1" fillId="0" borderId="0" xfId="0" applyFont="1" applyBorder="1" applyAlignment="1">
      <alignment/>
    </xf>
    <xf numFmtId="4" fontId="1" fillId="0" borderId="0" xfId="0" applyNumberFormat="1" applyFont="1" applyBorder="1" applyAlignment="1">
      <alignment/>
    </xf>
    <xf numFmtId="0" fontId="11" fillId="0" borderId="0" xfId="0" applyFont="1" applyBorder="1" applyAlignment="1">
      <alignment/>
    </xf>
    <xf numFmtId="3" fontId="7" fillId="35" borderId="17" xfId="47" applyNumberFormat="1" applyFont="1" applyFill="1" applyBorder="1">
      <alignment/>
      <protection/>
    </xf>
    <xf numFmtId="3" fontId="7" fillId="35" borderId="18" xfId="47" applyNumberFormat="1" applyFont="1" applyFill="1" applyBorder="1">
      <alignment/>
      <protection/>
    </xf>
    <xf numFmtId="3" fontId="7" fillId="35" borderId="19" xfId="47" applyNumberFormat="1" applyFont="1" applyFill="1" applyBorder="1">
      <alignment/>
      <protection/>
    </xf>
    <xf numFmtId="4" fontId="0" fillId="0" borderId="20" xfId="0" applyNumberFormat="1" applyBorder="1" applyAlignment="1">
      <alignment/>
    </xf>
    <xf numFmtId="0" fontId="0" fillId="0" borderId="0" xfId="0" applyFill="1" applyBorder="1" applyAlignment="1">
      <alignment/>
    </xf>
    <xf numFmtId="0" fontId="0" fillId="34" borderId="13" xfId="0" applyFill="1" applyBorder="1" applyAlignment="1" applyProtection="1">
      <alignment/>
      <protection/>
    </xf>
    <xf numFmtId="3" fontId="0" fillId="35" borderId="13" xfId="0" applyNumberFormat="1" applyFill="1" applyBorder="1" applyAlignment="1" applyProtection="1">
      <alignment/>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right"/>
      <protection/>
    </xf>
    <xf numFmtId="0" fontId="17" fillId="0" borderId="0" xfId="0" applyFont="1" applyAlignment="1">
      <alignment/>
    </xf>
    <xf numFmtId="0" fontId="5" fillId="0" borderId="0" xfId="0" applyFont="1" applyAlignment="1">
      <alignment horizontal="right"/>
    </xf>
    <xf numFmtId="2" fontId="0" fillId="10" borderId="10" xfId="0" applyNumberFormat="1" applyFill="1" applyBorder="1" applyAlignment="1" applyProtection="1">
      <alignment horizontal="center"/>
      <protection locked="0"/>
    </xf>
    <xf numFmtId="0" fontId="1" fillId="35" borderId="21" xfId="0" applyFont="1" applyFill="1" applyBorder="1" applyAlignment="1">
      <alignment/>
    </xf>
    <xf numFmtId="0" fontId="1" fillId="35" borderId="22" xfId="0" applyFont="1" applyFill="1" applyBorder="1" applyAlignment="1">
      <alignment/>
    </xf>
    <xf numFmtId="173" fontId="1" fillId="35" borderId="22" xfId="0" applyNumberFormat="1" applyFont="1" applyFill="1" applyBorder="1" applyAlignment="1">
      <alignment/>
    </xf>
    <xf numFmtId="4" fontId="1" fillId="35" borderId="22" xfId="0" applyNumberFormat="1" applyFont="1" applyFill="1" applyBorder="1" applyAlignment="1">
      <alignment/>
    </xf>
    <xf numFmtId="0" fontId="1" fillId="35" borderId="23" xfId="0" applyFont="1" applyFill="1" applyBorder="1" applyAlignment="1">
      <alignment/>
    </xf>
    <xf numFmtId="0" fontId="1" fillId="35" borderId="24" xfId="0" applyFont="1" applyFill="1" applyBorder="1" applyAlignment="1">
      <alignment/>
    </xf>
    <xf numFmtId="0" fontId="1" fillId="35" borderId="25" xfId="0" applyFont="1" applyFill="1" applyBorder="1" applyAlignment="1">
      <alignment/>
    </xf>
    <xf numFmtId="173" fontId="1" fillId="35" borderId="25" xfId="0" applyNumberFormat="1" applyFont="1" applyFill="1" applyBorder="1" applyAlignment="1">
      <alignment/>
    </xf>
    <xf numFmtId="4" fontId="1" fillId="35" borderId="25" xfId="0" applyNumberFormat="1" applyFont="1" applyFill="1" applyBorder="1" applyAlignment="1">
      <alignment/>
    </xf>
    <xf numFmtId="0" fontId="1" fillId="35" borderId="26" xfId="0" applyFont="1" applyFill="1" applyBorder="1" applyAlignment="1">
      <alignment/>
    </xf>
    <xf numFmtId="173" fontId="5" fillId="0" borderId="0" xfId="0" applyNumberFormat="1" applyFont="1" applyFill="1" applyBorder="1" applyAlignment="1">
      <alignment horizontal="center"/>
    </xf>
    <xf numFmtId="0" fontId="5" fillId="0" borderId="0" xfId="0" applyFont="1" applyFill="1" applyAlignment="1">
      <alignment horizontal="center"/>
    </xf>
    <xf numFmtId="173" fontId="0" fillId="34" borderId="13" xfId="0" applyNumberFormat="1" applyFont="1" applyFill="1" applyBorder="1" applyAlignment="1">
      <alignment/>
    </xf>
    <xf numFmtId="0" fontId="5" fillId="0" borderId="0" xfId="0" applyFont="1" applyAlignment="1" applyProtection="1">
      <alignment horizontal="center"/>
      <protection/>
    </xf>
    <xf numFmtId="3" fontId="1" fillId="0" borderId="0" xfId="0" applyNumberFormat="1" applyFont="1" applyFill="1" applyBorder="1" applyAlignment="1" applyProtection="1">
      <alignment horizontal="center"/>
      <protection/>
    </xf>
    <xf numFmtId="0" fontId="18" fillId="0" borderId="0" xfId="0" applyFont="1" applyAlignment="1">
      <alignment/>
    </xf>
    <xf numFmtId="0" fontId="0" fillId="36" borderId="10" xfId="0" applyFill="1" applyBorder="1" applyAlignment="1">
      <alignment/>
    </xf>
    <xf numFmtId="3" fontId="0" fillId="36" borderId="10" xfId="0" applyNumberFormat="1" applyFill="1" applyBorder="1" applyAlignment="1" applyProtection="1">
      <alignment/>
      <protection locked="0"/>
    </xf>
    <xf numFmtId="3" fontId="3" fillId="0" borderId="0" xfId="0" applyNumberFormat="1" applyFont="1" applyFill="1" applyBorder="1" applyAlignment="1" applyProtection="1">
      <alignment/>
      <protection/>
    </xf>
    <xf numFmtId="0" fontId="84" fillId="0" borderId="0" xfId="0" applyFont="1" applyAlignment="1">
      <alignment/>
    </xf>
    <xf numFmtId="4" fontId="5" fillId="0" borderId="0" xfId="0" applyNumberFormat="1" applyFont="1" applyAlignment="1">
      <alignment/>
    </xf>
    <xf numFmtId="4" fontId="18" fillId="0" borderId="0" xfId="0" applyNumberFormat="1" applyFont="1" applyAlignment="1">
      <alignment/>
    </xf>
    <xf numFmtId="0" fontId="0" fillId="0" borderId="25" xfId="0" applyBorder="1" applyAlignment="1">
      <alignment/>
    </xf>
    <xf numFmtId="4" fontId="5" fillId="0" borderId="25" xfId="0" applyNumberFormat="1" applyFont="1" applyBorder="1" applyAlignment="1">
      <alignment/>
    </xf>
    <xf numFmtId="4" fontId="1" fillId="36" borderId="10" xfId="0" applyNumberFormat="1" applyFont="1" applyFill="1" applyBorder="1" applyAlignment="1" applyProtection="1">
      <alignment/>
      <protection locked="0"/>
    </xf>
    <xf numFmtId="4" fontId="5" fillId="0" borderId="15" xfId="0" applyNumberFormat="1" applyFont="1" applyBorder="1" applyAlignment="1">
      <alignment/>
    </xf>
    <xf numFmtId="3" fontId="1" fillId="34" borderId="13" xfId="0" applyNumberFormat="1" applyFont="1" applyFill="1" applyBorder="1" applyAlignment="1">
      <alignment/>
    </xf>
    <xf numFmtId="4" fontId="18" fillId="34" borderId="14" xfId="0" applyNumberFormat="1" applyFont="1" applyFill="1" applyBorder="1" applyAlignment="1">
      <alignment/>
    </xf>
    <xf numFmtId="0" fontId="1" fillId="35" borderId="0" xfId="0" applyFont="1" applyFill="1" applyBorder="1" applyAlignment="1">
      <alignment/>
    </xf>
    <xf numFmtId="0" fontId="0" fillId="35" borderId="0" xfId="0" applyFill="1" applyBorder="1" applyAlignment="1">
      <alignment/>
    </xf>
    <xf numFmtId="0" fontId="0" fillId="35" borderId="22" xfId="0" applyFill="1" applyBorder="1" applyAlignment="1">
      <alignment/>
    </xf>
    <xf numFmtId="0" fontId="0" fillId="35" borderId="24" xfId="0" applyFill="1" applyBorder="1" applyAlignment="1">
      <alignment/>
    </xf>
    <xf numFmtId="0" fontId="0" fillId="35" borderId="25" xfId="0" applyFont="1" applyFill="1" applyBorder="1" applyAlignment="1">
      <alignment/>
    </xf>
    <xf numFmtId="0" fontId="0" fillId="35" borderId="25" xfId="0" applyFill="1" applyBorder="1" applyAlignment="1">
      <alignment/>
    </xf>
    <xf numFmtId="0" fontId="1" fillId="35" borderId="27" xfId="0" applyFont="1" applyFill="1" applyBorder="1" applyAlignment="1">
      <alignment/>
    </xf>
    <xf numFmtId="0" fontId="0" fillId="35" borderId="0" xfId="0" applyFont="1" applyFill="1" applyBorder="1" applyAlignment="1">
      <alignment/>
    </xf>
    <xf numFmtId="0" fontId="0" fillId="0" borderId="15" xfId="0" applyFont="1" applyBorder="1" applyAlignment="1">
      <alignment/>
    </xf>
    <xf numFmtId="3" fontId="0" fillId="33" borderId="16" xfId="0" applyNumberFormat="1" applyFont="1" applyFill="1" applyBorder="1" applyAlignment="1" applyProtection="1">
      <alignment/>
      <protection locked="0"/>
    </xf>
    <xf numFmtId="4" fontId="0" fillId="10" borderId="16" xfId="0" applyNumberFormat="1" applyFont="1" applyFill="1" applyBorder="1" applyAlignment="1" applyProtection="1">
      <alignment/>
      <protection locked="0"/>
    </xf>
    <xf numFmtId="4" fontId="0" fillId="0" borderId="15" xfId="0" applyNumberFormat="1" applyFont="1" applyBorder="1" applyAlignment="1" applyProtection="1">
      <alignment/>
      <protection/>
    </xf>
    <xf numFmtId="3" fontId="0" fillId="0" borderId="15" xfId="0" applyNumberFormat="1" applyFont="1" applyBorder="1" applyAlignment="1" applyProtection="1">
      <alignment/>
      <protection/>
    </xf>
    <xf numFmtId="178" fontId="0" fillId="0" borderId="0" xfId="0" applyNumberFormat="1" applyAlignment="1" applyProtection="1">
      <alignment/>
      <protection/>
    </xf>
    <xf numFmtId="1" fontId="0" fillId="0" borderId="0" xfId="0" applyNumberFormat="1" applyAlignment="1" applyProtection="1">
      <alignment/>
      <protection/>
    </xf>
    <xf numFmtId="2" fontId="0" fillId="34" borderId="13" xfId="0" applyNumberFormat="1" applyFill="1" applyBorder="1" applyAlignment="1" applyProtection="1">
      <alignment/>
      <protection/>
    </xf>
    <xf numFmtId="3" fontId="5" fillId="0" borderId="0" xfId="0" applyNumberFormat="1" applyFont="1" applyAlignment="1" applyProtection="1">
      <alignment horizontal="right"/>
      <protection/>
    </xf>
    <xf numFmtId="0" fontId="1" fillId="0" borderId="0" xfId="0" applyNumberFormat="1" applyFont="1" applyFill="1" applyBorder="1" applyAlignment="1" applyProtection="1">
      <alignment horizontal="center"/>
      <protection/>
    </xf>
    <xf numFmtId="1" fontId="1" fillId="0" borderId="0" xfId="0" applyNumberFormat="1" applyFont="1" applyFill="1" applyAlignment="1" applyProtection="1">
      <alignment horizontal="center"/>
      <protection/>
    </xf>
    <xf numFmtId="3" fontId="1" fillId="0" borderId="0" xfId="0" applyNumberFormat="1" applyFont="1" applyFill="1" applyAlignment="1" applyProtection="1" quotePrefix="1">
      <alignment horizontal="center"/>
      <protection/>
    </xf>
    <xf numFmtId="0" fontId="85" fillId="0" borderId="0" xfId="0" applyFont="1" applyAlignment="1">
      <alignment/>
    </xf>
    <xf numFmtId="0" fontId="86" fillId="0" borderId="0" xfId="0" applyFont="1" applyAlignment="1">
      <alignment/>
    </xf>
    <xf numFmtId="3" fontId="0" fillId="0" borderId="15" xfId="0" applyNumberFormat="1" applyBorder="1" applyAlignment="1">
      <alignment/>
    </xf>
    <xf numFmtId="3" fontId="0" fillId="33" borderId="10" xfId="0" applyNumberFormat="1" applyFont="1" applyFill="1" applyBorder="1" applyAlignment="1" applyProtection="1">
      <alignment horizontal="center"/>
      <protection locked="0"/>
    </xf>
    <xf numFmtId="0" fontId="0" fillId="0" borderId="0" xfId="0" applyFont="1" applyFill="1" applyAlignment="1">
      <alignment/>
    </xf>
    <xf numFmtId="0" fontId="2" fillId="0" borderId="0" xfId="0" applyFont="1" applyAlignment="1">
      <alignment/>
    </xf>
    <xf numFmtId="0" fontId="5" fillId="35" borderId="22" xfId="0" applyFont="1" applyFill="1" applyBorder="1" applyAlignment="1">
      <alignment horizontal="right"/>
    </xf>
    <xf numFmtId="0" fontId="5" fillId="35" borderId="23" xfId="0" applyFont="1" applyFill="1" applyBorder="1" applyAlignment="1">
      <alignment horizontal="right"/>
    </xf>
    <xf numFmtId="0" fontId="8" fillId="0" borderId="0" xfId="0" applyFont="1" applyAlignment="1" applyProtection="1">
      <alignment/>
      <protection/>
    </xf>
    <xf numFmtId="3" fontId="0" fillId="0" borderId="0" xfId="0" applyNumberFormat="1" applyAlignment="1">
      <alignment horizontal="right"/>
    </xf>
    <xf numFmtId="0" fontId="0" fillId="0" borderId="0" xfId="0" applyFont="1" applyAlignment="1">
      <alignment horizontal="right"/>
    </xf>
    <xf numFmtId="171" fontId="0" fillId="0" borderId="0" xfId="0" applyNumberFormat="1" applyAlignment="1">
      <alignment/>
    </xf>
    <xf numFmtId="182" fontId="0" fillId="0" borderId="0" xfId="0" applyNumberFormat="1" applyAlignment="1">
      <alignment/>
    </xf>
    <xf numFmtId="166" fontId="0" fillId="33" borderId="10" xfId="0" applyNumberFormat="1" applyFill="1" applyBorder="1" applyAlignment="1" applyProtection="1">
      <alignment/>
      <protection locked="0"/>
    </xf>
    <xf numFmtId="171" fontId="0" fillId="33" borderId="10" xfId="0" applyNumberFormat="1" applyFill="1" applyBorder="1" applyAlignment="1" applyProtection="1">
      <alignment/>
      <protection locked="0"/>
    </xf>
    <xf numFmtId="3" fontId="0" fillId="33" borderId="16" xfId="0" applyNumberFormat="1" applyFill="1" applyBorder="1" applyAlignment="1" applyProtection="1">
      <alignment/>
      <protection locked="0"/>
    </xf>
    <xf numFmtId="0" fontId="5" fillId="0" borderId="15" xfId="0" applyFont="1" applyBorder="1" applyAlignment="1">
      <alignment/>
    </xf>
    <xf numFmtId="0" fontId="0" fillId="0" borderId="28" xfId="0" applyBorder="1" applyAlignment="1">
      <alignment/>
    </xf>
    <xf numFmtId="171" fontId="0" fillId="0" borderId="15" xfId="0" applyNumberFormat="1" applyBorder="1" applyAlignment="1">
      <alignment/>
    </xf>
    <xf numFmtId="171" fontId="0" fillId="0" borderId="0" xfId="0" applyNumberFormat="1" applyBorder="1" applyAlignment="1">
      <alignment/>
    </xf>
    <xf numFmtId="171" fontId="0" fillId="33" borderId="17" xfId="0" applyNumberFormat="1" applyFill="1" applyBorder="1" applyAlignment="1" applyProtection="1">
      <alignment/>
      <protection locked="0"/>
    </xf>
    <xf numFmtId="0" fontId="0" fillId="0" borderId="15" xfId="0" applyFill="1" applyBorder="1" applyAlignment="1">
      <alignment/>
    </xf>
    <xf numFmtId="171" fontId="0" fillId="0" borderId="15" xfId="0" applyNumberFormat="1" applyFill="1" applyBorder="1" applyAlignment="1" applyProtection="1">
      <alignment/>
      <protection locked="0"/>
    </xf>
    <xf numFmtId="170" fontId="0" fillId="0" borderId="15" xfId="0" applyNumberFormat="1" applyFill="1" applyBorder="1" applyAlignment="1">
      <alignment/>
    </xf>
    <xf numFmtId="0" fontId="0" fillId="0" borderId="0" xfId="0" applyFont="1" applyBorder="1" applyAlignment="1">
      <alignment/>
    </xf>
    <xf numFmtId="0" fontId="0" fillId="0" borderId="15" xfId="0" applyFont="1" applyFill="1" applyBorder="1" applyAlignment="1">
      <alignment/>
    </xf>
    <xf numFmtId="0" fontId="0" fillId="0" borderId="15" xfId="0" applyBorder="1" applyAlignment="1" applyProtection="1">
      <alignment horizontal="right"/>
      <protection/>
    </xf>
    <xf numFmtId="3" fontId="6" fillId="0" borderId="15" xfId="0" applyNumberFormat="1" applyFont="1" applyBorder="1" applyAlignment="1" applyProtection="1">
      <alignment/>
      <protection/>
    </xf>
    <xf numFmtId="182" fontId="0" fillId="0" borderId="15" xfId="0" applyNumberFormat="1" applyBorder="1" applyAlignment="1">
      <alignment/>
    </xf>
    <xf numFmtId="2" fontId="0" fillId="10" borderId="16" xfId="0" applyNumberFormat="1" applyFill="1" applyBorder="1" applyAlignment="1" applyProtection="1">
      <alignment/>
      <protection locked="0"/>
    </xf>
    <xf numFmtId="3" fontId="5" fillId="0" borderId="15" xfId="0" applyNumberFormat="1" applyFont="1" applyBorder="1" applyAlignment="1" applyProtection="1">
      <alignment horizontal="right"/>
      <protection/>
    </xf>
    <xf numFmtId="4" fontId="0" fillId="10" borderId="16" xfId="0" applyNumberFormat="1" applyFill="1" applyBorder="1" applyAlignment="1" applyProtection="1">
      <alignment/>
      <protection locked="0"/>
    </xf>
    <xf numFmtId="4" fontId="0" fillId="0" borderId="0" xfId="0" applyNumberFormat="1" applyBorder="1" applyAlignment="1">
      <alignment/>
    </xf>
    <xf numFmtId="0" fontId="0" fillId="0" borderId="15" xfId="0" applyBorder="1" applyAlignment="1" applyProtection="1">
      <alignment/>
      <protection/>
    </xf>
    <xf numFmtId="0" fontId="0" fillId="0" borderId="15" xfId="0" applyFont="1" applyBorder="1" applyAlignment="1" applyProtection="1" quotePrefix="1">
      <alignment/>
      <protection/>
    </xf>
    <xf numFmtId="3" fontId="5" fillId="0" borderId="15" xfId="0" applyNumberFormat="1" applyFont="1" applyFill="1" applyBorder="1" applyAlignment="1" applyProtection="1">
      <alignment/>
      <protection/>
    </xf>
    <xf numFmtId="1" fontId="0" fillId="0" borderId="15" xfId="0" applyNumberFormat="1" applyBorder="1" applyAlignment="1" applyProtection="1">
      <alignment/>
      <protection/>
    </xf>
    <xf numFmtId="3" fontId="0" fillId="0" borderId="0" xfId="0" applyNumberFormat="1" applyBorder="1" applyAlignment="1">
      <alignment/>
    </xf>
    <xf numFmtId="3" fontId="0" fillId="0" borderId="10" xfId="0" applyNumberFormat="1" applyFill="1" applyBorder="1" applyAlignment="1" applyProtection="1">
      <alignment/>
      <protection locked="0"/>
    </xf>
    <xf numFmtId="3" fontId="2" fillId="0" borderId="0" xfId="0" applyNumberFormat="1" applyFont="1" applyAlignment="1">
      <alignment/>
    </xf>
    <xf numFmtId="0" fontId="5" fillId="0" borderId="0" xfId="0" applyFont="1" applyBorder="1" applyAlignment="1" applyProtection="1">
      <alignment horizontal="right"/>
      <protection/>
    </xf>
    <xf numFmtId="0" fontId="16" fillId="16" borderId="19" xfId="47" applyFont="1" applyFill="1" applyBorder="1" applyAlignment="1" applyProtection="1">
      <alignment horizontal="left"/>
      <protection/>
    </xf>
    <xf numFmtId="4" fontId="16" fillId="16" borderId="26" xfId="47" applyNumberFormat="1" applyFont="1" applyFill="1" applyBorder="1" applyAlignment="1" applyProtection="1">
      <alignment horizontal="center"/>
      <protection/>
    </xf>
    <xf numFmtId="4" fontId="0" fillId="0" borderId="16" xfId="0" applyNumberFormat="1" applyFill="1" applyBorder="1" applyAlignment="1">
      <alignment/>
    </xf>
    <xf numFmtId="3" fontId="22" fillId="35" borderId="23" xfId="47" applyNumberFormat="1" applyFont="1" applyFill="1" applyBorder="1" applyAlignment="1">
      <alignment horizontal="center"/>
      <protection/>
    </xf>
    <xf numFmtId="3" fontId="22" fillId="35" borderId="11" xfId="47" applyNumberFormat="1" applyFont="1" applyFill="1" applyBorder="1" applyAlignment="1">
      <alignment horizontal="center"/>
      <protection/>
    </xf>
    <xf numFmtId="3" fontId="22" fillId="35" borderId="26" xfId="47" applyNumberFormat="1" applyFont="1" applyFill="1" applyBorder="1" applyAlignment="1">
      <alignment horizontal="center"/>
      <protection/>
    </xf>
    <xf numFmtId="0" fontId="24" fillId="0" borderId="0" xfId="0" applyFont="1" applyAlignment="1">
      <alignment/>
    </xf>
    <xf numFmtId="4" fontId="0" fillId="0" borderId="0" xfId="0" applyNumberFormat="1" applyFont="1" applyBorder="1" applyAlignment="1">
      <alignment/>
    </xf>
    <xf numFmtId="3" fontId="0" fillId="0" borderId="0" xfId="0" applyNumberFormat="1" applyFont="1" applyAlignment="1">
      <alignment/>
    </xf>
    <xf numFmtId="0" fontId="1" fillId="0" borderId="15" xfId="0" applyFont="1" applyBorder="1" applyAlignment="1">
      <alignment/>
    </xf>
    <xf numFmtId="4" fontId="1" fillId="0" borderId="15" xfId="0" applyNumberFormat="1" applyFont="1" applyBorder="1" applyAlignment="1">
      <alignment/>
    </xf>
    <xf numFmtId="3" fontId="0" fillId="33" borderId="16" xfId="0" applyNumberFormat="1" applyFill="1" applyBorder="1" applyAlignment="1">
      <alignment/>
    </xf>
    <xf numFmtId="3" fontId="0" fillId="33" borderId="19" xfId="0" applyNumberFormat="1" applyFill="1" applyBorder="1" applyAlignment="1">
      <alignment/>
    </xf>
    <xf numFmtId="4" fontId="0" fillId="33" borderId="10" xfId="0" applyNumberFormat="1" applyFill="1" applyBorder="1" applyAlignment="1" applyProtection="1">
      <alignment horizontal="center"/>
      <protection locked="0"/>
    </xf>
    <xf numFmtId="3" fontId="5" fillId="0" borderId="0" xfId="0" applyNumberFormat="1" applyFont="1" applyFill="1" applyAlignment="1" applyProtection="1">
      <alignment horizontal="right"/>
      <protection/>
    </xf>
    <xf numFmtId="3" fontId="1" fillId="0" borderId="0" xfId="0" applyNumberFormat="1" applyFont="1" applyBorder="1" applyAlignment="1">
      <alignment/>
    </xf>
    <xf numFmtId="3" fontId="0" fillId="35" borderId="25" xfId="0" applyNumberFormat="1" applyFont="1" applyFill="1" applyBorder="1" applyAlignment="1">
      <alignment/>
    </xf>
    <xf numFmtId="3" fontId="25" fillId="35" borderId="0" xfId="0" applyNumberFormat="1" applyFont="1" applyFill="1" applyBorder="1" applyAlignment="1">
      <alignment/>
    </xf>
    <xf numFmtId="4" fontId="25" fillId="35" borderId="11" xfId="0" applyNumberFormat="1" applyFont="1" applyFill="1" applyBorder="1" applyAlignment="1">
      <alignment/>
    </xf>
    <xf numFmtId="4" fontId="0" fillId="35" borderId="26" xfId="0" applyNumberFormat="1" applyFont="1" applyFill="1" applyBorder="1" applyAlignment="1">
      <alignment/>
    </xf>
    <xf numFmtId="3" fontId="0" fillId="0" borderId="0" xfId="0" applyNumberFormat="1" applyFont="1" applyFill="1" applyAlignment="1">
      <alignment/>
    </xf>
    <xf numFmtId="0" fontId="0" fillId="35" borderId="12" xfId="0" applyFont="1" applyFill="1" applyBorder="1" applyAlignment="1">
      <alignment/>
    </xf>
    <xf numFmtId="0" fontId="0" fillId="35" borderId="13" xfId="0" applyFont="1" applyFill="1" applyBorder="1" applyAlignment="1">
      <alignment/>
    </xf>
    <xf numFmtId="3" fontId="0" fillId="35" borderId="13" xfId="0" applyNumberFormat="1" applyFont="1" applyFill="1" applyBorder="1" applyAlignment="1">
      <alignment/>
    </xf>
    <xf numFmtId="4" fontId="5" fillId="35" borderId="14" xfId="0" applyNumberFormat="1" applyFont="1" applyFill="1" applyBorder="1" applyAlignment="1">
      <alignment/>
    </xf>
    <xf numFmtId="4" fontId="87" fillId="0" borderId="0" xfId="0" applyNumberFormat="1" applyFont="1" applyAlignment="1">
      <alignment/>
    </xf>
    <xf numFmtId="0" fontId="87" fillId="0" borderId="0" xfId="0" applyFont="1" applyAlignment="1">
      <alignment/>
    </xf>
    <xf numFmtId="3" fontId="88" fillId="0" borderId="0" xfId="0" applyNumberFormat="1" applyFont="1" applyFill="1" applyAlignment="1">
      <alignment/>
    </xf>
    <xf numFmtId="4" fontId="0" fillId="0" borderId="0" xfId="0" applyNumberFormat="1" applyFont="1" applyBorder="1" applyAlignment="1" applyProtection="1">
      <alignment/>
      <protection/>
    </xf>
    <xf numFmtId="174" fontId="18" fillId="0" borderId="0" xfId="0" applyNumberFormat="1" applyFont="1" applyBorder="1" applyAlignment="1" applyProtection="1">
      <alignment/>
      <protection/>
    </xf>
    <xf numFmtId="4" fontId="85" fillId="0" borderId="0" xfId="0" applyNumberFormat="1" applyFont="1" applyAlignment="1">
      <alignment/>
    </xf>
    <xf numFmtId="0" fontId="85" fillId="0" borderId="0" xfId="0" applyFont="1" applyFill="1" applyAlignment="1">
      <alignment/>
    </xf>
    <xf numFmtId="0" fontId="89" fillId="0" borderId="0" xfId="0" applyFont="1" applyAlignment="1">
      <alignment/>
    </xf>
    <xf numFmtId="3" fontId="85" fillId="0" borderId="0" xfId="0" applyNumberFormat="1" applyFont="1" applyAlignment="1">
      <alignment/>
    </xf>
    <xf numFmtId="3" fontId="85" fillId="0" borderId="0" xfId="0" applyNumberFormat="1" applyFont="1" applyAlignment="1" quotePrefix="1">
      <alignment/>
    </xf>
    <xf numFmtId="0" fontId="85" fillId="0" borderId="25" xfId="0" applyFont="1" applyFill="1" applyBorder="1" applyAlignment="1">
      <alignment/>
    </xf>
    <xf numFmtId="3" fontId="85" fillId="0" borderId="25" xfId="0" applyNumberFormat="1" applyFont="1" applyBorder="1" applyAlignment="1">
      <alignment/>
    </xf>
    <xf numFmtId="170" fontId="0" fillId="33" borderId="10" xfId="0" applyNumberFormat="1" applyFill="1" applyBorder="1" applyAlignment="1" applyProtection="1">
      <alignment/>
      <protection locked="0"/>
    </xf>
    <xf numFmtId="0" fontId="26" fillId="0" borderId="0" xfId="0" applyFont="1" applyAlignment="1">
      <alignment/>
    </xf>
    <xf numFmtId="0" fontId="26" fillId="0" borderId="0" xfId="0" applyFont="1" applyAlignment="1" quotePrefix="1">
      <alignment/>
    </xf>
    <xf numFmtId="4" fontId="7" fillId="36" borderId="10" xfId="0" applyNumberFormat="1" applyFont="1" applyFill="1" applyBorder="1" applyAlignment="1" applyProtection="1">
      <alignment/>
      <protection locked="0"/>
    </xf>
    <xf numFmtId="3" fontId="26" fillId="0" borderId="0" xfId="0" applyNumberFormat="1" applyFont="1" applyFill="1" applyAlignment="1">
      <alignment/>
    </xf>
    <xf numFmtId="4" fontId="26" fillId="0" borderId="0" xfId="0" applyNumberFormat="1" applyFont="1" applyAlignment="1">
      <alignment/>
    </xf>
    <xf numFmtId="0" fontId="4" fillId="34" borderId="12" xfId="0" applyFont="1" applyFill="1" applyBorder="1" applyAlignment="1">
      <alignment horizontal="center"/>
    </xf>
    <xf numFmtId="0" fontId="4" fillId="34" borderId="13" xfId="0" applyFont="1" applyFill="1" applyBorder="1" applyAlignment="1">
      <alignment horizontal="center"/>
    </xf>
    <xf numFmtId="0" fontId="4" fillId="34" borderId="14" xfId="0" applyFont="1" applyFill="1" applyBorder="1" applyAlignment="1">
      <alignment horizontal="center"/>
    </xf>
    <xf numFmtId="0" fontId="3" fillId="36" borderId="12" xfId="0" applyFont="1" applyFill="1" applyBorder="1" applyAlignment="1" applyProtection="1">
      <alignment horizontal="center"/>
      <protection locked="0"/>
    </xf>
    <xf numFmtId="0" fontId="3" fillId="36" borderId="14" xfId="0" applyFont="1" applyFill="1" applyBorder="1" applyAlignment="1" applyProtection="1">
      <alignment horizontal="center"/>
      <protection locked="0"/>
    </xf>
    <xf numFmtId="0" fontId="3" fillId="34" borderId="21" xfId="0" applyFont="1" applyFill="1" applyBorder="1" applyAlignment="1">
      <alignment horizontal="center"/>
    </xf>
    <xf numFmtId="0" fontId="3" fillId="34" borderId="22" xfId="0" applyFont="1" applyFill="1" applyBorder="1" applyAlignment="1">
      <alignment horizontal="center"/>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25" xfId="0" applyFont="1" applyFill="1" applyBorder="1" applyAlignment="1">
      <alignment horizontal="center"/>
    </xf>
    <xf numFmtId="0" fontId="3" fillId="34" borderId="26"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4" fontId="0" fillId="0" borderId="0" xfId="0" applyNumberFormat="1" applyAlignment="1" applyProtection="1">
      <alignment/>
      <protection/>
    </xf>
    <xf numFmtId="10" fontId="0" fillId="10" borderId="10" xfId="56" applyNumberFormat="1" applyFont="1" applyFill="1" applyBorder="1" applyAlignment="1" applyProtection="1">
      <alignment/>
      <protection locked="0"/>
    </xf>
    <xf numFmtId="4" fontId="0" fillId="10" borderId="19" xfId="0" applyNumberFormat="1" applyFont="1" applyFill="1" applyBorder="1" applyAlignment="1" applyProtection="1">
      <alignment/>
      <protection locked="0"/>
    </xf>
    <xf numFmtId="0" fontId="49" fillId="0" borderId="0" xfId="0" applyFont="1" applyAlignment="1">
      <alignment/>
    </xf>
    <xf numFmtId="0" fontId="26" fillId="0" borderId="0" xfId="0" applyFont="1" applyAlignment="1" applyProtection="1">
      <alignment/>
      <protection/>
    </xf>
    <xf numFmtId="3" fontId="7" fillId="33" borderId="10" xfId="0" applyNumberFormat="1" applyFont="1" applyFill="1" applyBorder="1" applyAlignment="1" quotePrefix="1">
      <alignment/>
    </xf>
    <xf numFmtId="4" fontId="26" fillId="34" borderId="14" xfId="0" applyNumberFormat="1" applyFont="1" applyFill="1" applyBorder="1" applyAlignment="1">
      <alignment/>
    </xf>
    <xf numFmtId="3" fontId="7" fillId="34" borderId="12" xfId="0" applyNumberFormat="1" applyFont="1" applyFill="1" applyBorder="1" applyAlignment="1">
      <alignment/>
    </xf>
    <xf numFmtId="4" fontId="26" fillId="35" borderId="14" xfId="0" applyNumberFormat="1" applyFont="1" applyFill="1" applyBorder="1" applyAlignment="1">
      <alignment/>
    </xf>
    <xf numFmtId="3" fontId="7" fillId="35" borderId="12" xfId="0" applyNumberFormat="1" applyFont="1" applyFill="1" applyBorder="1" applyAlignment="1">
      <alignment/>
    </xf>
    <xf numFmtId="3" fontId="26" fillId="0" borderId="0" xfId="0" applyNumberFormat="1" applyFont="1" applyAlignment="1">
      <alignment/>
    </xf>
    <xf numFmtId="0" fontId="0" fillId="0" borderId="0" xfId="0" applyFont="1" applyAlignment="1" quotePrefix="1">
      <alignment/>
    </xf>
    <xf numFmtId="4" fontId="0" fillId="0" borderId="0" xfId="0" applyNumberFormat="1" applyFill="1" applyAlignment="1">
      <alignment/>
    </xf>
    <xf numFmtId="168" fontId="0" fillId="10" borderId="10" xfId="0" applyNumberFormat="1" applyFill="1" applyBorder="1" applyAlignment="1" applyProtection="1">
      <alignment/>
      <protection locked="0"/>
    </xf>
    <xf numFmtId="0" fontId="50" fillId="0" borderId="0" xfId="0" applyFont="1" applyAlignment="1">
      <alignment/>
    </xf>
    <xf numFmtId="0" fontId="51" fillId="0" borderId="0" xfId="42" applyFont="1" applyAlignment="1" applyProtection="1">
      <alignment/>
      <protection/>
    </xf>
  </cellXfs>
  <cellStyles count="51">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Otsikko" xfId="49"/>
    <cellStyle name="Otsikko 1" xfId="50"/>
    <cellStyle name="Otsikko 2" xfId="51"/>
    <cellStyle name="Otsikko 3" xfId="52"/>
    <cellStyle name="Otsikko 4" xfId="53"/>
    <cellStyle name="Comma" xfId="54"/>
    <cellStyle name="Comma [0]" xfId="55"/>
    <cellStyle name="Percent" xfId="56"/>
    <cellStyle name="Selittävä teksti" xfId="57"/>
    <cellStyle name="Summa" xfId="58"/>
    <cellStyle name="Syöttö" xfId="59"/>
    <cellStyle name="Tarkistussolu" xfId="60"/>
    <cellStyle name="Tulostus" xfId="61"/>
    <cellStyle name="Currency" xfId="62"/>
    <cellStyle name="Currency [0]" xfId="63"/>
    <cellStyle name="Varoitusteksti"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11</xdr:col>
      <xdr:colOff>114300</xdr:colOff>
      <xdr:row>105</xdr:row>
      <xdr:rowOff>85725</xdr:rowOff>
    </xdr:to>
    <xdr:sp>
      <xdr:nvSpPr>
        <xdr:cNvPr id="1" name="Tekstiruutu 2"/>
        <xdr:cNvSpPr txBox="1">
          <a:spLocks noChangeArrowheads="1"/>
        </xdr:cNvSpPr>
      </xdr:nvSpPr>
      <xdr:spPr>
        <a:xfrm>
          <a:off x="38100" y="9525"/>
          <a:ext cx="7172325" cy="17011650"/>
        </a:xfrm>
        <a:prstGeom prst="rect">
          <a:avLst/>
        </a:prstGeom>
        <a:solidFill>
          <a:srgbClr val="FFFFFF"/>
        </a:solidFill>
        <a:ln w="9525" cmpd="sng">
          <a:noFill/>
        </a:ln>
      </xdr:spPr>
      <xdr:txBody>
        <a:bodyPr vertOverflow="clip" wrap="square"/>
        <a:p>
          <a:pPr algn="l">
            <a:defRPr/>
          </a:pPr>
          <a:r>
            <a:rPr lang="en-US" cap="none" sz="1400" b="1" i="0" u="sng" baseline="0">
              <a:solidFill>
                <a:srgbClr val="000000"/>
              </a:solidFill>
              <a:latin typeface="Calibri"/>
              <a:ea typeface="Calibri"/>
              <a:cs typeface="Calibri"/>
            </a:rPr>
            <a:t>KUNTALIITON</a:t>
          </a:r>
          <a:r>
            <a:rPr lang="en-US" cap="none" sz="1400" b="1" i="0" u="sng" baseline="0">
              <a:solidFill>
                <a:srgbClr val="000000"/>
              </a:solidFill>
              <a:latin typeface="Calibri"/>
              <a:ea typeface="Calibri"/>
              <a:cs typeface="Calibri"/>
            </a:rPr>
            <a:t> V</a:t>
          </a:r>
          <a:r>
            <a:rPr lang="en-US" cap="none" sz="1400" b="1" i="0" u="sng" baseline="0">
              <a:solidFill>
                <a:srgbClr val="000000"/>
              </a:solidFill>
              <a:latin typeface="Calibri"/>
              <a:ea typeface="Calibri"/>
              <a:cs typeface="Calibri"/>
            </a:rPr>
            <a:t>ALTIONOSUUSLASKURIN KÄYTTÖOHJEET</a:t>
          </a:r>
          <a:r>
            <a:rPr lang="en-US" cap="none" sz="1400" b="1"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päivitetty 3.10.2017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Valtionosuuslaskurin avulla  voidaan laskea kunnan valtionosuusrahoituksen määrä.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Valtionosuuslaskurilla</a:t>
          </a:r>
          <a:r>
            <a:rPr lang="en-US" cap="none" sz="1200" b="1" i="0" u="none" baseline="0">
              <a:solidFill>
                <a:srgbClr val="000000"/>
              </a:solidFill>
              <a:latin typeface="Calibri"/>
              <a:ea typeface="Calibri"/>
              <a:cs typeface="Calibri"/>
            </a:rPr>
            <a:t> on monta käyttötarkoitusta</a:t>
          </a:r>
          <a:r>
            <a:rPr lang="en-US" cap="none" sz="1200" b="1"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a:t>
          </a:r>
          <a:r>
            <a:rPr lang="en-US" cap="none" sz="1200" b="0" i="0" u="none" baseline="0">
              <a:solidFill>
                <a:srgbClr val="000000"/>
              </a:solidFill>
              <a:latin typeface="Calibri"/>
              <a:ea typeface="Calibri"/>
              <a:cs typeface="Calibri"/>
            </a:rPr>
            <a:t> on hyvä apu talousarvion valmistelussa. Laskurin avulla valtionosuusjärjestelmän kokonaisuuden hahmottaminen helpottuu: täyttäessään laskuria käyttäjä etenee laskennassa automaattisesti osa-alueittain käyden läpi koko kunnan valtionosuusrahoituksen kokonaisuuden.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 on käytännöllinen väline  myös vuosien välisten vertailujen tekoon. Laskuria voidaan käyttää skenaariolaskelmiin  ja sen avulla voidaan tarkastella esimerkiksi miten tiettyjen olosuhteiden tai asukasmäärien muutokset vaikuttaisivat kunnan saaman valtionosuuden määrään. Mielenkiintoisia kysymyksiä ovat esimerkiksi muuttoliikkeen aiheuttamasta väestökehityksestä johtuvien ikärakennemuutosten vaikutus valtionosuusrahoitukseen sekä se, miten muutos työllisyydessä tai sairastavuudessa vaikuttaa kunnan saaman valtionosuusrahoituksen määrään.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Laskurin värikoodaus auttaa havainnollistamaan valtionosuusjärjestelmän kokonaisuuden
</a:t>
          </a:r>
          <a:r>
            <a:rPr lang="en-US" cap="none" sz="5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valtionosuusrahoitus </a:t>
          </a:r>
          <a:r>
            <a:rPr lang="en-US" cap="none" sz="1200" b="0" i="0" u="none" baseline="0">
              <a:solidFill>
                <a:srgbClr val="000000"/>
              </a:solidFill>
              <a:latin typeface="Calibri"/>
              <a:ea typeface="Calibri"/>
              <a:cs typeface="Calibri"/>
            </a:rPr>
            <a:t>muodostuu kahdesta osasta: </a:t>
          </a:r>
          <a:r>
            <a:rPr lang="en-US" cap="none" sz="1200" b="1" i="0" u="none" baseline="0">
              <a:solidFill>
                <a:srgbClr val="008000"/>
              </a:solidFill>
              <a:latin typeface="Calibri"/>
              <a:ea typeface="Calibri"/>
              <a:cs typeface="Calibri"/>
            </a:rPr>
            <a:t>kunnan peruspalvelujen valtionosuudesta </a:t>
          </a:r>
          <a:r>
            <a:rPr lang="en-US" cap="none" sz="1200" b="0" i="0" u="none" baseline="0">
              <a:solidFill>
                <a:srgbClr val="000000"/>
              </a:solidFill>
              <a:latin typeface="Calibri"/>
              <a:ea typeface="Calibri"/>
              <a:cs typeface="Calibri"/>
            </a:rPr>
            <a:t>ja </a:t>
          </a:r>
          <a:r>
            <a:rPr lang="en-US" cap="none" sz="1200" b="1" i="0" u="none" baseline="0">
              <a:solidFill>
                <a:srgbClr val="0066CC"/>
              </a:solidFill>
              <a:latin typeface="Calibri"/>
              <a:ea typeface="Calibri"/>
              <a:cs typeface="Calibri"/>
            </a:rPr>
            <a:t>opetus- ja kulttuuritoimen rahoituksesta </a:t>
          </a:r>
          <a:r>
            <a:rPr lang="en-US" cap="none" sz="1200" b="0" i="0" u="none" baseline="0">
              <a:solidFill>
                <a:srgbClr val="000000"/>
              </a:solidFill>
              <a:latin typeface="Calibri"/>
              <a:ea typeface="Calibri"/>
              <a:cs typeface="Calibri"/>
            </a:rPr>
            <a:t>annetun lain mukaisesta valtionosuusrahoituksesta.  </a:t>
          </a:r>
          <a:r>
            <a:rPr lang="en-US" cap="none" sz="1200" b="0" i="0" u="none" baseline="0">
              <a:solidFill>
                <a:srgbClr val="000000"/>
              </a:solidFill>
              <a:latin typeface="Calibri"/>
              <a:ea typeface="Calibri"/>
              <a:cs typeface="Calibri"/>
            </a:rPr>
            <a:t>Kumpikin valtionosuusrahoituksen osa tulee ottaa huomioon</a:t>
          </a:r>
          <a:r>
            <a:rPr lang="en-US" cap="none" sz="1200" b="0" i="0" u="none" baseline="0">
              <a:solidFill>
                <a:srgbClr val="000000"/>
              </a:solidFill>
              <a:latin typeface="Calibri"/>
              <a:ea typeface="Calibri"/>
              <a:cs typeface="Calibri"/>
            </a:rPr>
            <a:t> kunnan valtionosuusrahoituksen kokonaisuutta arvioitaessa.</a:t>
          </a:r>
          <a:r>
            <a:rPr lang="en-US" cap="none" sz="1200" b="0" i="0" u="none" baseline="0">
              <a:solidFill>
                <a:srgbClr val="000000"/>
              </a:solidFill>
              <a:latin typeface="Calibri"/>
              <a:ea typeface="Calibri"/>
              <a:cs typeface="Calibri"/>
            </a:rPr>
            <a:t> Valtionosuusrahoituksen maksatus tapahtuu keskitetysti kuukauden 11. päivään mennessä.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Valtionosuuden perusteena olevat laskennalliset kustannukset ja muut valtionosuusrahoituksen osatekijät on eroteltu valtionosuuslaskurissa omiksi taulukoikseen. 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Opetus- ja kulttuuritoimen valtionosuuteen liittyvät taulukot on merkitty </a:t>
          </a:r>
          <a:r>
            <a:rPr lang="en-US" cap="none" sz="1200" b="1" i="0" u="none" baseline="0">
              <a:solidFill>
                <a:srgbClr val="0066CC"/>
              </a:solidFill>
              <a:latin typeface="Calibri"/>
              <a:ea typeface="Calibri"/>
              <a:cs typeface="Calibri"/>
            </a:rPr>
            <a:t>sinisin</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taulukonvalitsimin.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merkittyyn Yhteenveto-taulukkoon, joka kertoo kunnan valtionosuusrahoituksen yhteismäärän.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 koostuu kymmenestä erillisestä taulukosta
</a:t>
          </a:r>
          <a:r>
            <a:rPr lang="en-US" cap="none" sz="5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1. Täyttöohjeet
</a:t>
          </a:r>
          <a:r>
            <a:rPr lang="en-US" cap="none" sz="1200" b="1" i="0" u="none" baseline="0">
              <a:solidFill>
                <a:srgbClr val="FF0000"/>
              </a:solidFill>
              <a:latin typeface="Calibri"/>
              <a:ea typeface="Calibri"/>
              <a:cs typeface="Calibri"/>
            </a:rPr>
            <a:t>2. Yhteenveto
</a:t>
          </a:r>
          <a:r>
            <a:rPr lang="en-US" cap="none" sz="1200" b="1" i="0" u="none" baseline="0">
              <a:solidFill>
                <a:srgbClr val="008000"/>
              </a:solidFill>
              <a:latin typeface="Calibri"/>
              <a:ea typeface="Calibri"/>
              <a:cs typeface="Calibri"/>
            </a:rPr>
            <a:t>3. Ikärakenne
</a:t>
          </a:r>
          <a:r>
            <a:rPr lang="en-US" cap="none" sz="1200" b="1" i="0" u="none" baseline="0">
              <a:solidFill>
                <a:srgbClr val="008000"/>
              </a:solidFill>
              <a:latin typeface="Calibri"/>
              <a:ea typeface="Calibri"/>
              <a:cs typeface="Calibri"/>
            </a:rPr>
            <a:t>4. Muut laskennalliset korotukset
</a:t>
          </a:r>
          <a:r>
            <a:rPr lang="en-US" cap="none" sz="1200" b="1" i="0" u="none" baseline="0">
              <a:solidFill>
                <a:srgbClr val="008000"/>
              </a:solidFill>
              <a:latin typeface="Calibri"/>
              <a:ea typeface="Calibri"/>
              <a:cs typeface="Calibri"/>
            </a:rPr>
            <a:t>5. Lisäosat
</a:t>
          </a:r>
          <a:r>
            <a:rPr lang="en-US" cap="none" sz="1200" b="1" i="0" u="none" baseline="0">
              <a:solidFill>
                <a:srgbClr val="008000"/>
              </a:solidFill>
              <a:latin typeface="Calibri"/>
              <a:ea typeface="Calibri"/>
              <a:cs typeface="Calibri"/>
            </a:rPr>
            <a:t>6. Vähennykset ja lisäykset
</a:t>
          </a:r>
          <a:r>
            <a:rPr lang="en-US" cap="none" sz="1200" b="1" i="0" u="none" baseline="0">
              <a:solidFill>
                <a:srgbClr val="008000"/>
              </a:solidFill>
              <a:latin typeface="Calibri"/>
              <a:ea typeface="Calibri"/>
              <a:cs typeface="Calibri"/>
            </a:rPr>
            <a:t>7. Järjestelmämuutoksen tasaus 2015
</a:t>
          </a:r>
          <a:r>
            <a:rPr lang="en-US" cap="none" sz="1200" b="1" i="0" u="none" baseline="0">
              <a:solidFill>
                <a:srgbClr val="008000"/>
              </a:solidFill>
              <a:latin typeface="Calibri"/>
              <a:ea typeface="Calibri"/>
              <a:cs typeface="Calibri"/>
            </a:rPr>
            <a:t>8. Kotikuntakorvaukset </a:t>
          </a:r>
          <a:r>
            <a:rPr lang="en-US" cap="none" sz="1200" b="0" i="0" u="none" baseline="0">
              <a:solidFill>
                <a:srgbClr val="000000"/>
              </a:solidFill>
              <a:latin typeface="Calibri"/>
              <a:ea typeface="Calibri"/>
              <a:cs typeface="Calibri"/>
            </a:rPr>
            <a:t>
</a:t>
          </a:r>
          <a:r>
            <a:rPr lang="en-US" cap="none" sz="1200" b="1" i="0" u="none" baseline="0">
              <a:solidFill>
                <a:srgbClr val="0066CC"/>
              </a:solidFill>
              <a:latin typeface="Calibri"/>
              <a:ea typeface="Calibri"/>
              <a:cs typeface="Calibri"/>
            </a:rPr>
            <a:t>9. Opetus ja kulttuurin, muu vos </a:t>
          </a:r>
          <a:r>
            <a:rPr lang="en-US" cap="none" sz="1200" b="1" i="1" u="none" baseline="0">
              <a:solidFill>
                <a:srgbClr val="0066CC"/>
              </a:solidFill>
              <a:latin typeface="Calibri"/>
              <a:ea typeface="Calibri"/>
              <a:cs typeface="Calibri"/>
            </a:rPr>
            <a:t>
</a:t>
          </a:r>
          <a:r>
            <a:rPr lang="en-US" cap="none" sz="1200" b="1" i="0" u="none" baseline="0">
              <a:solidFill>
                <a:srgbClr val="0066CC"/>
              </a:solidFill>
              <a:latin typeface="Calibri"/>
              <a:ea typeface="Calibri"/>
              <a:cs typeface="Calibri"/>
            </a:rPr>
            <a:t>10. Lukiokoulutus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Syöttämällä ja/tai tarkistamalla kunkin em. kymmenen taulukon värillisiin soluihin vaadittavat valtionosuuden perusteena olevat </a:t>
          </a:r>
          <a:r>
            <a:rPr lang="en-US" cap="none" sz="1200" b="0" i="0" u="none" baseline="0">
              <a:solidFill>
                <a:srgbClr val="000000"/>
              </a:solidFill>
              <a:latin typeface="Calibri"/>
              <a:ea typeface="Calibri"/>
              <a:cs typeface="Calibri"/>
            </a:rPr>
            <a:t>kunnan </a:t>
          </a:r>
          <a:r>
            <a:rPr lang="en-US" cap="none" sz="1200" b="0" i="0" u="none" baseline="0">
              <a:solidFill>
                <a:srgbClr val="000000"/>
              </a:solidFill>
              <a:latin typeface="Calibri"/>
              <a:ea typeface="Calibri"/>
              <a:cs typeface="Calibri"/>
            </a:rPr>
            <a:t>tiedot </a:t>
          </a:r>
          <a:r>
            <a:rPr lang="en-US" cap="none" sz="1200" b="0" i="0" u="none" baseline="0">
              <a:solidFill>
                <a:srgbClr val="000000"/>
              </a:solidFill>
              <a:latin typeface="Calibri"/>
              <a:ea typeface="Calibri"/>
              <a:cs typeface="Calibri"/>
            </a:rPr>
            <a:t>laskuri laskee kunnalle myönnettävän valtionosuuden määrän. Työkirjan taulukoita voidaan käyttää myös erillisinä esimerkiksi ikärakenteen tai sairastavuuden perusteella määräytyvien laskennallisten kustannusten tai lukion yksikköhinnan laskemiseen.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Huomioithan, että taulukot sisältävät kommentti-työkalulla tehtyjä lisätietoja valtionosuuden määräytymisestä. Soluun sisältyvät kommentit erotat punaisesta kolmiosta solun yläkulmassa. Kommentit saa näkymään kuljettamalla hiiren ko. solun päälle.</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Yhteenveto
</a:t>
          </a:r>
          <a:r>
            <a:rPr lang="en-US" cap="none" sz="1200" b="0" i="0" u="none" baseline="0">
              <a:solidFill>
                <a:srgbClr val="000000"/>
              </a:solidFill>
              <a:latin typeface="Calibri"/>
              <a:ea typeface="Calibri"/>
              <a:cs typeface="Calibri"/>
            </a:rPr>
            <a:t>Yhteenveto-taulukko on merkitty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Yhteenveto-taulukon keltaisiin soluihin.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peruspalvelujen valtionosuus 
</a:t>
          </a:r>
          <a:r>
            <a:rPr lang="en-US" cap="none" sz="1200" b="0" i="0" u="none" baseline="0">
              <a:solidFill>
                <a:srgbClr val="000000"/>
              </a:solidFill>
              <a:latin typeface="Calibri"/>
              <a:ea typeface="Calibri"/>
              <a:cs typeface="Calibri"/>
            </a:rPr>
            <a:t>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Laskuri laskee ikärakenteen, sairastavuuden ja muiden tekijöiden perusteella määräytyvät</a:t>
          </a:r>
          <a:r>
            <a:rPr lang="en-US" cap="none" sz="1200" b="0" i="0" u="none" baseline="0">
              <a:solidFill>
                <a:srgbClr val="000000"/>
              </a:solidFill>
              <a:latin typeface="Calibri"/>
              <a:ea typeface="Calibri"/>
              <a:cs typeface="Calibri"/>
            </a:rPr>
            <a:t> laskennalliset kustannukset sekä lisäosat ja valtionosuuteen tehtävät vähennykset ja lisäykset , kun tarvittavat tiedot täytetään kunkin taulukon keltaisiin soluihin.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Kun laskuria käytetään tulevan varainhoitovuoden valtionosuusrahoituksen ennakointiin, on hyvä tarkistaa valtakunnallisten tietojen, esimerkiksi perushintojen oikeellisuus, sillä valtakunnalliset tiedot päivittyvät säännöllisesti laskennan edetessä ennen varainhoitovuoden alkua.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Kotikuntakorvausten laskentaa varten ao. taulukkoon täytetään kotikuntakorvauskyselyssä 31.12. tilanteesta ilmoitetut tiedot muualla kuin omassa kotikunnassaan oppivelvollisuuttaan suorittavista 6-15-vuotiaista ikäryhmittäin. Vuoden 2015 alusta alkaen kotikuntakorvauksen perusosa on kaikille kunnille yhtä suuri. Kotikuntaa vailla olevien 6-15-vuotiaiden kotikuntakorvauksen maksaa valtio.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Opetus- ja kulttuuritoimen valtionosuus </a:t>
          </a:r>
          <a:r>
            <a:rPr lang="en-US" cap="none" sz="1100" b="0" i="0" u="none" baseline="0">
              <a:solidFill>
                <a:srgbClr val="000000"/>
              </a:solidFill>
              <a:latin typeface="Calibri"/>
              <a:ea typeface="Calibri"/>
              <a:cs typeface="Calibri"/>
            </a:rPr>
            <a:t>(piilotettuna)</a:t>
          </a:r>
          <a:r>
            <a:rPr lang="en-US" cap="none" sz="1200" b="1"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Osa valtionosuusrahoituksesta myönnetään opetus- ja kulttuuritoimen rahoituksesta annettuun lakiin (1705/2009) perustuen. Opetus- ja kulttuuritoimen valtionosuusrahoituksesta euromääräisesti suurin on toisen asteen koulutuksen ylläpitäjille maksettava yksikköhintarahoitus. Lukiokoulutuksessa ylläpitäjä on tyypillisesti kunta, kun taas valtaosa toisen asteen ammatillisen koulutuksen ylläpitäjistä on kuntayhtymiä tai yksityisiä opetuksen järjestäjiä.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Opetus- ja kulttuuritoimen valtionosuusrahoitukseen sisältyvät myös  esi- ja perusopetuksen oppilaskohtaisesti rahoitettavat lisät (mm.  vammais-, lisä- ja aineopetus) sekä muu opetus- ja kulttuuritoimen valtionosuusrahoitus, esimerkiksi valtionosuus aamu- ja iltapäivätoimintaan, liikuntaan, nuorisotyöhön,  museoille, teattereille ja orkestereille. Laskurin opetus- ja kulttuuritoimen valtionosuuteen liittyvät osat on merkitty </a:t>
          </a:r>
          <a:r>
            <a:rPr lang="en-US" cap="none" sz="1200" b="1" i="0" u="none" baseline="0">
              <a:solidFill>
                <a:srgbClr val="0066CC"/>
              </a:solidFill>
              <a:latin typeface="Calibri"/>
              <a:ea typeface="Calibri"/>
              <a:cs typeface="Calibri"/>
            </a:rPr>
            <a:t>sinisellä </a:t>
          </a:r>
          <a:r>
            <a:rPr lang="en-US" cap="none" sz="1200" b="0" i="0" u="none" baseline="0">
              <a:solidFill>
                <a:srgbClr val="000000"/>
              </a:solidFill>
              <a:latin typeface="Calibri"/>
              <a:ea typeface="Calibri"/>
              <a:cs typeface="Calibri"/>
            </a:rPr>
            <a:t>taulukonvalitsimella. Opetus- ja kulttuuriministeriön erikseen päättämät avustukset ja lisät eivät sisälly laskuriin. Näitä ovat esimerkiksi maakunta- ja keskuskirjastolisät ja erillisavustukset.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8</xdr:row>
      <xdr:rowOff>133350</xdr:rowOff>
    </xdr:from>
    <xdr:ext cx="5743575" cy="1743075"/>
    <xdr:sp>
      <xdr:nvSpPr>
        <xdr:cNvPr id="1" name="Tekstiruutu 1"/>
        <xdr:cNvSpPr txBox="1">
          <a:spLocks noChangeArrowheads="1"/>
        </xdr:cNvSpPr>
      </xdr:nvSpPr>
      <xdr:spPr>
        <a:xfrm>
          <a:off x="66675" y="1428750"/>
          <a:ext cx="5743575" cy="1743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Peruspalvelujen valtionosuusjärjestelmän uudistukseen kuuluu viiden vuoden siirtymäkausi 2015-2019, jonka aikana valtionosuusjärjestelmän uudistuksesta aiheutuvaa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valtionosuuden muutosta tasataan.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Vuonna 2018 muutos voi olla enintään +/- 260 euroa asukasta kohti.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Esimerkiksi kunnalta, joka vuoden 2014</a:t>
          </a:r>
          <a:r>
            <a:rPr lang="en-US" cap="none" sz="1100" b="0" i="0" u="none" baseline="0">
              <a:solidFill>
                <a:srgbClr val="000000"/>
              </a:solidFill>
              <a:latin typeface="Calibri"/>
              <a:ea typeface="Calibri"/>
              <a:cs typeface="Calibri"/>
            </a:rPr>
            <a:t> tasolla tehtyjen siirtymätasaus</a:t>
          </a:r>
          <a:r>
            <a:rPr lang="en-US" cap="none" sz="1100" b="0" i="0" u="none" baseline="0">
              <a:solidFill>
                <a:srgbClr val="000000"/>
              </a:solidFill>
              <a:latin typeface="Calibri"/>
              <a:ea typeface="Calibri"/>
              <a:cs typeface="Calibri"/>
            </a:rPr>
            <a:t>laskelmien mukaan hyötyy 280 euroa asukasta kohden, valtionosuutta vähennetään 20 euroa asukasta kohti, jotta siirtymärajauksen</a:t>
          </a:r>
          <a:r>
            <a:rPr lang="en-US" cap="none" sz="1100" b="0" i="0" u="none" baseline="0">
              <a:solidFill>
                <a:srgbClr val="000000"/>
              </a:solidFill>
              <a:latin typeface="Calibri"/>
              <a:ea typeface="Calibri"/>
              <a:cs typeface="Calibri"/>
            </a:rPr>
            <a:t> mukainen </a:t>
          </a:r>
          <a:r>
            <a:rPr lang="en-US" cap="none" sz="1100" b="0" i="0" u="none" baseline="0">
              <a:solidFill>
                <a:srgbClr val="000000"/>
              </a:solidFill>
              <a:latin typeface="Calibri"/>
              <a:ea typeface="Calibri"/>
              <a:cs typeface="Calibri"/>
            </a:rPr>
            <a:t>enintään + 260 euroa asukasta kohti toteutuu.</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s://vos.oph.fi/cgi-bin/tiedot2.cgi?saaja=9053;tnimi=vos/v17/v06yt7s17.lis" TargetMode="External" /><Relationship Id="rId2" Type="http://schemas.openxmlformats.org/officeDocument/2006/relationships/hyperlink" Target="http://www02.oph.fi/asiakkaat/rahoitus/rahjulk17/04_LUKIOKOULUTUS.pdf" TargetMode="External" /><Relationship Id="rId3" Type="http://schemas.openxmlformats.org/officeDocument/2006/relationships/hyperlink" Target="https://vos.oph.fi/rap/vos/v17/v06yk6s17.html" TargetMode="External" /><Relationship Id="rId4" Type="http://schemas.openxmlformats.org/officeDocument/2006/relationships/comments" Target="../comments11.xml" /><Relationship Id="rId5" Type="http://schemas.openxmlformats.org/officeDocument/2006/relationships/vmlDrawing" Target="../drawings/vmlDrawing2.vml" /><Relationship Id="rId6"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L298"/>
  <sheetViews>
    <sheetView zoomScalePageLayoutView="0" workbookViewId="0" topLeftCell="A1">
      <pane ySplit="1" topLeftCell="A2" activePane="bottomLeft" state="frozen"/>
      <selection pane="topLeft" activeCell="A1" sqref="A1"/>
      <selection pane="bottomLeft" activeCell="B15" sqref="B15"/>
    </sheetView>
  </sheetViews>
  <sheetFormatPr defaultColWidth="6.00390625" defaultRowHeight="12.75"/>
  <cols>
    <col min="1" max="1" width="7.00390625" style="195" bestFit="1" customWidth="1"/>
    <col min="2" max="2" width="13.421875" style="195" bestFit="1" customWidth="1"/>
    <col min="3" max="3" width="7.8515625" style="195" bestFit="1" customWidth="1"/>
    <col min="4" max="4" width="11.8515625" style="195" bestFit="1" customWidth="1"/>
    <col min="5" max="6" width="10.8515625" style="195" bestFit="1" customWidth="1"/>
    <col min="7" max="7" width="11.8515625" style="195" bestFit="1" customWidth="1"/>
    <col min="8" max="8" width="7.8515625" style="195" bestFit="1" customWidth="1"/>
    <col min="9" max="9" width="11.8515625" style="195" bestFit="1" customWidth="1"/>
    <col min="10" max="10" width="10.8515625" style="195" bestFit="1" customWidth="1"/>
    <col min="11" max="11" width="10.57421875" style="195" bestFit="1" customWidth="1"/>
    <col min="12" max="13" width="11.28125" style="195" bestFit="1" customWidth="1"/>
    <col min="14" max="14" width="10.8515625" style="195" bestFit="1" customWidth="1"/>
    <col min="15" max="16" width="11.28125" style="195" bestFit="1" customWidth="1"/>
    <col min="17" max="28" width="7.8515625" style="195" bestFit="1" customWidth="1"/>
    <col min="29" max="29" width="8.140625" style="195" bestFit="1" customWidth="1"/>
    <col min="30" max="30" width="7.8515625" style="195" bestFit="1" customWidth="1"/>
    <col min="31" max="31" width="7.8515625" style="195" customWidth="1"/>
    <col min="32" max="35" width="7.7109375" style="195" customWidth="1"/>
    <col min="36" max="37" width="7.8515625" style="195" bestFit="1" customWidth="1"/>
    <col min="38" max="38" width="10.57421875" style="195" bestFit="1" customWidth="1"/>
    <col min="39" max="39" width="7.8515625" style="195" bestFit="1" customWidth="1"/>
    <col min="40" max="41" width="10.57421875" style="195" bestFit="1" customWidth="1"/>
    <col min="42" max="44" width="7.8515625" style="195" bestFit="1" customWidth="1"/>
    <col min="45" max="45" width="8.28125" style="195" bestFit="1" customWidth="1"/>
    <col min="46" max="46" width="8.140625" style="195" customWidth="1"/>
    <col min="47" max="47" width="8.28125" style="195" bestFit="1" customWidth="1"/>
    <col min="48" max="49" width="10.57421875" style="195" bestFit="1" customWidth="1"/>
    <col min="50" max="51" width="8.28125" style="195" bestFit="1" customWidth="1"/>
    <col min="52" max="54" width="10.57421875" style="195" bestFit="1" customWidth="1"/>
    <col min="55" max="56" width="7.8515625" style="195" bestFit="1" customWidth="1"/>
    <col min="57" max="58" width="10.57421875" style="195" bestFit="1" customWidth="1"/>
    <col min="59" max="60" width="7.8515625" style="195" bestFit="1" customWidth="1"/>
    <col min="61" max="64" width="9.57421875" style="195" bestFit="1" customWidth="1"/>
    <col min="65" max="65" width="10.421875" style="195" bestFit="1" customWidth="1"/>
    <col min="66" max="66" width="8.57421875" style="195" bestFit="1" customWidth="1"/>
    <col min="67" max="67" width="8.140625" style="195" bestFit="1" customWidth="1"/>
    <col min="68" max="69" width="7.8515625" style="195" customWidth="1"/>
    <col min="70" max="70" width="11.28125" style="195" bestFit="1" customWidth="1"/>
    <col min="71" max="72" width="8.8515625" style="195" bestFit="1" customWidth="1"/>
    <col min="73" max="73" width="10.57421875" style="195" bestFit="1" customWidth="1"/>
    <col min="74" max="76" width="11.28125" style="195" bestFit="1" customWidth="1"/>
    <col min="77" max="79" width="11.140625" style="195" customWidth="1"/>
    <col min="80" max="80" width="8.140625" style="195" bestFit="1" customWidth="1"/>
    <col min="81" max="83" width="11.28125" style="195" bestFit="1" customWidth="1"/>
    <col min="84" max="84" width="9.28125" style="195" customWidth="1"/>
    <col min="85" max="85" width="10.7109375" style="195" customWidth="1"/>
    <col min="86" max="86" width="8.57421875" style="195" bestFit="1" customWidth="1"/>
    <col min="87" max="87" width="8.57421875" style="195" customWidth="1"/>
    <col min="88" max="88" width="8.8515625" style="195" customWidth="1"/>
    <col min="89" max="89" width="6.140625" style="195" bestFit="1" customWidth="1"/>
    <col min="90" max="90" width="9.8515625" style="195" bestFit="1" customWidth="1"/>
    <col min="91" max="16384" width="6.00390625" style="195" customWidth="1"/>
  </cols>
  <sheetData>
    <row r="1" spans="1:90" ht="9.75">
      <c r="A1" s="195" t="s">
        <v>625</v>
      </c>
      <c r="B1" s="195" t="s">
        <v>626</v>
      </c>
      <c r="C1" s="195" t="s">
        <v>438</v>
      </c>
      <c r="D1" s="195" t="s">
        <v>439</v>
      </c>
      <c r="E1" s="195" t="s">
        <v>440</v>
      </c>
      <c r="F1" s="195" t="s">
        <v>441</v>
      </c>
      <c r="G1" s="195" t="s">
        <v>442</v>
      </c>
      <c r="H1" s="195" t="s">
        <v>443</v>
      </c>
      <c r="I1" s="195" t="s">
        <v>444</v>
      </c>
      <c r="J1" s="195" t="s">
        <v>445</v>
      </c>
      <c r="K1" s="195" t="s">
        <v>446</v>
      </c>
      <c r="L1" s="195" t="s">
        <v>447</v>
      </c>
      <c r="M1" s="195" t="s">
        <v>448</v>
      </c>
      <c r="N1" s="195" t="s">
        <v>449</v>
      </c>
      <c r="O1" s="195" t="s">
        <v>450</v>
      </c>
      <c r="P1" s="195" t="s">
        <v>451</v>
      </c>
      <c r="Q1" s="195" t="s">
        <v>452</v>
      </c>
      <c r="R1" s="195" t="s">
        <v>453</v>
      </c>
      <c r="S1" s="195" t="s">
        <v>454</v>
      </c>
      <c r="T1" s="195" t="s">
        <v>455</v>
      </c>
      <c r="U1" s="195" t="s">
        <v>456</v>
      </c>
      <c r="V1" s="195" t="s">
        <v>457</v>
      </c>
      <c r="W1" s="195" t="s">
        <v>458</v>
      </c>
      <c r="X1" s="195" t="s">
        <v>459</v>
      </c>
      <c r="Y1" s="195" t="s">
        <v>460</v>
      </c>
      <c r="Z1" s="195" t="s">
        <v>461</v>
      </c>
      <c r="AA1" s="195" t="s">
        <v>462</v>
      </c>
      <c r="AB1" s="195" t="s">
        <v>463</v>
      </c>
      <c r="AC1" s="195" t="s">
        <v>464</v>
      </c>
      <c r="AD1" s="195" t="s">
        <v>465</v>
      </c>
      <c r="AE1" s="195" t="s">
        <v>605</v>
      </c>
      <c r="AF1" s="195" t="s">
        <v>512</v>
      </c>
      <c r="AG1" s="195" t="s">
        <v>579</v>
      </c>
      <c r="AH1" s="195" t="s">
        <v>580</v>
      </c>
      <c r="AI1" s="195" t="s">
        <v>581</v>
      </c>
      <c r="AJ1" s="195" t="s">
        <v>466</v>
      </c>
      <c r="AK1" s="195" t="s">
        <v>467</v>
      </c>
      <c r="AL1" s="195" t="s">
        <v>468</v>
      </c>
      <c r="AM1" s="195" t="s">
        <v>469</v>
      </c>
      <c r="AN1" s="195" t="s">
        <v>470</v>
      </c>
      <c r="AO1" s="195" t="s">
        <v>471</v>
      </c>
      <c r="AP1" s="195" t="s">
        <v>472</v>
      </c>
      <c r="AQ1" s="195" t="s">
        <v>473</v>
      </c>
      <c r="AR1" s="195" t="s">
        <v>474</v>
      </c>
      <c r="AS1" s="195" t="s">
        <v>475</v>
      </c>
      <c r="AT1" s="195" t="s">
        <v>610</v>
      </c>
      <c r="AU1" s="195" t="s">
        <v>476</v>
      </c>
      <c r="AV1" s="195" t="s">
        <v>477</v>
      </c>
      <c r="AW1" s="195" t="s">
        <v>478</v>
      </c>
      <c r="AX1" s="195" t="s">
        <v>479</v>
      </c>
      <c r="AY1" s="195" t="s">
        <v>480</v>
      </c>
      <c r="AZ1" s="195" t="s">
        <v>481</v>
      </c>
      <c r="BA1" s="195" t="s">
        <v>482</v>
      </c>
      <c r="BB1" s="195" t="s">
        <v>483</v>
      </c>
      <c r="BC1" s="195" t="s">
        <v>484</v>
      </c>
      <c r="BD1" s="195" t="s">
        <v>485</v>
      </c>
      <c r="BE1" s="195" t="s">
        <v>486</v>
      </c>
      <c r="BF1" s="195" t="s">
        <v>487</v>
      </c>
      <c r="BG1" s="195" t="s">
        <v>488</v>
      </c>
      <c r="BH1" s="195" t="s">
        <v>489</v>
      </c>
      <c r="BI1" s="195" t="s">
        <v>491</v>
      </c>
      <c r="BJ1" s="195" t="s">
        <v>492</v>
      </c>
      <c r="BK1" s="195" t="s">
        <v>493</v>
      </c>
      <c r="BL1" s="195" t="s">
        <v>494</v>
      </c>
      <c r="BM1" s="195" t="s">
        <v>495</v>
      </c>
      <c r="BN1" s="195" t="s">
        <v>496</v>
      </c>
      <c r="BO1" s="195" t="s">
        <v>497</v>
      </c>
      <c r="BP1" s="195" t="s">
        <v>612</v>
      </c>
      <c r="BQ1" s="195" t="s">
        <v>614</v>
      </c>
      <c r="BR1" s="195" t="s">
        <v>498</v>
      </c>
      <c r="BS1" s="195" t="s">
        <v>499</v>
      </c>
      <c r="BT1" s="195" t="s">
        <v>500</v>
      </c>
      <c r="BU1" s="195" t="s">
        <v>501</v>
      </c>
      <c r="BV1" s="195" t="s">
        <v>502</v>
      </c>
      <c r="BW1" s="195" t="s">
        <v>503</v>
      </c>
      <c r="BX1" s="195" t="s">
        <v>504</v>
      </c>
      <c r="BY1" s="195" t="s">
        <v>595</v>
      </c>
      <c r="BZ1" s="195" t="s">
        <v>616</v>
      </c>
      <c r="CA1" s="195" t="s">
        <v>654</v>
      </c>
      <c r="CB1" s="195" t="s">
        <v>505</v>
      </c>
      <c r="CC1" s="195" t="s">
        <v>506</v>
      </c>
      <c r="CD1" s="195" t="s">
        <v>513</v>
      </c>
      <c r="CE1" s="195" t="s">
        <v>514</v>
      </c>
      <c r="CF1" s="195" t="s">
        <v>490</v>
      </c>
      <c r="CG1" s="195" t="s">
        <v>507</v>
      </c>
      <c r="CH1" s="195" t="s">
        <v>578</v>
      </c>
      <c r="CI1" s="195" t="s">
        <v>587</v>
      </c>
      <c r="CJ1" s="195" t="s">
        <v>629</v>
      </c>
      <c r="CL1" s="195" t="s">
        <v>627</v>
      </c>
    </row>
    <row r="2" spans="1:90" ht="9.75">
      <c r="A2" s="195">
        <v>20</v>
      </c>
      <c r="B2" s="195" t="s">
        <v>70</v>
      </c>
      <c r="C2" s="195">
        <v>16923</v>
      </c>
      <c r="D2" s="195">
        <v>59907890.02000001</v>
      </c>
      <c r="E2" s="195">
        <v>17664085.80105413</v>
      </c>
      <c r="F2" s="195">
        <v>2764632.9365600846</v>
      </c>
      <c r="G2" s="195">
        <v>80336608.75761423</v>
      </c>
      <c r="H2" s="195">
        <v>3540.31</v>
      </c>
      <c r="I2" s="195">
        <v>59912666.13</v>
      </c>
      <c r="J2" s="195">
        <v>20423942.627614222</v>
      </c>
      <c r="K2" s="195">
        <v>275497.48050828907</v>
      </c>
      <c r="L2" s="195">
        <v>2707224.973434903</v>
      </c>
      <c r="M2" s="195">
        <v>0</v>
      </c>
      <c r="N2" s="195">
        <v>23406665.081557415</v>
      </c>
      <c r="O2" s="195">
        <v>8921169.041351525</v>
      </c>
      <c r="P2" s="195">
        <v>32327834.122908942</v>
      </c>
      <c r="Q2" s="195">
        <v>1109</v>
      </c>
      <c r="R2" s="195">
        <v>217</v>
      </c>
      <c r="S2" s="195">
        <v>1354</v>
      </c>
      <c r="T2" s="195">
        <v>626</v>
      </c>
      <c r="U2" s="195">
        <v>564</v>
      </c>
      <c r="V2" s="195">
        <v>9411</v>
      </c>
      <c r="W2" s="195">
        <v>2086</v>
      </c>
      <c r="X2" s="195">
        <v>1064</v>
      </c>
      <c r="Y2" s="195">
        <v>492</v>
      </c>
      <c r="Z2" s="195">
        <v>32</v>
      </c>
      <c r="AA2" s="195">
        <v>0</v>
      </c>
      <c r="AB2" s="195">
        <v>16556</v>
      </c>
      <c r="AC2" s="195">
        <v>335</v>
      </c>
      <c r="AD2" s="195">
        <v>3642</v>
      </c>
      <c r="AE2" s="195">
        <v>0.9189277324642825</v>
      </c>
      <c r="AF2" s="195">
        <v>17664085.80105413</v>
      </c>
      <c r="AG2" s="195">
        <v>22786371.358968318</v>
      </c>
      <c r="AH2" s="195">
        <v>4788416.672018751</v>
      </c>
      <c r="AI2" s="195">
        <v>2203027.7281536795</v>
      </c>
      <c r="AJ2" s="195">
        <v>1136</v>
      </c>
      <c r="AK2" s="195">
        <v>8010</v>
      </c>
      <c r="AL2" s="195">
        <v>1.0681306636881613</v>
      </c>
      <c r="AM2" s="195">
        <v>335</v>
      </c>
      <c r="AN2" s="195">
        <v>0.019795544525202387</v>
      </c>
      <c r="AO2" s="195">
        <v>0.01582729055694842</v>
      </c>
      <c r="AP2" s="195">
        <v>0</v>
      </c>
      <c r="AQ2" s="195">
        <v>32</v>
      </c>
      <c r="AR2" s="195">
        <v>0</v>
      </c>
      <c r="AS2" s="195">
        <v>0</v>
      </c>
      <c r="AT2" s="195">
        <v>0</v>
      </c>
      <c r="AU2" s="195">
        <v>293.15</v>
      </c>
      <c r="AV2" s="195">
        <v>57.728125533003585</v>
      </c>
      <c r="AW2" s="195">
        <v>0.31363074657689366</v>
      </c>
      <c r="AX2" s="195">
        <v>758</v>
      </c>
      <c r="AY2" s="195">
        <v>5677</v>
      </c>
      <c r="AZ2" s="195">
        <v>0.1335212259996477</v>
      </c>
      <c r="BA2" s="195">
        <v>0.06849842579697922</v>
      </c>
      <c r="BB2" s="195">
        <v>0</v>
      </c>
      <c r="BC2" s="195">
        <v>4690</v>
      </c>
      <c r="BD2" s="195">
        <v>6808</v>
      </c>
      <c r="BE2" s="195">
        <v>0.6888954171562868</v>
      </c>
      <c r="BF2" s="195">
        <v>0.2579538991139807</v>
      </c>
      <c r="BG2" s="195">
        <v>0</v>
      </c>
      <c r="BH2" s="195">
        <v>0</v>
      </c>
      <c r="BI2" s="195">
        <v>0</v>
      </c>
      <c r="BJ2" s="195">
        <v>-4061.52</v>
      </c>
      <c r="BK2" s="195">
        <v>-69384.29999999999</v>
      </c>
      <c r="BL2" s="195">
        <v>-4738.4400000000005</v>
      </c>
      <c r="BM2" s="195">
        <v>-24199.89</v>
      </c>
      <c r="BN2" s="195">
        <v>-676.92</v>
      </c>
      <c r="BO2" s="195">
        <v>140004</v>
      </c>
      <c r="BP2" s="195">
        <v>-1239020.5543863468</v>
      </c>
      <c r="BQ2" s="195">
        <v>-1446408.81</v>
      </c>
      <c r="BR2" s="195">
        <v>-115745.45612722076</v>
      </c>
      <c r="BS2" s="195">
        <v>1334279</v>
      </c>
      <c r="BT2" s="195">
        <v>410543</v>
      </c>
      <c r="BU2" s="195">
        <v>897394.9424826249</v>
      </c>
      <c r="BV2" s="195">
        <v>27428.68789498369</v>
      </c>
      <c r="BW2" s="195">
        <v>125948.33979683967</v>
      </c>
      <c r="BX2" s="195">
        <v>413526.2233831386</v>
      </c>
      <c r="BY2" s="195">
        <v>833777.015607583</v>
      </c>
      <c r="BZ2" s="195">
        <v>1346679.5531167898</v>
      </c>
      <c r="CA2" s="195">
        <v>429288.6313923457</v>
      </c>
      <c r="CB2" s="195">
        <v>1523.07</v>
      </c>
      <c r="CC2" s="195">
        <v>149281.52027416526</v>
      </c>
      <c r="CD2" s="195">
        <v>5994943.90782125</v>
      </c>
      <c r="CE2" s="195">
        <v>2707224.973434903</v>
      </c>
      <c r="CF2" s="195">
        <v>0</v>
      </c>
      <c r="CG2" s="229">
        <v>8921169.041351525</v>
      </c>
      <c r="CH2" s="195">
        <v>-2162997</v>
      </c>
      <c r="CI2" s="195">
        <v>-584260.8934000001</v>
      </c>
      <c r="CJ2" s="195">
        <v>30164837.122908942</v>
      </c>
      <c r="CL2" s="195">
        <v>17043</v>
      </c>
    </row>
    <row r="3" spans="1:90" ht="9.75">
      <c r="A3" s="195">
        <v>5</v>
      </c>
      <c r="B3" s="195" t="s">
        <v>71</v>
      </c>
      <c r="C3" s="195">
        <v>9899</v>
      </c>
      <c r="D3" s="195">
        <v>37826648.55</v>
      </c>
      <c r="E3" s="195">
        <v>15707046.94328298</v>
      </c>
      <c r="F3" s="195">
        <v>1976985.188094876</v>
      </c>
      <c r="G3" s="195">
        <v>55510680.68137785</v>
      </c>
      <c r="H3" s="195">
        <v>3540.31</v>
      </c>
      <c r="I3" s="195">
        <v>35045528.69</v>
      </c>
      <c r="J3" s="195">
        <v>20465151.991377853</v>
      </c>
      <c r="K3" s="195">
        <v>346002.6939101115</v>
      </c>
      <c r="L3" s="195">
        <v>2879925.783374376</v>
      </c>
      <c r="M3" s="195">
        <v>0</v>
      </c>
      <c r="N3" s="195">
        <v>23691080.46866234</v>
      </c>
      <c r="O3" s="195">
        <v>9884906.12489818</v>
      </c>
      <c r="P3" s="195">
        <v>33575986.59356052</v>
      </c>
      <c r="Q3" s="195">
        <v>625</v>
      </c>
      <c r="R3" s="195">
        <v>138</v>
      </c>
      <c r="S3" s="195">
        <v>745</v>
      </c>
      <c r="T3" s="195">
        <v>395</v>
      </c>
      <c r="U3" s="195">
        <v>396</v>
      </c>
      <c r="V3" s="195">
        <v>5064</v>
      </c>
      <c r="W3" s="195">
        <v>1342</v>
      </c>
      <c r="X3" s="195">
        <v>815</v>
      </c>
      <c r="Y3" s="195">
        <v>379</v>
      </c>
      <c r="Z3" s="195">
        <v>11</v>
      </c>
      <c r="AA3" s="195">
        <v>0</v>
      </c>
      <c r="AB3" s="195">
        <v>9692</v>
      </c>
      <c r="AC3" s="195">
        <v>196</v>
      </c>
      <c r="AD3" s="195">
        <v>2536</v>
      </c>
      <c r="AE3" s="195">
        <v>1.3969175213377139</v>
      </c>
      <c r="AF3" s="195">
        <v>15707046.94328298</v>
      </c>
      <c r="AG3" s="195">
        <v>18712675.434212677</v>
      </c>
      <c r="AH3" s="195">
        <v>5390883.944213403</v>
      </c>
      <c r="AI3" s="195">
        <v>1837342.9635613677</v>
      </c>
      <c r="AJ3" s="195">
        <v>445</v>
      </c>
      <c r="AK3" s="195">
        <v>4154</v>
      </c>
      <c r="AL3" s="195">
        <v>0.8068115121059429</v>
      </c>
      <c r="AM3" s="195">
        <v>196</v>
      </c>
      <c r="AN3" s="195">
        <v>0.019799979795938984</v>
      </c>
      <c r="AO3" s="195">
        <v>0.015831725827685016</v>
      </c>
      <c r="AP3" s="195">
        <v>0</v>
      </c>
      <c r="AQ3" s="195">
        <v>11</v>
      </c>
      <c r="AR3" s="195">
        <v>0</v>
      </c>
      <c r="AS3" s="195">
        <v>0</v>
      </c>
      <c r="AT3" s="195">
        <v>0</v>
      </c>
      <c r="AU3" s="195">
        <v>1008.75</v>
      </c>
      <c r="AV3" s="195">
        <v>9.813135068153656</v>
      </c>
      <c r="AW3" s="195">
        <v>1.8450082449346201</v>
      </c>
      <c r="AX3" s="195">
        <v>357</v>
      </c>
      <c r="AY3" s="195">
        <v>2647</v>
      </c>
      <c r="AZ3" s="195">
        <v>0.13486966377030601</v>
      </c>
      <c r="BA3" s="195">
        <v>0.06984686356763754</v>
      </c>
      <c r="BB3" s="195">
        <v>0</v>
      </c>
      <c r="BC3" s="195">
        <v>3496</v>
      </c>
      <c r="BD3" s="195">
        <v>3550</v>
      </c>
      <c r="BE3" s="195">
        <v>0.9847887323943662</v>
      </c>
      <c r="BF3" s="195">
        <v>0.5538472143520601</v>
      </c>
      <c r="BG3" s="195">
        <v>0</v>
      </c>
      <c r="BH3" s="195">
        <v>0</v>
      </c>
      <c r="BI3" s="195">
        <v>0</v>
      </c>
      <c r="BJ3" s="195">
        <v>-2375.7599999999998</v>
      </c>
      <c r="BK3" s="195">
        <v>-40585.899999999994</v>
      </c>
      <c r="BL3" s="195">
        <v>-2771.7200000000003</v>
      </c>
      <c r="BM3" s="195">
        <v>-14155.57</v>
      </c>
      <c r="BN3" s="195">
        <v>-395.96000000000004</v>
      </c>
      <c r="BO3" s="195">
        <v>-188872</v>
      </c>
      <c r="BP3" s="195">
        <v>-320134.4993166177</v>
      </c>
      <c r="BQ3" s="195">
        <v>-846067.53</v>
      </c>
      <c r="BR3" s="195">
        <v>191146.63372095674</v>
      </c>
      <c r="BS3" s="195">
        <v>982443</v>
      </c>
      <c r="BT3" s="195">
        <v>316760</v>
      </c>
      <c r="BU3" s="195">
        <v>854672.9711615616</v>
      </c>
      <c r="BV3" s="195">
        <v>45846.99735082741</v>
      </c>
      <c r="BW3" s="195">
        <v>104017.12567895393</v>
      </c>
      <c r="BX3" s="195">
        <v>405909.5598663371</v>
      </c>
      <c r="BY3" s="195">
        <v>595879.924617515</v>
      </c>
      <c r="BZ3" s="195">
        <v>855777.1993154305</v>
      </c>
      <c r="CA3" s="195">
        <v>244473.549369041</v>
      </c>
      <c r="CB3" s="195">
        <v>890.91</v>
      </c>
      <c r="CC3" s="195">
        <v>-11106.588389629876</v>
      </c>
      <c r="CD3" s="195">
        <v>4398433.222690994</v>
      </c>
      <c r="CE3" s="195">
        <v>2879925.783374376</v>
      </c>
      <c r="CF3" s="195">
        <v>0</v>
      </c>
      <c r="CG3" s="229">
        <v>9884906.12489818</v>
      </c>
      <c r="CH3" s="195">
        <v>955915</v>
      </c>
      <c r="CI3" s="195">
        <v>2292628.8995</v>
      </c>
      <c r="CJ3" s="195">
        <v>34531901.59356052</v>
      </c>
      <c r="CL3" s="195">
        <v>10006</v>
      </c>
    </row>
    <row r="4" spans="1:90" ht="9.75">
      <c r="A4" s="195">
        <v>9</v>
      </c>
      <c r="B4" s="195" t="s">
        <v>72</v>
      </c>
      <c r="C4" s="195">
        <v>2639</v>
      </c>
      <c r="D4" s="195">
        <v>10182724.82</v>
      </c>
      <c r="E4" s="195">
        <v>4494986.528756212</v>
      </c>
      <c r="F4" s="195">
        <v>460512.4682366088</v>
      </c>
      <c r="G4" s="195">
        <v>15138223.816992821</v>
      </c>
      <c r="H4" s="195">
        <v>3540.31</v>
      </c>
      <c r="I4" s="195">
        <v>9342878.09</v>
      </c>
      <c r="J4" s="195">
        <v>5795345.726992821</v>
      </c>
      <c r="K4" s="195">
        <v>55113.02850592705</v>
      </c>
      <c r="L4" s="195">
        <v>798574.4698503551</v>
      </c>
      <c r="M4" s="195">
        <v>0</v>
      </c>
      <c r="N4" s="195">
        <v>6649033.225349103</v>
      </c>
      <c r="O4" s="195">
        <v>2834944.816948837</v>
      </c>
      <c r="P4" s="195">
        <v>9483978.04229794</v>
      </c>
      <c r="Q4" s="195">
        <v>195</v>
      </c>
      <c r="R4" s="195">
        <v>39</v>
      </c>
      <c r="S4" s="195">
        <v>210</v>
      </c>
      <c r="T4" s="195">
        <v>114</v>
      </c>
      <c r="U4" s="195">
        <v>101</v>
      </c>
      <c r="V4" s="195">
        <v>1383</v>
      </c>
      <c r="W4" s="195">
        <v>286</v>
      </c>
      <c r="X4" s="195">
        <v>223</v>
      </c>
      <c r="Y4" s="195">
        <v>88</v>
      </c>
      <c r="Z4" s="195">
        <v>7</v>
      </c>
      <c r="AA4" s="195">
        <v>0</v>
      </c>
      <c r="AB4" s="195">
        <v>2615</v>
      </c>
      <c r="AC4" s="195">
        <v>17</v>
      </c>
      <c r="AD4" s="195">
        <v>597</v>
      </c>
      <c r="AE4" s="195">
        <v>1.4995348087995688</v>
      </c>
      <c r="AF4" s="195">
        <v>4494986.528756212</v>
      </c>
      <c r="AG4" s="195">
        <v>4928954.669489743</v>
      </c>
      <c r="AH4" s="195">
        <v>1636718.4797761622</v>
      </c>
      <c r="AI4" s="195">
        <v>517310.154789123</v>
      </c>
      <c r="AJ4" s="195">
        <v>133</v>
      </c>
      <c r="AK4" s="195">
        <v>1155</v>
      </c>
      <c r="AL4" s="195">
        <v>0.8672578196046804</v>
      </c>
      <c r="AM4" s="195">
        <v>17</v>
      </c>
      <c r="AN4" s="195">
        <v>0.006441834028040924</v>
      </c>
      <c r="AO4" s="195">
        <v>0.002473580059786956</v>
      </c>
      <c r="AP4" s="195">
        <v>0</v>
      </c>
      <c r="AQ4" s="195">
        <v>7</v>
      </c>
      <c r="AR4" s="195">
        <v>0</v>
      </c>
      <c r="AS4" s="195">
        <v>0</v>
      </c>
      <c r="AT4" s="195">
        <v>0</v>
      </c>
      <c r="AU4" s="195">
        <v>251.37</v>
      </c>
      <c r="AV4" s="195">
        <v>10.498468393205235</v>
      </c>
      <c r="AW4" s="195">
        <v>1.7245672827017873</v>
      </c>
      <c r="AX4" s="195">
        <v>96</v>
      </c>
      <c r="AY4" s="195">
        <v>717</v>
      </c>
      <c r="AZ4" s="195">
        <v>0.13389121338912133</v>
      </c>
      <c r="BA4" s="195">
        <v>0.06886841318645286</v>
      </c>
      <c r="BB4" s="195">
        <v>0</v>
      </c>
      <c r="BC4" s="195">
        <v>755</v>
      </c>
      <c r="BD4" s="195">
        <v>991</v>
      </c>
      <c r="BE4" s="195">
        <v>0.7618567103935419</v>
      </c>
      <c r="BF4" s="195">
        <v>0.3309151923512358</v>
      </c>
      <c r="BG4" s="195">
        <v>0</v>
      </c>
      <c r="BH4" s="195">
        <v>0</v>
      </c>
      <c r="BI4" s="195">
        <v>0</v>
      </c>
      <c r="BJ4" s="195">
        <v>-633.36</v>
      </c>
      <c r="BK4" s="195">
        <v>-10819.9</v>
      </c>
      <c r="BL4" s="195">
        <v>-738.9200000000001</v>
      </c>
      <c r="BM4" s="195">
        <v>-3773.77</v>
      </c>
      <c r="BN4" s="195">
        <v>-105.56</v>
      </c>
      <c r="BO4" s="195">
        <v>8706</v>
      </c>
      <c r="BP4" s="195">
        <v>-57023.95769077253</v>
      </c>
      <c r="BQ4" s="195">
        <v>-225555.33</v>
      </c>
      <c r="BR4" s="195">
        <v>-17372.005542550236</v>
      </c>
      <c r="BS4" s="195">
        <v>269616</v>
      </c>
      <c r="BT4" s="195">
        <v>76861</v>
      </c>
      <c r="BU4" s="195">
        <v>208942.05469652946</v>
      </c>
      <c r="BV4" s="195">
        <v>11331.87612350449</v>
      </c>
      <c r="BW4" s="195">
        <v>20677.75817964038</v>
      </c>
      <c r="BX4" s="195">
        <v>98339.24119116721</v>
      </c>
      <c r="BY4" s="195">
        <v>155628.8025438553</v>
      </c>
      <c r="BZ4" s="195">
        <v>249305.43506665138</v>
      </c>
      <c r="CA4" s="195">
        <v>68032.74091952862</v>
      </c>
      <c r="CB4" s="195">
        <v>237.51</v>
      </c>
      <c r="CC4" s="195">
        <v>24611.014362801172</v>
      </c>
      <c r="CD4" s="195">
        <v>1175075.7675411275</v>
      </c>
      <c r="CE4" s="195">
        <v>798574.4698503551</v>
      </c>
      <c r="CF4" s="195">
        <v>0</v>
      </c>
      <c r="CG4" s="229">
        <v>2834944.816948837</v>
      </c>
      <c r="CH4" s="195">
        <v>-572285</v>
      </c>
      <c r="CI4" s="195">
        <v>-24768.97</v>
      </c>
      <c r="CJ4" s="195">
        <v>8911693.04229794</v>
      </c>
      <c r="CL4" s="195">
        <v>2687</v>
      </c>
    </row>
    <row r="5" spans="1:90" ht="9.75">
      <c r="A5" s="195">
        <v>10</v>
      </c>
      <c r="B5" s="195" t="s">
        <v>73</v>
      </c>
      <c r="C5" s="195">
        <v>11907</v>
      </c>
      <c r="D5" s="195">
        <v>44551493.05</v>
      </c>
      <c r="E5" s="195">
        <v>19090959.38496973</v>
      </c>
      <c r="F5" s="195">
        <v>2176719.5823444794</v>
      </c>
      <c r="G5" s="195">
        <v>65819172.0173142</v>
      </c>
      <c r="H5" s="195">
        <v>3540.31</v>
      </c>
      <c r="I5" s="195">
        <v>42154471.17</v>
      </c>
      <c r="J5" s="195">
        <v>23664700.8473142</v>
      </c>
      <c r="K5" s="195">
        <v>431536.6408887084</v>
      </c>
      <c r="L5" s="195">
        <v>3113711.355695097</v>
      </c>
      <c r="M5" s="195">
        <v>0</v>
      </c>
      <c r="N5" s="195">
        <v>27209948.843898006</v>
      </c>
      <c r="O5" s="195">
        <v>11731775.46821647</v>
      </c>
      <c r="P5" s="195">
        <v>38941724.31211448</v>
      </c>
      <c r="Q5" s="195">
        <v>732</v>
      </c>
      <c r="R5" s="195">
        <v>147</v>
      </c>
      <c r="S5" s="195">
        <v>901</v>
      </c>
      <c r="T5" s="195">
        <v>413</v>
      </c>
      <c r="U5" s="195">
        <v>446</v>
      </c>
      <c r="V5" s="195">
        <v>6209</v>
      </c>
      <c r="W5" s="195">
        <v>1593</v>
      </c>
      <c r="X5" s="195">
        <v>1010</v>
      </c>
      <c r="Y5" s="195">
        <v>456</v>
      </c>
      <c r="Z5" s="195">
        <v>6</v>
      </c>
      <c r="AA5" s="195">
        <v>1</v>
      </c>
      <c r="AB5" s="195">
        <v>11735</v>
      </c>
      <c r="AC5" s="195">
        <v>165</v>
      </c>
      <c r="AD5" s="195">
        <v>3059</v>
      </c>
      <c r="AE5" s="195">
        <v>1.411539212395032</v>
      </c>
      <c r="AF5" s="195">
        <v>19090959.38496973</v>
      </c>
      <c r="AG5" s="195">
        <v>21998711.292737126</v>
      </c>
      <c r="AH5" s="195">
        <v>6702047.450157855</v>
      </c>
      <c r="AI5" s="195">
        <v>2283299.9935519914</v>
      </c>
      <c r="AJ5" s="195">
        <v>538</v>
      </c>
      <c r="AK5" s="195">
        <v>5154</v>
      </c>
      <c r="AL5" s="195">
        <v>0.786169930828457</v>
      </c>
      <c r="AM5" s="195">
        <v>165</v>
      </c>
      <c r="AN5" s="195">
        <v>0.013857394809775762</v>
      </c>
      <c r="AO5" s="195">
        <v>0.009889140841521794</v>
      </c>
      <c r="AP5" s="195">
        <v>0</v>
      </c>
      <c r="AQ5" s="195">
        <v>6</v>
      </c>
      <c r="AR5" s="195">
        <v>1</v>
      </c>
      <c r="AS5" s="195">
        <v>0</v>
      </c>
      <c r="AT5" s="195">
        <v>0</v>
      </c>
      <c r="AU5" s="195">
        <v>1087.31</v>
      </c>
      <c r="AV5" s="195">
        <v>10.950878774222623</v>
      </c>
      <c r="AW5" s="195">
        <v>1.6533207501135727</v>
      </c>
      <c r="AX5" s="195">
        <v>475</v>
      </c>
      <c r="AY5" s="195">
        <v>3294</v>
      </c>
      <c r="AZ5" s="195">
        <v>0.14420157862780814</v>
      </c>
      <c r="BA5" s="195">
        <v>0.07917877842513966</v>
      </c>
      <c r="BB5" s="195">
        <v>0</v>
      </c>
      <c r="BC5" s="195">
        <v>4628</v>
      </c>
      <c r="BD5" s="195">
        <v>4604</v>
      </c>
      <c r="BE5" s="195">
        <v>1.0052128583840139</v>
      </c>
      <c r="BF5" s="195">
        <v>0.5742713403417078</v>
      </c>
      <c r="BG5" s="195">
        <v>0</v>
      </c>
      <c r="BH5" s="195">
        <v>1</v>
      </c>
      <c r="BI5" s="195">
        <v>0</v>
      </c>
      <c r="BJ5" s="195">
        <v>-2857.68</v>
      </c>
      <c r="BK5" s="195">
        <v>-48818.7</v>
      </c>
      <c r="BL5" s="195">
        <v>-3333.9600000000005</v>
      </c>
      <c r="BM5" s="195">
        <v>-17027.01</v>
      </c>
      <c r="BN5" s="195">
        <v>-476.28000000000003</v>
      </c>
      <c r="BO5" s="195">
        <v>-11550</v>
      </c>
      <c r="BP5" s="195">
        <v>-649772.9915816975</v>
      </c>
      <c r="BQ5" s="195">
        <v>-1017691.29</v>
      </c>
      <c r="BR5" s="195">
        <v>-158146.872291727</v>
      </c>
      <c r="BS5" s="195">
        <v>1196258</v>
      </c>
      <c r="BT5" s="195">
        <v>389828</v>
      </c>
      <c r="BU5" s="195">
        <v>994223.9405232423</v>
      </c>
      <c r="BV5" s="195">
        <v>46805.49325746627</v>
      </c>
      <c r="BW5" s="195">
        <v>102562.06916084253</v>
      </c>
      <c r="BX5" s="195">
        <v>466334.08575838123</v>
      </c>
      <c r="BY5" s="195">
        <v>749068.4935681962</v>
      </c>
      <c r="BZ5" s="195">
        <v>1066515.1689976272</v>
      </c>
      <c r="CA5" s="195">
        <v>369210.00582609954</v>
      </c>
      <c r="CB5" s="195">
        <v>1071.6299999999999</v>
      </c>
      <c r="CC5" s="195">
        <v>-7948.667523332493</v>
      </c>
      <c r="CD5" s="195">
        <v>5204945.767276795</v>
      </c>
      <c r="CE5" s="195">
        <v>3113711.355695097</v>
      </c>
      <c r="CF5" s="195">
        <v>0</v>
      </c>
      <c r="CG5" s="229">
        <v>11731775.46821647</v>
      </c>
      <c r="CH5" s="195">
        <v>-748523</v>
      </c>
      <c r="CI5" s="195">
        <v>-47778.039499999984</v>
      </c>
      <c r="CJ5" s="195">
        <v>38193201.31211448</v>
      </c>
      <c r="CL5" s="195">
        <v>12044</v>
      </c>
    </row>
    <row r="6" spans="1:90" ht="9.75">
      <c r="A6" s="195">
        <v>16</v>
      </c>
      <c r="B6" s="195" t="s">
        <v>74</v>
      </c>
      <c r="C6" s="195">
        <v>8323</v>
      </c>
      <c r="D6" s="195">
        <v>29007315.979999997</v>
      </c>
      <c r="E6" s="195">
        <v>10106843.932601161</v>
      </c>
      <c r="F6" s="195">
        <v>1767726.9238606575</v>
      </c>
      <c r="G6" s="195">
        <v>40881886.83646181</v>
      </c>
      <c r="H6" s="195">
        <v>3540.31</v>
      </c>
      <c r="I6" s="195">
        <v>29466000.13</v>
      </c>
      <c r="J6" s="195">
        <v>11415886.706461813</v>
      </c>
      <c r="K6" s="195">
        <v>168659.80161706035</v>
      </c>
      <c r="L6" s="195">
        <v>2099818.722017392</v>
      </c>
      <c r="M6" s="195">
        <v>0</v>
      </c>
      <c r="N6" s="195">
        <v>13684365.230096266</v>
      </c>
      <c r="O6" s="195">
        <v>4148915.6158457804</v>
      </c>
      <c r="P6" s="195">
        <v>17833280.845942046</v>
      </c>
      <c r="Q6" s="195">
        <v>410</v>
      </c>
      <c r="R6" s="195">
        <v>70</v>
      </c>
      <c r="S6" s="195">
        <v>557</v>
      </c>
      <c r="T6" s="195">
        <v>237</v>
      </c>
      <c r="U6" s="195">
        <v>277</v>
      </c>
      <c r="V6" s="195">
        <v>4265</v>
      </c>
      <c r="W6" s="195">
        <v>1456</v>
      </c>
      <c r="X6" s="195">
        <v>767</v>
      </c>
      <c r="Y6" s="195">
        <v>284</v>
      </c>
      <c r="Z6" s="195">
        <v>18</v>
      </c>
      <c r="AA6" s="195">
        <v>4</v>
      </c>
      <c r="AB6" s="195">
        <v>8116</v>
      </c>
      <c r="AC6" s="195">
        <v>185</v>
      </c>
      <c r="AD6" s="195">
        <v>2507</v>
      </c>
      <c r="AE6" s="195">
        <v>1.069062786067686</v>
      </c>
      <c r="AF6" s="195">
        <v>10106843.932601161</v>
      </c>
      <c r="AG6" s="195">
        <v>12145559.63201004</v>
      </c>
      <c r="AH6" s="195">
        <v>3310683.1354155336</v>
      </c>
      <c r="AI6" s="195">
        <v>1097054.293776933</v>
      </c>
      <c r="AJ6" s="195">
        <v>414</v>
      </c>
      <c r="AK6" s="195">
        <v>3554</v>
      </c>
      <c r="AL6" s="195">
        <v>0.8773269800846446</v>
      </c>
      <c r="AM6" s="195">
        <v>185</v>
      </c>
      <c r="AN6" s="195">
        <v>0.022227562177099605</v>
      </c>
      <c r="AO6" s="195">
        <v>0.018259308208845637</v>
      </c>
      <c r="AP6" s="195">
        <v>0</v>
      </c>
      <c r="AQ6" s="195">
        <v>18</v>
      </c>
      <c r="AR6" s="195">
        <v>4</v>
      </c>
      <c r="AS6" s="195">
        <v>3</v>
      </c>
      <c r="AT6" s="195">
        <v>501</v>
      </c>
      <c r="AU6" s="195">
        <v>563.35</v>
      </c>
      <c r="AV6" s="195">
        <v>14.774119108902102</v>
      </c>
      <c r="AW6" s="195">
        <v>1.2254751011511236</v>
      </c>
      <c r="AX6" s="195">
        <v>373</v>
      </c>
      <c r="AY6" s="195">
        <v>2357</v>
      </c>
      <c r="AZ6" s="195">
        <v>0.15825201527365296</v>
      </c>
      <c r="BA6" s="195">
        <v>0.09322921507098449</v>
      </c>
      <c r="BB6" s="195">
        <v>0</v>
      </c>
      <c r="BC6" s="195">
        <v>2308</v>
      </c>
      <c r="BD6" s="195">
        <v>3069</v>
      </c>
      <c r="BE6" s="195">
        <v>0.7520364939719778</v>
      </c>
      <c r="BF6" s="195">
        <v>0.32109497592967173</v>
      </c>
      <c r="BG6" s="195">
        <v>0</v>
      </c>
      <c r="BH6" s="195">
        <v>4</v>
      </c>
      <c r="BI6" s="195">
        <v>0</v>
      </c>
      <c r="BJ6" s="195">
        <v>-1997.52</v>
      </c>
      <c r="BK6" s="195">
        <v>-34124.299999999996</v>
      </c>
      <c r="BL6" s="195">
        <v>-2330.44</v>
      </c>
      <c r="BM6" s="195">
        <v>-11901.89</v>
      </c>
      <c r="BN6" s="195">
        <v>-332.92</v>
      </c>
      <c r="BO6" s="195">
        <v>198106</v>
      </c>
      <c r="BP6" s="195">
        <v>-249104.65728074315</v>
      </c>
      <c r="BQ6" s="195">
        <v>-711366.8099999999</v>
      </c>
      <c r="BR6" s="195">
        <v>98970.00168253854</v>
      </c>
      <c r="BS6" s="195">
        <v>734044</v>
      </c>
      <c r="BT6" s="195">
        <v>234966</v>
      </c>
      <c r="BU6" s="195">
        <v>499428.03132371634</v>
      </c>
      <c r="BV6" s="195">
        <v>23164.14885330807</v>
      </c>
      <c r="BW6" s="195">
        <v>5375.026859721413</v>
      </c>
      <c r="BX6" s="195">
        <v>239081.0739268699</v>
      </c>
      <c r="BY6" s="195">
        <v>418755.6805136163</v>
      </c>
      <c r="BZ6" s="195">
        <v>701338.6127065108</v>
      </c>
      <c r="CA6" s="195">
        <v>205108.07509658905</v>
      </c>
      <c r="CB6" s="195">
        <v>749.0699999999999</v>
      </c>
      <c r="CC6" s="195">
        <v>-3079.3416647349222</v>
      </c>
      <c r="CD6" s="195">
        <v>3356505.759298135</v>
      </c>
      <c r="CE6" s="195">
        <v>2099818.722017392</v>
      </c>
      <c r="CF6" s="195">
        <v>0</v>
      </c>
      <c r="CG6" s="229">
        <v>4148915.6158457804</v>
      </c>
      <c r="CH6" s="195">
        <v>5474</v>
      </c>
      <c r="CI6" s="195">
        <v>837152.0771000001</v>
      </c>
      <c r="CJ6" s="195">
        <v>17838754.845942046</v>
      </c>
      <c r="CL6" s="195">
        <v>8287</v>
      </c>
    </row>
    <row r="7" spans="1:90" ht="9.75">
      <c r="A7" s="195">
        <v>18</v>
      </c>
      <c r="B7" s="195" t="s">
        <v>75</v>
      </c>
      <c r="C7" s="195">
        <v>5046</v>
      </c>
      <c r="D7" s="195">
        <v>18068159.97</v>
      </c>
      <c r="E7" s="195">
        <v>4180256.9103232427</v>
      </c>
      <c r="F7" s="195">
        <v>847419.105897082</v>
      </c>
      <c r="G7" s="195">
        <v>23095835.986220323</v>
      </c>
      <c r="H7" s="195">
        <v>3540.31</v>
      </c>
      <c r="I7" s="195">
        <v>17864404.259999998</v>
      </c>
      <c r="J7" s="195">
        <v>5231431.726220325</v>
      </c>
      <c r="K7" s="195">
        <v>49227.09920687014</v>
      </c>
      <c r="L7" s="195">
        <v>1046592.975828982</v>
      </c>
      <c r="M7" s="195">
        <v>0</v>
      </c>
      <c r="N7" s="195">
        <v>6327251.801256177</v>
      </c>
      <c r="O7" s="195">
        <v>1445930.3911703725</v>
      </c>
      <c r="P7" s="195">
        <v>7773182.192426549</v>
      </c>
      <c r="Q7" s="195">
        <v>403</v>
      </c>
      <c r="R7" s="195">
        <v>78</v>
      </c>
      <c r="S7" s="195">
        <v>430</v>
      </c>
      <c r="T7" s="195">
        <v>225</v>
      </c>
      <c r="U7" s="195">
        <v>191</v>
      </c>
      <c r="V7" s="195">
        <v>2832</v>
      </c>
      <c r="W7" s="195">
        <v>536</v>
      </c>
      <c r="X7" s="195">
        <v>241</v>
      </c>
      <c r="Y7" s="195">
        <v>110</v>
      </c>
      <c r="Z7" s="195">
        <v>153</v>
      </c>
      <c r="AA7" s="195">
        <v>0</v>
      </c>
      <c r="AB7" s="195">
        <v>4764</v>
      </c>
      <c r="AC7" s="195">
        <v>129</v>
      </c>
      <c r="AD7" s="195">
        <v>887</v>
      </c>
      <c r="AE7" s="195">
        <v>0.729328650605932</v>
      </c>
      <c r="AF7" s="195">
        <v>4180256.9103232427</v>
      </c>
      <c r="AG7" s="195">
        <v>5282740.910647617</v>
      </c>
      <c r="AH7" s="195">
        <v>1130253.5088945827</v>
      </c>
      <c r="AI7" s="195">
        <v>633258.982586685</v>
      </c>
      <c r="AJ7" s="195">
        <v>228</v>
      </c>
      <c r="AK7" s="195">
        <v>2563</v>
      </c>
      <c r="AL7" s="195">
        <v>0.6699845816688518</v>
      </c>
      <c r="AM7" s="195">
        <v>129</v>
      </c>
      <c r="AN7" s="195">
        <v>0.025564803804994055</v>
      </c>
      <c r="AO7" s="195">
        <v>0.021596549836740087</v>
      </c>
      <c r="AP7" s="195">
        <v>0</v>
      </c>
      <c r="AQ7" s="195">
        <v>153</v>
      </c>
      <c r="AR7" s="195">
        <v>0</v>
      </c>
      <c r="AS7" s="195">
        <v>0</v>
      </c>
      <c r="AT7" s="195">
        <v>0</v>
      </c>
      <c r="AU7" s="195">
        <v>212.42</v>
      </c>
      <c r="AV7" s="195">
        <v>23.754825346012616</v>
      </c>
      <c r="AW7" s="195">
        <v>0.7621742044270442</v>
      </c>
      <c r="AX7" s="195">
        <v>288</v>
      </c>
      <c r="AY7" s="195">
        <v>1769</v>
      </c>
      <c r="AZ7" s="195">
        <v>0.16280384397964953</v>
      </c>
      <c r="BA7" s="195">
        <v>0.09778104377698106</v>
      </c>
      <c r="BB7" s="195">
        <v>0</v>
      </c>
      <c r="BC7" s="195">
        <v>1359</v>
      </c>
      <c r="BD7" s="195">
        <v>2321</v>
      </c>
      <c r="BE7" s="195">
        <v>0.5855234812580784</v>
      </c>
      <c r="BF7" s="195">
        <v>0.15458196321577233</v>
      </c>
      <c r="BG7" s="195">
        <v>0</v>
      </c>
      <c r="BH7" s="195">
        <v>0</v>
      </c>
      <c r="BI7" s="195">
        <v>0</v>
      </c>
      <c r="BJ7" s="195">
        <v>-1211.04</v>
      </c>
      <c r="BK7" s="195">
        <v>-20688.6</v>
      </c>
      <c r="BL7" s="195">
        <v>-1412.88</v>
      </c>
      <c r="BM7" s="195">
        <v>-7215.78</v>
      </c>
      <c r="BN7" s="195">
        <v>-201.84</v>
      </c>
      <c r="BO7" s="195">
        <v>4308</v>
      </c>
      <c r="BP7" s="195">
        <v>-137557.79267510917</v>
      </c>
      <c r="BQ7" s="195">
        <v>-431281.62</v>
      </c>
      <c r="BR7" s="195">
        <v>113498.53809232544</v>
      </c>
      <c r="BS7" s="195">
        <v>390010</v>
      </c>
      <c r="BT7" s="195">
        <v>130963</v>
      </c>
      <c r="BU7" s="195">
        <v>277568.86861187575</v>
      </c>
      <c r="BV7" s="195">
        <v>5685.533134850141</v>
      </c>
      <c r="BW7" s="195">
        <v>18260.159979551037</v>
      </c>
      <c r="BX7" s="195">
        <v>78444.9405121629</v>
      </c>
      <c r="BY7" s="195">
        <v>268579.92814660154</v>
      </c>
      <c r="BZ7" s="195">
        <v>394468.0167573563</v>
      </c>
      <c r="CA7" s="195">
        <v>123577.79398194952</v>
      </c>
      <c r="CB7" s="195">
        <v>454.14</v>
      </c>
      <c r="CC7" s="195">
        <v>-11102.15071258101</v>
      </c>
      <c r="CD7" s="195">
        <v>1795019.528504091</v>
      </c>
      <c r="CE7" s="195">
        <v>1046592.975828982</v>
      </c>
      <c r="CF7" s="195">
        <v>0</v>
      </c>
      <c r="CG7" s="229">
        <v>1445930.3911703725</v>
      </c>
      <c r="CH7" s="195">
        <v>-196077</v>
      </c>
      <c r="CI7" s="195">
        <v>506707.94469999993</v>
      </c>
      <c r="CJ7" s="195">
        <v>7577105.192426549</v>
      </c>
      <c r="CL7" s="195">
        <v>5104</v>
      </c>
    </row>
    <row r="8" spans="1:90" ht="9.75">
      <c r="A8" s="195">
        <v>19</v>
      </c>
      <c r="B8" s="195" t="s">
        <v>76</v>
      </c>
      <c r="C8" s="195">
        <v>3984</v>
      </c>
      <c r="D8" s="195">
        <v>13929907.389999999</v>
      </c>
      <c r="E8" s="195">
        <v>3694136.1395650376</v>
      </c>
      <c r="F8" s="195">
        <v>652828.0128776432</v>
      </c>
      <c r="G8" s="195">
        <v>18276871.54244268</v>
      </c>
      <c r="H8" s="195">
        <v>3540.31</v>
      </c>
      <c r="I8" s="195">
        <v>14104595.04</v>
      </c>
      <c r="J8" s="195">
        <v>4172276.5024426803</v>
      </c>
      <c r="K8" s="195">
        <v>56348.71916781571</v>
      </c>
      <c r="L8" s="195">
        <v>641997.2974030061</v>
      </c>
      <c r="M8" s="195">
        <v>0</v>
      </c>
      <c r="N8" s="195">
        <v>4870622.519013502</v>
      </c>
      <c r="O8" s="195">
        <v>1781177.292814712</v>
      </c>
      <c r="P8" s="195">
        <v>6651799.811828214</v>
      </c>
      <c r="Q8" s="195">
        <v>328</v>
      </c>
      <c r="R8" s="195">
        <v>69</v>
      </c>
      <c r="S8" s="195">
        <v>320</v>
      </c>
      <c r="T8" s="195">
        <v>152</v>
      </c>
      <c r="U8" s="195">
        <v>160</v>
      </c>
      <c r="V8" s="195">
        <v>2257</v>
      </c>
      <c r="W8" s="195">
        <v>415</v>
      </c>
      <c r="X8" s="195">
        <v>203</v>
      </c>
      <c r="Y8" s="195">
        <v>80</v>
      </c>
      <c r="Z8" s="195">
        <v>24</v>
      </c>
      <c r="AA8" s="195">
        <v>0</v>
      </c>
      <c r="AB8" s="195">
        <v>3850</v>
      </c>
      <c r="AC8" s="195">
        <v>110</v>
      </c>
      <c r="AD8" s="195">
        <v>698</v>
      </c>
      <c r="AE8" s="195">
        <v>0.8163212724222056</v>
      </c>
      <c r="AF8" s="195">
        <v>3694136.1395650376</v>
      </c>
      <c r="AG8" s="195">
        <v>4967676.884155137</v>
      </c>
      <c r="AH8" s="195">
        <v>682846.557492153</v>
      </c>
      <c r="AI8" s="195">
        <v>588663.2795876226</v>
      </c>
      <c r="AJ8" s="195">
        <v>182</v>
      </c>
      <c r="AK8" s="195">
        <v>1968</v>
      </c>
      <c r="AL8" s="195">
        <v>0.6965059992171735</v>
      </c>
      <c r="AM8" s="195">
        <v>110</v>
      </c>
      <c r="AN8" s="195">
        <v>0.027610441767068273</v>
      </c>
      <c r="AO8" s="195">
        <v>0.023642187798814305</v>
      </c>
      <c r="AP8" s="195">
        <v>0</v>
      </c>
      <c r="AQ8" s="195">
        <v>24</v>
      </c>
      <c r="AR8" s="195">
        <v>0</v>
      </c>
      <c r="AS8" s="195">
        <v>0</v>
      </c>
      <c r="AT8" s="195">
        <v>0</v>
      </c>
      <c r="AU8" s="195">
        <v>95</v>
      </c>
      <c r="AV8" s="195">
        <v>41.93684210526316</v>
      </c>
      <c r="AW8" s="195">
        <v>0.43172814643399904</v>
      </c>
      <c r="AX8" s="195">
        <v>228</v>
      </c>
      <c r="AY8" s="195">
        <v>1350</v>
      </c>
      <c r="AZ8" s="195">
        <v>0.1688888888888889</v>
      </c>
      <c r="BA8" s="195">
        <v>0.10386608868622042</v>
      </c>
      <c r="BB8" s="195">
        <v>0</v>
      </c>
      <c r="BC8" s="195">
        <v>1147</v>
      </c>
      <c r="BD8" s="195">
        <v>1751</v>
      </c>
      <c r="BE8" s="195">
        <v>0.6550542547115934</v>
      </c>
      <c r="BF8" s="195">
        <v>0.22411273666928733</v>
      </c>
      <c r="BG8" s="195">
        <v>0</v>
      </c>
      <c r="BH8" s="195">
        <v>0</v>
      </c>
      <c r="BI8" s="195">
        <v>0</v>
      </c>
      <c r="BJ8" s="195">
        <v>-956.16</v>
      </c>
      <c r="BK8" s="195">
        <v>-16334.399999999998</v>
      </c>
      <c r="BL8" s="195">
        <v>-1115.5200000000002</v>
      </c>
      <c r="BM8" s="195">
        <v>-5697.12</v>
      </c>
      <c r="BN8" s="195">
        <v>-159.36</v>
      </c>
      <c r="BO8" s="195">
        <v>-66508</v>
      </c>
      <c r="BP8" s="195">
        <v>-148062.20593393568</v>
      </c>
      <c r="BQ8" s="195">
        <v>-340512.48</v>
      </c>
      <c r="BR8" s="195">
        <v>-55272.213284444064</v>
      </c>
      <c r="BS8" s="195">
        <v>304849</v>
      </c>
      <c r="BT8" s="195">
        <v>99381</v>
      </c>
      <c r="BU8" s="195">
        <v>201671.6672826829</v>
      </c>
      <c r="BV8" s="195">
        <v>3174.9392171713553</v>
      </c>
      <c r="BW8" s="195">
        <v>16950.500800257825</v>
      </c>
      <c r="BX8" s="195">
        <v>78918.645847082</v>
      </c>
      <c r="BY8" s="195">
        <v>205320.91818612782</v>
      </c>
      <c r="BZ8" s="195">
        <v>357272.2399105509</v>
      </c>
      <c r="CA8" s="195">
        <v>119722.10548455546</v>
      </c>
      <c r="CB8" s="195">
        <v>358.56</v>
      </c>
      <c r="CC8" s="195">
        <v>6284.139892957548</v>
      </c>
      <c r="CD8" s="195">
        <v>1272362.5433369419</v>
      </c>
      <c r="CE8" s="195">
        <v>641997.2974030061</v>
      </c>
      <c r="CF8" s="195">
        <v>0</v>
      </c>
      <c r="CG8" s="229">
        <v>1781177.292814712</v>
      </c>
      <c r="CH8" s="195">
        <v>-829636</v>
      </c>
      <c r="CI8" s="195">
        <v>-138041.3807</v>
      </c>
      <c r="CJ8" s="195">
        <v>5822163.811828214</v>
      </c>
      <c r="CL8" s="195">
        <v>3986</v>
      </c>
    </row>
    <row r="9" spans="1:90" ht="9.75">
      <c r="A9" s="195">
        <v>46</v>
      </c>
      <c r="B9" s="195" t="s">
        <v>77</v>
      </c>
      <c r="C9" s="195">
        <v>1453</v>
      </c>
      <c r="D9" s="195">
        <v>5423684.2</v>
      </c>
      <c r="E9" s="195">
        <v>2449027.306184106</v>
      </c>
      <c r="F9" s="195">
        <v>1046668.704878401</v>
      </c>
      <c r="G9" s="195">
        <v>8919380.211062508</v>
      </c>
      <c r="H9" s="195">
        <v>3540.31</v>
      </c>
      <c r="I9" s="195">
        <v>5144070.43</v>
      </c>
      <c r="J9" s="195">
        <v>3775309.781062508</v>
      </c>
      <c r="K9" s="195">
        <v>86135.43438079284</v>
      </c>
      <c r="L9" s="195">
        <v>615744.6823303977</v>
      </c>
      <c r="M9" s="195">
        <v>0</v>
      </c>
      <c r="N9" s="195">
        <v>4477189.897773699</v>
      </c>
      <c r="O9" s="195">
        <v>1119567.18719619</v>
      </c>
      <c r="P9" s="195">
        <v>5596757.084969889</v>
      </c>
      <c r="Q9" s="195">
        <v>73</v>
      </c>
      <c r="R9" s="195">
        <v>18</v>
      </c>
      <c r="S9" s="195">
        <v>64</v>
      </c>
      <c r="T9" s="195">
        <v>37</v>
      </c>
      <c r="U9" s="195">
        <v>39</v>
      </c>
      <c r="V9" s="195">
        <v>706</v>
      </c>
      <c r="W9" s="195">
        <v>276</v>
      </c>
      <c r="X9" s="195">
        <v>167</v>
      </c>
      <c r="Y9" s="195">
        <v>73</v>
      </c>
      <c r="Z9" s="195">
        <v>1</v>
      </c>
      <c r="AA9" s="195">
        <v>0</v>
      </c>
      <c r="AB9" s="195">
        <v>1413</v>
      </c>
      <c r="AC9" s="195">
        <v>39</v>
      </c>
      <c r="AD9" s="195">
        <v>516</v>
      </c>
      <c r="AE9" s="195">
        <v>1.483868994686818</v>
      </c>
      <c r="AF9" s="195">
        <v>2449027.306184106</v>
      </c>
      <c r="AG9" s="195">
        <v>2689971.4602493998</v>
      </c>
      <c r="AH9" s="195">
        <v>921040.9465991148</v>
      </c>
      <c r="AI9" s="195">
        <v>222978.51499531162</v>
      </c>
      <c r="AJ9" s="195">
        <v>96</v>
      </c>
      <c r="AK9" s="195">
        <v>601</v>
      </c>
      <c r="AL9" s="195">
        <v>1.203026872978206</v>
      </c>
      <c r="AM9" s="195">
        <v>39</v>
      </c>
      <c r="AN9" s="195">
        <v>0.026841018582243633</v>
      </c>
      <c r="AO9" s="195">
        <v>0.022872764613989665</v>
      </c>
      <c r="AP9" s="195">
        <v>0</v>
      </c>
      <c r="AQ9" s="195">
        <v>1</v>
      </c>
      <c r="AR9" s="195">
        <v>0</v>
      </c>
      <c r="AS9" s="195">
        <v>1</v>
      </c>
      <c r="AT9" s="195">
        <v>0</v>
      </c>
      <c r="AU9" s="195">
        <v>305.55</v>
      </c>
      <c r="AV9" s="195">
        <v>4.755359188348879</v>
      </c>
      <c r="AW9" s="195">
        <v>3.8073496432741485</v>
      </c>
      <c r="AX9" s="195">
        <v>73</v>
      </c>
      <c r="AY9" s="195">
        <v>381</v>
      </c>
      <c r="AZ9" s="195">
        <v>0.19160104986876642</v>
      </c>
      <c r="BA9" s="195">
        <v>0.12657824966609793</v>
      </c>
      <c r="BB9" s="195">
        <v>0.1604</v>
      </c>
      <c r="BC9" s="195">
        <v>399</v>
      </c>
      <c r="BD9" s="195">
        <v>474</v>
      </c>
      <c r="BE9" s="195">
        <v>0.8417721518987342</v>
      </c>
      <c r="BF9" s="195">
        <v>0.41083063385642815</v>
      </c>
      <c r="BG9" s="195">
        <v>0</v>
      </c>
      <c r="BH9" s="195">
        <v>0</v>
      </c>
      <c r="BI9" s="195">
        <v>0</v>
      </c>
      <c r="BJ9" s="195">
        <v>-348.71999999999997</v>
      </c>
      <c r="BK9" s="195">
        <v>-5957.299999999999</v>
      </c>
      <c r="BL9" s="195">
        <v>-406.84000000000003</v>
      </c>
      <c r="BM9" s="195">
        <v>-2077.79</v>
      </c>
      <c r="BN9" s="195">
        <v>-58.120000000000005</v>
      </c>
      <c r="BO9" s="195">
        <v>30511</v>
      </c>
      <c r="BP9" s="195">
        <v>-48520.38505267487</v>
      </c>
      <c r="BQ9" s="195">
        <v>-124187.91</v>
      </c>
      <c r="BR9" s="195">
        <v>129093.88504570909</v>
      </c>
      <c r="BS9" s="195">
        <v>170795</v>
      </c>
      <c r="BT9" s="195">
        <v>51004</v>
      </c>
      <c r="BU9" s="195">
        <v>132057.32919923117</v>
      </c>
      <c r="BV9" s="195">
        <v>6623.632441935772</v>
      </c>
      <c r="BW9" s="195">
        <v>5672.3970182429675</v>
      </c>
      <c r="BX9" s="195">
        <v>61209.4471838827</v>
      </c>
      <c r="BY9" s="195">
        <v>88357.1907931275</v>
      </c>
      <c r="BZ9" s="195">
        <v>132007.98019348277</v>
      </c>
      <c r="CA9" s="195">
        <v>39554.24382737425</v>
      </c>
      <c r="CB9" s="195">
        <v>130.76999999999998</v>
      </c>
      <c r="CC9" s="195">
        <v>-6938.808319913951</v>
      </c>
      <c r="CD9" s="195">
        <v>840165.2473830725</v>
      </c>
      <c r="CE9" s="195">
        <v>615744.6823303977</v>
      </c>
      <c r="CF9" s="195">
        <v>0</v>
      </c>
      <c r="CG9" s="229">
        <v>1119567.18719619</v>
      </c>
      <c r="CH9" s="195">
        <v>-359393</v>
      </c>
      <c r="CI9" s="195">
        <v>84970.6034</v>
      </c>
      <c r="CJ9" s="195">
        <v>5237364.084969889</v>
      </c>
      <c r="CL9" s="195">
        <v>1473</v>
      </c>
    </row>
    <row r="10" spans="1:90" ht="9.75">
      <c r="A10" s="195">
        <v>47</v>
      </c>
      <c r="B10" s="195" t="s">
        <v>78</v>
      </c>
      <c r="C10" s="195">
        <v>1872</v>
      </c>
      <c r="D10" s="195">
        <v>5622986.269999999</v>
      </c>
      <c r="E10" s="195">
        <v>2399896.8178031747</v>
      </c>
      <c r="F10" s="195">
        <v>1813363.3618568408</v>
      </c>
      <c r="G10" s="195">
        <v>9836246.449660014</v>
      </c>
      <c r="H10" s="195">
        <v>3540.31</v>
      </c>
      <c r="I10" s="195">
        <v>6627460.32</v>
      </c>
      <c r="J10" s="195">
        <v>3208786.129660014</v>
      </c>
      <c r="K10" s="195">
        <v>2810197.7606487093</v>
      </c>
      <c r="L10" s="195">
        <v>995558.8846268095</v>
      </c>
      <c r="M10" s="195">
        <v>0</v>
      </c>
      <c r="N10" s="195">
        <v>7014542.774935532</v>
      </c>
      <c r="O10" s="195">
        <v>1585287.9228310592</v>
      </c>
      <c r="P10" s="195">
        <v>8599830.69776659</v>
      </c>
      <c r="Q10" s="195">
        <v>93</v>
      </c>
      <c r="R10" s="195">
        <v>25</v>
      </c>
      <c r="S10" s="195">
        <v>86</v>
      </c>
      <c r="T10" s="195">
        <v>40</v>
      </c>
      <c r="U10" s="195">
        <v>52</v>
      </c>
      <c r="V10" s="195">
        <v>1102</v>
      </c>
      <c r="W10" s="195">
        <v>299</v>
      </c>
      <c r="X10" s="195">
        <v>129</v>
      </c>
      <c r="Y10" s="195">
        <v>46</v>
      </c>
      <c r="Z10" s="195">
        <v>11</v>
      </c>
      <c r="AA10" s="195">
        <v>199</v>
      </c>
      <c r="AB10" s="195">
        <v>1623</v>
      </c>
      <c r="AC10" s="195">
        <v>39</v>
      </c>
      <c r="AD10" s="195">
        <v>474</v>
      </c>
      <c r="AE10" s="195">
        <v>1.1286369716487628</v>
      </c>
      <c r="AF10" s="195">
        <v>2399896.8178031747</v>
      </c>
      <c r="AG10" s="195">
        <v>3125959.808990462</v>
      </c>
      <c r="AH10" s="195">
        <v>705450.8729349716</v>
      </c>
      <c r="AI10" s="195">
        <v>249735.93679474902</v>
      </c>
      <c r="AJ10" s="195">
        <v>165</v>
      </c>
      <c r="AK10" s="195">
        <v>925</v>
      </c>
      <c r="AL10" s="195">
        <v>1.3434477461586016</v>
      </c>
      <c r="AM10" s="195">
        <v>39</v>
      </c>
      <c r="AN10" s="195">
        <v>0.020833333333333332</v>
      </c>
      <c r="AO10" s="195">
        <v>0.016865079365079364</v>
      </c>
      <c r="AP10" s="195">
        <v>0</v>
      </c>
      <c r="AQ10" s="195">
        <v>11</v>
      </c>
      <c r="AR10" s="195">
        <v>199</v>
      </c>
      <c r="AS10" s="195">
        <v>0</v>
      </c>
      <c r="AT10" s="195">
        <v>0</v>
      </c>
      <c r="AU10" s="195">
        <v>7950.4</v>
      </c>
      <c r="AV10" s="195">
        <v>0.23545985107667539</v>
      </c>
      <c r="AW10" s="195">
        <v>76.89342801590712</v>
      </c>
      <c r="AX10" s="195">
        <v>103</v>
      </c>
      <c r="AY10" s="195">
        <v>542</v>
      </c>
      <c r="AZ10" s="195">
        <v>0.1900369003690037</v>
      </c>
      <c r="BA10" s="195">
        <v>0.12501410016633524</v>
      </c>
      <c r="BB10" s="195">
        <v>1.90255</v>
      </c>
      <c r="BC10" s="195">
        <v>700</v>
      </c>
      <c r="BD10" s="195">
        <v>727</v>
      </c>
      <c r="BE10" s="195">
        <v>0.9628610729023384</v>
      </c>
      <c r="BF10" s="195">
        <v>0.5319195548600323</v>
      </c>
      <c r="BG10" s="195">
        <v>1</v>
      </c>
      <c r="BH10" s="195">
        <v>199</v>
      </c>
      <c r="BI10" s="195">
        <v>0</v>
      </c>
      <c r="BJ10" s="195">
        <v>-449.28</v>
      </c>
      <c r="BK10" s="195">
        <v>-7675.199999999999</v>
      </c>
      <c r="BL10" s="195">
        <v>-524.1600000000001</v>
      </c>
      <c r="BM10" s="195">
        <v>-2676.96</v>
      </c>
      <c r="BN10" s="195">
        <v>-74.88</v>
      </c>
      <c r="BO10" s="195">
        <v>95738</v>
      </c>
      <c r="BP10" s="195">
        <v>-69029.00141514569</v>
      </c>
      <c r="BQ10" s="195">
        <v>-159999.84</v>
      </c>
      <c r="BR10" s="195">
        <v>358000.4534871001</v>
      </c>
      <c r="BS10" s="195">
        <v>173397</v>
      </c>
      <c r="BT10" s="195">
        <v>59946</v>
      </c>
      <c r="BU10" s="195">
        <v>172394.94870718927</v>
      </c>
      <c r="BV10" s="195">
        <v>9669.362924982988</v>
      </c>
      <c r="BW10" s="195">
        <v>17796.73113292622</v>
      </c>
      <c r="BX10" s="195">
        <v>66470.25845941098</v>
      </c>
      <c r="BY10" s="195">
        <v>120347.25272450408</v>
      </c>
      <c r="BZ10" s="195">
        <v>149976.14331376436</v>
      </c>
      <c r="CA10" s="195">
        <v>54276.69039191601</v>
      </c>
      <c r="CB10" s="195">
        <v>168.48</v>
      </c>
      <c r="CC10" s="195">
        <v>12918.564900160985</v>
      </c>
      <c r="CD10" s="195">
        <v>1291212.2060419552</v>
      </c>
      <c r="CE10" s="195">
        <v>995558.8846268095</v>
      </c>
      <c r="CF10" s="195">
        <v>0</v>
      </c>
      <c r="CG10" s="229">
        <v>1585287.9228310592</v>
      </c>
      <c r="CH10" s="195">
        <v>89679</v>
      </c>
      <c r="CI10" s="195">
        <v>-6518.15</v>
      </c>
      <c r="CJ10" s="195">
        <v>8689509.69776659</v>
      </c>
      <c r="CL10" s="195">
        <v>1861</v>
      </c>
    </row>
    <row r="11" spans="1:90" ht="9.75">
      <c r="A11" s="195">
        <v>49</v>
      </c>
      <c r="B11" s="195" t="s">
        <v>79</v>
      </c>
      <c r="C11" s="195">
        <v>274583</v>
      </c>
      <c r="D11" s="195">
        <v>879214054.9499999</v>
      </c>
      <c r="E11" s="195">
        <v>197817446.36909539</v>
      </c>
      <c r="F11" s="195">
        <v>118061417.11396848</v>
      </c>
      <c r="G11" s="195">
        <v>1195092918.4330637</v>
      </c>
      <c r="H11" s="195">
        <v>3540.31</v>
      </c>
      <c r="I11" s="195">
        <v>972108940.73</v>
      </c>
      <c r="J11" s="195">
        <v>222983977.70306373</v>
      </c>
      <c r="K11" s="195">
        <v>8876362.392241394</v>
      </c>
      <c r="L11" s="195">
        <v>-5916755.78878592</v>
      </c>
      <c r="M11" s="195">
        <v>0</v>
      </c>
      <c r="N11" s="195">
        <v>225943584.3065192</v>
      </c>
      <c r="O11" s="195">
        <v>-174284738.8640214</v>
      </c>
      <c r="P11" s="195">
        <v>51658845.44249782</v>
      </c>
      <c r="Q11" s="195">
        <v>21740</v>
      </c>
      <c r="R11" s="195">
        <v>3814</v>
      </c>
      <c r="S11" s="195">
        <v>21404</v>
      </c>
      <c r="T11" s="195">
        <v>9647</v>
      </c>
      <c r="U11" s="195">
        <v>9317</v>
      </c>
      <c r="V11" s="195">
        <v>169780</v>
      </c>
      <c r="W11" s="195">
        <v>23960</v>
      </c>
      <c r="X11" s="195">
        <v>11131</v>
      </c>
      <c r="Y11" s="195">
        <v>3790</v>
      </c>
      <c r="Z11" s="195">
        <v>20131</v>
      </c>
      <c r="AA11" s="195">
        <v>11</v>
      </c>
      <c r="AB11" s="195">
        <v>212789</v>
      </c>
      <c r="AC11" s="195">
        <v>41652</v>
      </c>
      <c r="AD11" s="195">
        <v>38881</v>
      </c>
      <c r="AE11" s="195">
        <v>0.6342471038728166</v>
      </c>
      <c r="AF11" s="195">
        <v>197817446.36909539</v>
      </c>
      <c r="AG11" s="195">
        <v>248650637.62364686</v>
      </c>
      <c r="AH11" s="195">
        <v>49820816.9180597</v>
      </c>
      <c r="AI11" s="195">
        <v>26177677.660449583</v>
      </c>
      <c r="AJ11" s="195">
        <v>14555</v>
      </c>
      <c r="AK11" s="195">
        <v>138605</v>
      </c>
      <c r="AL11" s="195">
        <v>0.7908823438499447</v>
      </c>
      <c r="AM11" s="195">
        <v>41652</v>
      </c>
      <c r="AN11" s="195">
        <v>0.15169183816915105</v>
      </c>
      <c r="AO11" s="195">
        <v>0.1477235842008971</v>
      </c>
      <c r="AP11" s="195">
        <v>1</v>
      </c>
      <c r="AQ11" s="195">
        <v>20131</v>
      </c>
      <c r="AR11" s="195">
        <v>11</v>
      </c>
      <c r="AS11" s="195">
        <v>3</v>
      </c>
      <c r="AT11" s="195">
        <v>657</v>
      </c>
      <c r="AU11" s="195">
        <v>312.22</v>
      </c>
      <c r="AV11" s="195">
        <v>879.4535904170135</v>
      </c>
      <c r="AW11" s="195">
        <v>0.0205870045977247</v>
      </c>
      <c r="AX11" s="195">
        <v>16208</v>
      </c>
      <c r="AY11" s="195">
        <v>98772</v>
      </c>
      <c r="AZ11" s="195">
        <v>0.1640950876766695</v>
      </c>
      <c r="BA11" s="195">
        <v>0.09907228747400103</v>
      </c>
      <c r="BB11" s="195">
        <v>0</v>
      </c>
      <c r="BC11" s="195">
        <v>118065</v>
      </c>
      <c r="BD11" s="195">
        <v>125179</v>
      </c>
      <c r="BE11" s="195">
        <v>0.9431693814457697</v>
      </c>
      <c r="BF11" s="195">
        <v>0.5122278634034636</v>
      </c>
      <c r="BG11" s="195">
        <v>0</v>
      </c>
      <c r="BH11" s="195">
        <v>11</v>
      </c>
      <c r="BI11" s="195">
        <v>0</v>
      </c>
      <c r="BJ11" s="195">
        <v>-65899.92</v>
      </c>
      <c r="BK11" s="195">
        <v>-1125790.2999999998</v>
      </c>
      <c r="BL11" s="195">
        <v>-76883.24</v>
      </c>
      <c r="BM11" s="195">
        <v>-392653.69</v>
      </c>
      <c r="BN11" s="195">
        <v>-10983.32</v>
      </c>
      <c r="BO11" s="195">
        <v>-2408909</v>
      </c>
      <c r="BP11" s="195">
        <v>-22585488.92678738</v>
      </c>
      <c r="BQ11" s="195">
        <v>-23468609.009999998</v>
      </c>
      <c r="BR11" s="195">
        <v>-266216.5658850074</v>
      </c>
      <c r="BS11" s="195">
        <v>12227998</v>
      </c>
      <c r="BT11" s="195">
        <v>4741059</v>
      </c>
      <c r="BU11" s="195">
        <v>9930861.540707117</v>
      </c>
      <c r="BV11" s="195">
        <v>158476.05074123334</v>
      </c>
      <c r="BW11" s="195">
        <v>-3216643.810550721</v>
      </c>
      <c r="BX11" s="195">
        <v>3590217.8977544284</v>
      </c>
      <c r="BY11" s="195">
        <v>10354449.592781734</v>
      </c>
      <c r="BZ11" s="195">
        <v>14030211.993497528</v>
      </c>
      <c r="CA11" s="195">
        <v>4468896.588227472</v>
      </c>
      <c r="CB11" s="195">
        <v>24712.469999999998</v>
      </c>
      <c r="CC11" s="195">
        <v>-3741837.619272322</v>
      </c>
      <c r="CD11" s="195">
        <v>49909751.11800146</v>
      </c>
      <c r="CE11" s="195">
        <v>-5916755.78878592</v>
      </c>
      <c r="CF11" s="195">
        <v>0</v>
      </c>
      <c r="CG11" s="229">
        <v>-174284738.8640214</v>
      </c>
      <c r="CH11" s="195">
        <v>-16612815</v>
      </c>
      <c r="CI11" s="195">
        <v>-14032797.37926</v>
      </c>
      <c r="CJ11" s="195">
        <v>35046030.44249782</v>
      </c>
      <c r="CL11" s="195">
        <v>269802</v>
      </c>
    </row>
    <row r="12" spans="1:90" ht="9.75">
      <c r="A12" s="195">
        <v>50</v>
      </c>
      <c r="B12" s="195" t="s">
        <v>80</v>
      </c>
      <c r="C12" s="195">
        <v>12004</v>
      </c>
      <c r="D12" s="195">
        <v>43505592.17</v>
      </c>
      <c r="E12" s="195">
        <v>13460435.029552804</v>
      </c>
      <c r="F12" s="195">
        <v>2097468.1509386715</v>
      </c>
      <c r="G12" s="195">
        <v>59063495.35049148</v>
      </c>
      <c r="H12" s="195">
        <v>3540.31</v>
      </c>
      <c r="I12" s="195">
        <v>42497881.24</v>
      </c>
      <c r="J12" s="195">
        <v>16565614.110491477</v>
      </c>
      <c r="K12" s="195">
        <v>468603.6145197055</v>
      </c>
      <c r="L12" s="195">
        <v>2681409.1293615205</v>
      </c>
      <c r="M12" s="195">
        <v>0</v>
      </c>
      <c r="N12" s="195">
        <v>19715626.854372703</v>
      </c>
      <c r="O12" s="195">
        <v>4160623.226314151</v>
      </c>
      <c r="P12" s="195">
        <v>23876250.080686852</v>
      </c>
      <c r="Q12" s="195">
        <v>723</v>
      </c>
      <c r="R12" s="195">
        <v>138</v>
      </c>
      <c r="S12" s="195">
        <v>828</v>
      </c>
      <c r="T12" s="195">
        <v>402</v>
      </c>
      <c r="U12" s="195">
        <v>381</v>
      </c>
      <c r="V12" s="195">
        <v>6389</v>
      </c>
      <c r="W12" s="195">
        <v>1702</v>
      </c>
      <c r="X12" s="195">
        <v>1002</v>
      </c>
      <c r="Y12" s="195">
        <v>439</v>
      </c>
      <c r="Z12" s="195">
        <v>20</v>
      </c>
      <c r="AA12" s="195">
        <v>0</v>
      </c>
      <c r="AB12" s="195">
        <v>11646</v>
      </c>
      <c r="AC12" s="195">
        <v>338</v>
      </c>
      <c r="AD12" s="195">
        <v>3143</v>
      </c>
      <c r="AE12" s="195">
        <v>0.98718979359482</v>
      </c>
      <c r="AF12" s="195">
        <v>13460435.029552804</v>
      </c>
      <c r="AG12" s="195">
        <v>17363609.334197897</v>
      </c>
      <c r="AH12" s="195">
        <v>3991001.3304124125</v>
      </c>
      <c r="AI12" s="195">
        <v>1783828.119962493</v>
      </c>
      <c r="AJ12" s="195">
        <v>468</v>
      </c>
      <c r="AK12" s="195">
        <v>5566</v>
      </c>
      <c r="AL12" s="195">
        <v>0.633258778201046</v>
      </c>
      <c r="AM12" s="195">
        <v>338</v>
      </c>
      <c r="AN12" s="195">
        <v>0.028157280906364546</v>
      </c>
      <c r="AO12" s="195">
        <v>0.024189026938110578</v>
      </c>
      <c r="AP12" s="195">
        <v>0</v>
      </c>
      <c r="AQ12" s="195">
        <v>20</v>
      </c>
      <c r="AR12" s="195">
        <v>0</v>
      </c>
      <c r="AS12" s="195">
        <v>0</v>
      </c>
      <c r="AT12" s="195">
        <v>0</v>
      </c>
      <c r="AU12" s="195">
        <v>578.81</v>
      </c>
      <c r="AV12" s="195">
        <v>20.739102641626786</v>
      </c>
      <c r="AW12" s="195">
        <v>0.8730037852775852</v>
      </c>
      <c r="AX12" s="195">
        <v>589</v>
      </c>
      <c r="AY12" s="195">
        <v>3572</v>
      </c>
      <c r="AZ12" s="195">
        <v>0.16489361702127658</v>
      </c>
      <c r="BA12" s="195">
        <v>0.09987081681860811</v>
      </c>
      <c r="BB12" s="195">
        <v>0</v>
      </c>
      <c r="BC12" s="195">
        <v>5258</v>
      </c>
      <c r="BD12" s="195">
        <v>5010</v>
      </c>
      <c r="BE12" s="195">
        <v>1.049500998003992</v>
      </c>
      <c r="BF12" s="195">
        <v>0.6185594799616859</v>
      </c>
      <c r="BG12" s="195">
        <v>0</v>
      </c>
      <c r="BH12" s="195">
        <v>0</v>
      </c>
      <c r="BI12" s="195">
        <v>0</v>
      </c>
      <c r="BJ12" s="195">
        <v>-2880.96</v>
      </c>
      <c r="BK12" s="195">
        <v>-49216.399999999994</v>
      </c>
      <c r="BL12" s="195">
        <v>-3361.1200000000003</v>
      </c>
      <c r="BM12" s="195">
        <v>-17165.719999999998</v>
      </c>
      <c r="BN12" s="195">
        <v>-480.16</v>
      </c>
      <c r="BO12" s="195">
        <v>-119829</v>
      </c>
      <c r="BP12" s="195">
        <v>-342643.95629981736</v>
      </c>
      <c r="BQ12" s="195">
        <v>-1025981.88</v>
      </c>
      <c r="BR12" s="195">
        <v>147021.0045784153</v>
      </c>
      <c r="BS12" s="195">
        <v>930471</v>
      </c>
      <c r="BT12" s="195">
        <v>326226</v>
      </c>
      <c r="BU12" s="195">
        <v>755979.6991818466</v>
      </c>
      <c r="BV12" s="195">
        <v>35805.37842070008</v>
      </c>
      <c r="BW12" s="195">
        <v>118088.13599981995</v>
      </c>
      <c r="BX12" s="195">
        <v>359583.83389071794</v>
      </c>
      <c r="BY12" s="195">
        <v>592840.1409151391</v>
      </c>
      <c r="BZ12" s="195">
        <v>1045132.1657653033</v>
      </c>
      <c r="CA12" s="195">
        <v>313911.15586569824</v>
      </c>
      <c r="CB12" s="195">
        <v>1080.36</v>
      </c>
      <c r="CC12" s="195">
        <v>-29772.788956303324</v>
      </c>
      <c r="CD12" s="195">
        <v>4477257.325661338</v>
      </c>
      <c r="CE12" s="195">
        <v>2681409.1293615205</v>
      </c>
      <c r="CF12" s="195">
        <v>0</v>
      </c>
      <c r="CG12" s="229">
        <v>4160623.226314151</v>
      </c>
      <c r="CH12" s="195">
        <v>-825725</v>
      </c>
      <c r="CI12" s="195">
        <v>163788.0732</v>
      </c>
      <c r="CJ12" s="195">
        <v>23050525.080686852</v>
      </c>
      <c r="CL12" s="195">
        <v>12128</v>
      </c>
    </row>
    <row r="13" spans="1:90" ht="9.75">
      <c r="A13" s="195">
        <v>51</v>
      </c>
      <c r="B13" s="195" t="s">
        <v>81</v>
      </c>
      <c r="C13" s="195">
        <v>9418</v>
      </c>
      <c r="D13" s="195">
        <v>32757291.55</v>
      </c>
      <c r="E13" s="195">
        <v>8412869.548862595</v>
      </c>
      <c r="F13" s="195">
        <v>1748604.633607757</v>
      </c>
      <c r="G13" s="195">
        <v>42918765.732470356</v>
      </c>
      <c r="H13" s="195">
        <v>3540.31</v>
      </c>
      <c r="I13" s="195">
        <v>33342639.58</v>
      </c>
      <c r="J13" s="195">
        <v>9576126.152470358</v>
      </c>
      <c r="K13" s="195">
        <v>272190.169651136</v>
      </c>
      <c r="L13" s="195">
        <v>2969845.2103752866</v>
      </c>
      <c r="M13" s="195">
        <v>1838637.178455826</v>
      </c>
      <c r="N13" s="195">
        <v>14656798.710952606</v>
      </c>
      <c r="O13" s="195">
        <v>-2525952.788417828</v>
      </c>
      <c r="P13" s="195">
        <v>12130845.922534779</v>
      </c>
      <c r="Q13" s="195">
        <v>626</v>
      </c>
      <c r="R13" s="195">
        <v>112</v>
      </c>
      <c r="S13" s="195">
        <v>744</v>
      </c>
      <c r="T13" s="195">
        <v>309</v>
      </c>
      <c r="U13" s="195">
        <v>305</v>
      </c>
      <c r="V13" s="195">
        <v>5085</v>
      </c>
      <c r="W13" s="195">
        <v>1349</v>
      </c>
      <c r="X13" s="195">
        <v>639</v>
      </c>
      <c r="Y13" s="195">
        <v>249</v>
      </c>
      <c r="Z13" s="195">
        <v>31</v>
      </c>
      <c r="AA13" s="195">
        <v>0</v>
      </c>
      <c r="AB13" s="195">
        <v>9086</v>
      </c>
      <c r="AC13" s="195">
        <v>301</v>
      </c>
      <c r="AD13" s="195">
        <v>2237</v>
      </c>
      <c r="AE13" s="195">
        <v>0.7864172223168856</v>
      </c>
      <c r="AF13" s="195">
        <v>8412869.548862595</v>
      </c>
      <c r="AG13" s="195">
        <v>7305943.587482089</v>
      </c>
      <c r="AH13" s="195">
        <v>1554829.7243322295</v>
      </c>
      <c r="AI13" s="195">
        <v>865156.6381818091</v>
      </c>
      <c r="AJ13" s="195">
        <v>435</v>
      </c>
      <c r="AK13" s="195">
        <v>4253</v>
      </c>
      <c r="AL13" s="195">
        <v>0.7703222493363933</v>
      </c>
      <c r="AM13" s="195">
        <v>301</v>
      </c>
      <c r="AN13" s="195">
        <v>0.0319600764493523</v>
      </c>
      <c r="AO13" s="195">
        <v>0.027991822481098334</v>
      </c>
      <c r="AP13" s="195">
        <v>0</v>
      </c>
      <c r="AQ13" s="195">
        <v>31</v>
      </c>
      <c r="AR13" s="195">
        <v>0</v>
      </c>
      <c r="AS13" s="195">
        <v>0</v>
      </c>
      <c r="AT13" s="195">
        <v>0</v>
      </c>
      <c r="AU13" s="195">
        <v>514.77</v>
      </c>
      <c r="AV13" s="195">
        <v>18.29554946869476</v>
      </c>
      <c r="AW13" s="195">
        <v>0.9896021510794352</v>
      </c>
      <c r="AX13" s="195">
        <v>383</v>
      </c>
      <c r="AY13" s="195">
        <v>2905</v>
      </c>
      <c r="AZ13" s="195">
        <v>0.13184165232358003</v>
      </c>
      <c r="BA13" s="195">
        <v>0.06681885212091156</v>
      </c>
      <c r="BB13" s="195">
        <v>0</v>
      </c>
      <c r="BC13" s="195">
        <v>3344</v>
      </c>
      <c r="BD13" s="195">
        <v>3762</v>
      </c>
      <c r="BE13" s="195">
        <v>0.8888888888888888</v>
      </c>
      <c r="BF13" s="195">
        <v>0.45794737084658277</v>
      </c>
      <c r="BG13" s="195">
        <v>0</v>
      </c>
      <c r="BH13" s="195">
        <v>0</v>
      </c>
      <c r="BI13" s="195">
        <v>0</v>
      </c>
      <c r="BJ13" s="195">
        <v>-2260.3199999999997</v>
      </c>
      <c r="BK13" s="195">
        <v>-38613.799999999996</v>
      </c>
      <c r="BL13" s="195">
        <v>-2637.0400000000004</v>
      </c>
      <c r="BM13" s="195">
        <v>-13467.74</v>
      </c>
      <c r="BN13" s="195">
        <v>-376.72</v>
      </c>
      <c r="BO13" s="195">
        <v>166456</v>
      </c>
      <c r="BP13" s="195">
        <v>-183076.91679669073</v>
      </c>
      <c r="BQ13" s="195">
        <v>-804956.46</v>
      </c>
      <c r="BR13" s="195">
        <v>531912.2649731943</v>
      </c>
      <c r="BS13" s="195">
        <v>825213</v>
      </c>
      <c r="BT13" s="195">
        <v>332930</v>
      </c>
      <c r="BU13" s="195">
        <v>852349.3838743449</v>
      </c>
      <c r="BV13" s="195">
        <v>38149.05709767528</v>
      </c>
      <c r="BW13" s="195">
        <v>81094.72168116856</v>
      </c>
      <c r="BX13" s="195">
        <v>261660.24010085664</v>
      </c>
      <c r="BY13" s="195">
        <v>497056.58265767223</v>
      </c>
      <c r="BZ13" s="195">
        <v>700972.9043078987</v>
      </c>
      <c r="CA13" s="195">
        <v>155170.0310458906</v>
      </c>
      <c r="CB13" s="195">
        <v>847.62</v>
      </c>
      <c r="CC13" s="195">
        <v>-151311.67856672432</v>
      </c>
      <c r="CD13" s="195">
        <v>4293065.2071719775</v>
      </c>
      <c r="CE13" s="195">
        <v>2969845.2103752866</v>
      </c>
      <c r="CF13" s="195">
        <v>1838637.178455826</v>
      </c>
      <c r="CG13" s="229">
        <v>-2525952.788417828</v>
      </c>
      <c r="CH13" s="195">
        <v>-1051523</v>
      </c>
      <c r="CI13" s="195">
        <v>-50724.24330000003</v>
      </c>
      <c r="CJ13" s="195">
        <v>11079322.922534779</v>
      </c>
      <c r="CL13" s="195">
        <v>9287</v>
      </c>
    </row>
    <row r="14" spans="1:90" ht="9.75">
      <c r="A14" s="195">
        <v>52</v>
      </c>
      <c r="B14" s="195" t="s">
        <v>82</v>
      </c>
      <c r="C14" s="195">
        <v>2535</v>
      </c>
      <c r="D14" s="195">
        <v>9291863.389999999</v>
      </c>
      <c r="E14" s="195">
        <v>4521999.978204987</v>
      </c>
      <c r="F14" s="195">
        <v>621242.6873445597</v>
      </c>
      <c r="G14" s="195">
        <v>14435106.055549545</v>
      </c>
      <c r="H14" s="195">
        <v>3540.31</v>
      </c>
      <c r="I14" s="195">
        <v>8974685.85</v>
      </c>
      <c r="J14" s="195">
        <v>5460420.205549546</v>
      </c>
      <c r="K14" s="195">
        <v>75890.18102329287</v>
      </c>
      <c r="L14" s="195">
        <v>935826.3414938886</v>
      </c>
      <c r="M14" s="195">
        <v>-215432.98888713404</v>
      </c>
      <c r="N14" s="195">
        <v>6256703.7391795935</v>
      </c>
      <c r="O14" s="195">
        <v>1824119.1572911623</v>
      </c>
      <c r="P14" s="195">
        <v>8080822.896470755</v>
      </c>
      <c r="Q14" s="195">
        <v>154</v>
      </c>
      <c r="R14" s="195">
        <v>35</v>
      </c>
      <c r="S14" s="195">
        <v>162</v>
      </c>
      <c r="T14" s="195">
        <v>93</v>
      </c>
      <c r="U14" s="195">
        <v>90</v>
      </c>
      <c r="V14" s="195">
        <v>1340</v>
      </c>
      <c r="W14" s="195">
        <v>347</v>
      </c>
      <c r="X14" s="195">
        <v>223</v>
      </c>
      <c r="Y14" s="195">
        <v>91</v>
      </c>
      <c r="Z14" s="195">
        <v>49</v>
      </c>
      <c r="AA14" s="195">
        <v>0</v>
      </c>
      <c r="AB14" s="195">
        <v>2413</v>
      </c>
      <c r="AC14" s="195">
        <v>73</v>
      </c>
      <c r="AD14" s="195">
        <v>661</v>
      </c>
      <c r="AE14" s="195">
        <v>1.5704356282200915</v>
      </c>
      <c r="AF14" s="195">
        <v>4521999.978204987</v>
      </c>
      <c r="AG14" s="195">
        <v>5677429.969003235</v>
      </c>
      <c r="AH14" s="195">
        <v>1544603.0640901532</v>
      </c>
      <c r="AI14" s="195">
        <v>437037.8893908107</v>
      </c>
      <c r="AJ14" s="195">
        <v>97</v>
      </c>
      <c r="AK14" s="195">
        <v>1159</v>
      </c>
      <c r="AL14" s="195">
        <v>0.630328386666042</v>
      </c>
      <c r="AM14" s="195">
        <v>73</v>
      </c>
      <c r="AN14" s="195">
        <v>0.028796844181459565</v>
      </c>
      <c r="AO14" s="195">
        <v>0.024828590213205597</v>
      </c>
      <c r="AP14" s="195">
        <v>0</v>
      </c>
      <c r="AQ14" s="195">
        <v>49</v>
      </c>
      <c r="AR14" s="195">
        <v>0</v>
      </c>
      <c r="AS14" s="195">
        <v>0</v>
      </c>
      <c r="AT14" s="195">
        <v>0</v>
      </c>
      <c r="AU14" s="195">
        <v>354.13</v>
      </c>
      <c r="AV14" s="195">
        <v>7.158388162539181</v>
      </c>
      <c r="AW14" s="195">
        <v>2.5292446704899474</v>
      </c>
      <c r="AX14" s="195">
        <v>131</v>
      </c>
      <c r="AY14" s="195">
        <v>730</v>
      </c>
      <c r="AZ14" s="195">
        <v>0.17945205479452056</v>
      </c>
      <c r="BA14" s="195">
        <v>0.11442925459185209</v>
      </c>
      <c r="BB14" s="195">
        <v>0</v>
      </c>
      <c r="BC14" s="195">
        <v>956</v>
      </c>
      <c r="BD14" s="195">
        <v>1056</v>
      </c>
      <c r="BE14" s="195">
        <v>0.9053030303030303</v>
      </c>
      <c r="BF14" s="195">
        <v>0.4743615122607242</v>
      </c>
      <c r="BG14" s="195">
        <v>0</v>
      </c>
      <c r="BH14" s="195">
        <v>0</v>
      </c>
      <c r="BI14" s="195">
        <v>0</v>
      </c>
      <c r="BJ14" s="195">
        <v>-608.4</v>
      </c>
      <c r="BK14" s="195">
        <v>-10393.5</v>
      </c>
      <c r="BL14" s="195">
        <v>-709.8000000000001</v>
      </c>
      <c r="BM14" s="195">
        <v>-3625.0499999999997</v>
      </c>
      <c r="BN14" s="195">
        <v>-101.4</v>
      </c>
      <c r="BO14" s="195">
        <v>-100747</v>
      </c>
      <c r="BP14" s="195">
        <v>-50021.01551822151</v>
      </c>
      <c r="BQ14" s="195">
        <v>-216666.45</v>
      </c>
      <c r="BR14" s="195">
        <v>216915.193710112</v>
      </c>
      <c r="BS14" s="195">
        <v>268330</v>
      </c>
      <c r="BT14" s="195">
        <v>90507</v>
      </c>
      <c r="BU14" s="195">
        <v>236019.7094316398</v>
      </c>
      <c r="BV14" s="195">
        <v>12785.587300546524</v>
      </c>
      <c r="BW14" s="195">
        <v>13972.667475937424</v>
      </c>
      <c r="BX14" s="195">
        <v>91029.97670731465</v>
      </c>
      <c r="BY14" s="195">
        <v>159125.99451754062</v>
      </c>
      <c r="BZ14" s="195">
        <v>262773.8022734692</v>
      </c>
      <c r="CA14" s="195">
        <v>76410.04197627987</v>
      </c>
      <c r="CB14" s="195">
        <v>228.15</v>
      </c>
      <c r="CC14" s="195">
        <v>-34768.76638072978</v>
      </c>
      <c r="CD14" s="195">
        <v>1292734.4570121102</v>
      </c>
      <c r="CE14" s="195">
        <v>935826.3414938886</v>
      </c>
      <c r="CF14" s="195">
        <v>-215432.98888713404</v>
      </c>
      <c r="CG14" s="229">
        <v>1824119.1572911623</v>
      </c>
      <c r="CH14" s="195">
        <v>132247</v>
      </c>
      <c r="CI14" s="195">
        <v>7886.961499999998</v>
      </c>
      <c r="CJ14" s="195">
        <v>8213069.896470755</v>
      </c>
      <c r="CL14" s="195">
        <v>2576</v>
      </c>
    </row>
    <row r="15" spans="1:90" ht="9.75">
      <c r="A15" s="195">
        <v>61</v>
      </c>
      <c r="B15" s="195" t="s">
        <v>83</v>
      </c>
      <c r="C15" s="195">
        <v>17332</v>
      </c>
      <c r="D15" s="195">
        <v>57979227.75</v>
      </c>
      <c r="E15" s="195">
        <v>24554380.68340983</v>
      </c>
      <c r="F15" s="195">
        <v>4131454.6131730773</v>
      </c>
      <c r="G15" s="195">
        <v>86665063.0465829</v>
      </c>
      <c r="H15" s="195">
        <v>3540.31</v>
      </c>
      <c r="I15" s="195">
        <v>61360652.92</v>
      </c>
      <c r="J15" s="195">
        <v>25304410.126582906</v>
      </c>
      <c r="K15" s="195">
        <v>901276.2857134586</v>
      </c>
      <c r="L15" s="195">
        <v>4159664.1592590376</v>
      </c>
      <c r="M15" s="195">
        <v>0</v>
      </c>
      <c r="N15" s="195">
        <v>30365350.571555402</v>
      </c>
      <c r="O15" s="195">
        <v>8717978.84007999</v>
      </c>
      <c r="P15" s="195">
        <v>39083329.41163539</v>
      </c>
      <c r="Q15" s="195">
        <v>805</v>
      </c>
      <c r="R15" s="195">
        <v>133</v>
      </c>
      <c r="S15" s="195">
        <v>963</v>
      </c>
      <c r="T15" s="195">
        <v>486</v>
      </c>
      <c r="U15" s="195">
        <v>541</v>
      </c>
      <c r="V15" s="195">
        <v>9474</v>
      </c>
      <c r="W15" s="195">
        <v>2784</v>
      </c>
      <c r="X15" s="195">
        <v>1562</v>
      </c>
      <c r="Y15" s="195">
        <v>584</v>
      </c>
      <c r="Z15" s="195">
        <v>48</v>
      </c>
      <c r="AA15" s="195">
        <v>1</v>
      </c>
      <c r="AB15" s="195">
        <v>16497</v>
      </c>
      <c r="AC15" s="195">
        <v>786</v>
      </c>
      <c r="AD15" s="195">
        <v>4930</v>
      </c>
      <c r="AE15" s="195">
        <v>1.2472337422168431</v>
      </c>
      <c r="AF15" s="195">
        <v>24554380.68340983</v>
      </c>
      <c r="AG15" s="195">
        <v>30508380.517509535</v>
      </c>
      <c r="AH15" s="195">
        <v>7228060.059435728</v>
      </c>
      <c r="AI15" s="195">
        <v>3237648.0377319246</v>
      </c>
      <c r="AJ15" s="195">
        <v>1181</v>
      </c>
      <c r="AK15" s="195">
        <v>7880</v>
      </c>
      <c r="AL15" s="195">
        <v>1.1287616552048227</v>
      </c>
      <c r="AM15" s="195">
        <v>786</v>
      </c>
      <c r="AN15" s="195">
        <v>0.0453496422801754</v>
      </c>
      <c r="AO15" s="195">
        <v>0.04138138831192143</v>
      </c>
      <c r="AP15" s="195">
        <v>0</v>
      </c>
      <c r="AQ15" s="195">
        <v>48</v>
      </c>
      <c r="AR15" s="195">
        <v>1</v>
      </c>
      <c r="AS15" s="195">
        <v>0</v>
      </c>
      <c r="AT15" s="195">
        <v>0</v>
      </c>
      <c r="AU15" s="195">
        <v>248.78</v>
      </c>
      <c r="AV15" s="195">
        <v>69.66797974113675</v>
      </c>
      <c r="AW15" s="195">
        <v>0.25988000766885927</v>
      </c>
      <c r="AX15" s="195">
        <v>952</v>
      </c>
      <c r="AY15" s="195">
        <v>4957</v>
      </c>
      <c r="AZ15" s="195">
        <v>0.19205164413960057</v>
      </c>
      <c r="BA15" s="195">
        <v>0.1270288439369321</v>
      </c>
      <c r="BB15" s="195">
        <v>0</v>
      </c>
      <c r="BC15" s="195">
        <v>8241</v>
      </c>
      <c r="BD15" s="195">
        <v>6567</v>
      </c>
      <c r="BE15" s="195">
        <v>1.2549109182275011</v>
      </c>
      <c r="BF15" s="195">
        <v>0.823969400185195</v>
      </c>
      <c r="BG15" s="195">
        <v>0</v>
      </c>
      <c r="BH15" s="195">
        <v>1</v>
      </c>
      <c r="BI15" s="195">
        <v>0</v>
      </c>
      <c r="BJ15" s="195">
        <v>-4159.68</v>
      </c>
      <c r="BK15" s="195">
        <v>-71061.2</v>
      </c>
      <c r="BL15" s="195">
        <v>-4852.96</v>
      </c>
      <c r="BM15" s="195">
        <v>-24784.76</v>
      </c>
      <c r="BN15" s="195">
        <v>-693.28</v>
      </c>
      <c r="BO15" s="195">
        <v>482824</v>
      </c>
      <c r="BP15" s="195">
        <v>-954901.1862428488</v>
      </c>
      <c r="BQ15" s="195">
        <v>-1481366.04</v>
      </c>
      <c r="BR15" s="195">
        <v>86203.58749876171</v>
      </c>
      <c r="BS15" s="195">
        <v>1410670</v>
      </c>
      <c r="BT15" s="195">
        <v>454609</v>
      </c>
      <c r="BU15" s="195">
        <v>1074037.505485831</v>
      </c>
      <c r="BV15" s="195">
        <v>51148.73329094706</v>
      </c>
      <c r="BW15" s="195">
        <v>150656.3595286791</v>
      </c>
      <c r="BX15" s="195">
        <v>556585.7054233298</v>
      </c>
      <c r="BY15" s="195">
        <v>915212.8959526116</v>
      </c>
      <c r="BZ15" s="195">
        <v>1382738.1902656096</v>
      </c>
      <c r="CA15" s="195">
        <v>471223.62761815917</v>
      </c>
      <c r="CB15" s="195">
        <v>1559.8799999999999</v>
      </c>
      <c r="CC15" s="195">
        <v>174267.8604379583</v>
      </c>
      <c r="CD15" s="195">
        <v>7212777.265501887</v>
      </c>
      <c r="CE15" s="195">
        <v>4159664.1592590376</v>
      </c>
      <c r="CF15" s="195">
        <v>0</v>
      </c>
      <c r="CG15" s="229">
        <v>8717978.84007999</v>
      </c>
      <c r="CH15" s="195">
        <v>992953</v>
      </c>
      <c r="CI15" s="195">
        <v>290865.9256</v>
      </c>
      <c r="CJ15" s="195">
        <v>40076282.41163539</v>
      </c>
      <c r="CL15" s="195">
        <v>17422</v>
      </c>
    </row>
    <row r="16" spans="1:90" ht="9.75">
      <c r="A16" s="195">
        <v>69</v>
      </c>
      <c r="B16" s="195" t="s">
        <v>84</v>
      </c>
      <c r="C16" s="195">
        <v>7332</v>
      </c>
      <c r="D16" s="195">
        <v>27100866.1</v>
      </c>
      <c r="E16" s="195">
        <v>11280251.962780481</v>
      </c>
      <c r="F16" s="195">
        <v>1512949.7339032239</v>
      </c>
      <c r="G16" s="195">
        <v>39894067.79668371</v>
      </c>
      <c r="H16" s="195">
        <v>3540.31</v>
      </c>
      <c r="I16" s="195">
        <v>25957552.919999998</v>
      </c>
      <c r="J16" s="195">
        <v>13936514.876683708</v>
      </c>
      <c r="K16" s="195">
        <v>545924.3625981443</v>
      </c>
      <c r="L16" s="195">
        <v>1748242.9952281066</v>
      </c>
      <c r="M16" s="195">
        <v>0</v>
      </c>
      <c r="N16" s="195">
        <v>16230682.234509958</v>
      </c>
      <c r="O16" s="195">
        <v>6795338.447639997</v>
      </c>
      <c r="P16" s="195">
        <v>23026020.682149954</v>
      </c>
      <c r="Q16" s="195">
        <v>517</v>
      </c>
      <c r="R16" s="195">
        <v>97</v>
      </c>
      <c r="S16" s="195">
        <v>618</v>
      </c>
      <c r="T16" s="195">
        <v>322</v>
      </c>
      <c r="U16" s="195">
        <v>331</v>
      </c>
      <c r="V16" s="195">
        <v>3867</v>
      </c>
      <c r="W16" s="195">
        <v>878</v>
      </c>
      <c r="X16" s="195">
        <v>510</v>
      </c>
      <c r="Y16" s="195">
        <v>192</v>
      </c>
      <c r="Z16" s="195">
        <v>5</v>
      </c>
      <c r="AA16" s="195">
        <v>0</v>
      </c>
      <c r="AB16" s="195">
        <v>7213</v>
      </c>
      <c r="AC16" s="195">
        <v>114</v>
      </c>
      <c r="AD16" s="195">
        <v>1580</v>
      </c>
      <c r="AE16" s="195">
        <v>1.3544528500111457</v>
      </c>
      <c r="AF16" s="195">
        <v>11280251.962780481</v>
      </c>
      <c r="AG16" s="195">
        <v>14015855.81612144</v>
      </c>
      <c r="AH16" s="195">
        <v>3225813.1764323977</v>
      </c>
      <c r="AI16" s="195">
        <v>1525173.0425679316</v>
      </c>
      <c r="AJ16" s="195">
        <v>353</v>
      </c>
      <c r="AK16" s="195">
        <v>3149</v>
      </c>
      <c r="AL16" s="195">
        <v>0.8442685514678779</v>
      </c>
      <c r="AM16" s="195">
        <v>114</v>
      </c>
      <c r="AN16" s="195">
        <v>0.015548281505728314</v>
      </c>
      <c r="AO16" s="195">
        <v>0.011580027537474346</v>
      </c>
      <c r="AP16" s="195">
        <v>0</v>
      </c>
      <c r="AQ16" s="195">
        <v>5</v>
      </c>
      <c r="AR16" s="195">
        <v>0</v>
      </c>
      <c r="AS16" s="195">
        <v>0</v>
      </c>
      <c r="AT16" s="195">
        <v>0</v>
      </c>
      <c r="AU16" s="195">
        <v>765.74</v>
      </c>
      <c r="AV16" s="195">
        <v>9.575051584088595</v>
      </c>
      <c r="AW16" s="195">
        <v>1.890884341499233</v>
      </c>
      <c r="AX16" s="195">
        <v>327</v>
      </c>
      <c r="AY16" s="195">
        <v>2048</v>
      </c>
      <c r="AZ16" s="195">
        <v>0.15966796875</v>
      </c>
      <c r="BA16" s="195">
        <v>0.09464516854733153</v>
      </c>
      <c r="BB16" s="195">
        <v>0.168916</v>
      </c>
      <c r="BC16" s="195">
        <v>2879</v>
      </c>
      <c r="BD16" s="195">
        <v>2731</v>
      </c>
      <c r="BE16" s="195">
        <v>1.0541926034419626</v>
      </c>
      <c r="BF16" s="195">
        <v>0.6232510853996566</v>
      </c>
      <c r="BG16" s="195">
        <v>0</v>
      </c>
      <c r="BH16" s="195">
        <v>0</v>
      </c>
      <c r="BI16" s="195">
        <v>0</v>
      </c>
      <c r="BJ16" s="195">
        <v>-1759.6799999999998</v>
      </c>
      <c r="BK16" s="195">
        <v>-30061.199999999997</v>
      </c>
      <c r="BL16" s="195">
        <v>-2052.96</v>
      </c>
      <c r="BM16" s="195">
        <v>-10484.76</v>
      </c>
      <c r="BN16" s="195">
        <v>-293.28000000000003</v>
      </c>
      <c r="BO16" s="195">
        <v>4482</v>
      </c>
      <c r="BP16" s="195">
        <v>-209588.05502134815</v>
      </c>
      <c r="BQ16" s="195">
        <v>-626666.04</v>
      </c>
      <c r="BR16" s="195">
        <v>-113460.30353241414</v>
      </c>
      <c r="BS16" s="195">
        <v>673244</v>
      </c>
      <c r="BT16" s="195">
        <v>206380</v>
      </c>
      <c r="BU16" s="195">
        <v>508460.5721752701</v>
      </c>
      <c r="BV16" s="195">
        <v>25606.347000850088</v>
      </c>
      <c r="BW16" s="195">
        <v>17551.09041727703</v>
      </c>
      <c r="BX16" s="195">
        <v>266734.2517578432</v>
      </c>
      <c r="BY16" s="195">
        <v>405559.0589041466</v>
      </c>
      <c r="BZ16" s="195">
        <v>652159.7036758711</v>
      </c>
      <c r="CA16" s="195">
        <v>193001.34630433656</v>
      </c>
      <c r="CB16" s="195">
        <v>659.88</v>
      </c>
      <c r="CC16" s="195">
        <v>4625.103546274266</v>
      </c>
      <c r="CD16" s="195">
        <v>2845442.970249455</v>
      </c>
      <c r="CE16" s="195">
        <v>1748242.9952281066</v>
      </c>
      <c r="CF16" s="195">
        <v>0</v>
      </c>
      <c r="CG16" s="229">
        <v>6795338.447639997</v>
      </c>
      <c r="CH16" s="195">
        <v>341177</v>
      </c>
      <c r="CI16" s="195">
        <v>233128.15290000004</v>
      </c>
      <c r="CJ16" s="195">
        <v>23367197.682149954</v>
      </c>
      <c r="CL16" s="195">
        <v>7438</v>
      </c>
    </row>
    <row r="17" spans="1:90" ht="9.75">
      <c r="A17" s="195">
        <v>71</v>
      </c>
      <c r="B17" s="195" t="s">
        <v>85</v>
      </c>
      <c r="C17" s="195">
        <v>7098</v>
      </c>
      <c r="D17" s="195">
        <v>27049439.83</v>
      </c>
      <c r="E17" s="195">
        <v>11164159.739319539</v>
      </c>
      <c r="F17" s="195">
        <v>1667403.1248050048</v>
      </c>
      <c r="G17" s="195">
        <v>39881002.69412454</v>
      </c>
      <c r="H17" s="195">
        <v>3540.31</v>
      </c>
      <c r="I17" s="195">
        <v>25129120.38</v>
      </c>
      <c r="J17" s="195">
        <v>14751882.314124543</v>
      </c>
      <c r="K17" s="195">
        <v>690883.5274136737</v>
      </c>
      <c r="L17" s="195">
        <v>1472453.855383009</v>
      </c>
      <c r="M17" s="195">
        <v>0</v>
      </c>
      <c r="N17" s="195">
        <v>16915219.696921226</v>
      </c>
      <c r="O17" s="195">
        <v>7253496.853345457</v>
      </c>
      <c r="P17" s="195">
        <v>24168716.550266683</v>
      </c>
      <c r="Q17" s="195">
        <v>589</v>
      </c>
      <c r="R17" s="195">
        <v>106</v>
      </c>
      <c r="S17" s="195">
        <v>611</v>
      </c>
      <c r="T17" s="195">
        <v>314</v>
      </c>
      <c r="U17" s="195">
        <v>304</v>
      </c>
      <c r="V17" s="195">
        <v>3691</v>
      </c>
      <c r="W17" s="195">
        <v>828</v>
      </c>
      <c r="X17" s="195">
        <v>457</v>
      </c>
      <c r="Y17" s="195">
        <v>198</v>
      </c>
      <c r="Z17" s="195">
        <v>2</v>
      </c>
      <c r="AA17" s="195">
        <v>2</v>
      </c>
      <c r="AB17" s="195">
        <v>6980</v>
      </c>
      <c r="AC17" s="195">
        <v>114</v>
      </c>
      <c r="AD17" s="195">
        <v>1483</v>
      </c>
      <c r="AE17" s="195">
        <v>1.3847060638679831</v>
      </c>
      <c r="AF17" s="195">
        <v>11164159.739319539</v>
      </c>
      <c r="AG17" s="195">
        <v>13354307.263011238</v>
      </c>
      <c r="AH17" s="195">
        <v>3114074.6488427725</v>
      </c>
      <c r="AI17" s="195">
        <v>1471658.1989690566</v>
      </c>
      <c r="AJ17" s="195">
        <v>397</v>
      </c>
      <c r="AK17" s="195">
        <v>3045</v>
      </c>
      <c r="AL17" s="195">
        <v>0.9819328229747573</v>
      </c>
      <c r="AM17" s="195">
        <v>114</v>
      </c>
      <c r="AN17" s="195">
        <v>0.016060862214708368</v>
      </c>
      <c r="AO17" s="195">
        <v>0.0120926082464544</v>
      </c>
      <c r="AP17" s="195">
        <v>0</v>
      </c>
      <c r="AQ17" s="195">
        <v>2</v>
      </c>
      <c r="AR17" s="195">
        <v>2</v>
      </c>
      <c r="AS17" s="195">
        <v>0</v>
      </c>
      <c r="AT17" s="195">
        <v>0</v>
      </c>
      <c r="AU17" s="195">
        <v>1049.78</v>
      </c>
      <c r="AV17" s="195">
        <v>6.761416677780106</v>
      </c>
      <c r="AW17" s="195">
        <v>2.677739883847071</v>
      </c>
      <c r="AX17" s="195">
        <v>233</v>
      </c>
      <c r="AY17" s="195">
        <v>1914</v>
      </c>
      <c r="AZ17" s="195">
        <v>0.12173458725182863</v>
      </c>
      <c r="BA17" s="195">
        <v>0.05671178704916016</v>
      </c>
      <c r="BB17" s="195">
        <v>0.277066</v>
      </c>
      <c r="BC17" s="195">
        <v>2741</v>
      </c>
      <c r="BD17" s="195">
        <v>2585</v>
      </c>
      <c r="BE17" s="195">
        <v>1.060348162475822</v>
      </c>
      <c r="BF17" s="195">
        <v>0.6294066444335159</v>
      </c>
      <c r="BG17" s="195">
        <v>0</v>
      </c>
      <c r="BH17" s="195">
        <v>2</v>
      </c>
      <c r="BI17" s="195">
        <v>0</v>
      </c>
      <c r="BJ17" s="195">
        <v>-1703.52</v>
      </c>
      <c r="BK17" s="195">
        <v>-29101.8</v>
      </c>
      <c r="BL17" s="195">
        <v>-1987.4400000000003</v>
      </c>
      <c r="BM17" s="195">
        <v>-10150.14</v>
      </c>
      <c r="BN17" s="195">
        <v>-283.92</v>
      </c>
      <c r="BO17" s="195">
        <v>-163632</v>
      </c>
      <c r="BP17" s="195">
        <v>-416174.849111603</v>
      </c>
      <c r="BQ17" s="195">
        <v>-606666.0599999999</v>
      </c>
      <c r="BR17" s="195">
        <v>-11546.944741975516</v>
      </c>
      <c r="BS17" s="195">
        <v>634501</v>
      </c>
      <c r="BT17" s="195">
        <v>212191</v>
      </c>
      <c r="BU17" s="195">
        <v>544020.7642299961</v>
      </c>
      <c r="BV17" s="195">
        <v>27631.80870777018</v>
      </c>
      <c r="BW17" s="195">
        <v>55173.66513559559</v>
      </c>
      <c r="BX17" s="195">
        <v>266304.3682504167</v>
      </c>
      <c r="BY17" s="195">
        <v>385249.7227873716</v>
      </c>
      <c r="BZ17" s="195">
        <v>604374.3985771033</v>
      </c>
      <c r="CA17" s="195">
        <v>173220.3839436509</v>
      </c>
      <c r="CB17" s="195">
        <v>638.8199999999999</v>
      </c>
      <c r="CC17" s="195">
        <v>19359.71760468343</v>
      </c>
      <c r="CD17" s="195">
        <v>2747912.5844946117</v>
      </c>
      <c r="CE17" s="195">
        <v>1472453.855383009</v>
      </c>
      <c r="CF17" s="195">
        <v>0</v>
      </c>
      <c r="CG17" s="229">
        <v>7253496.853345457</v>
      </c>
      <c r="CH17" s="195">
        <v>192140</v>
      </c>
      <c r="CI17" s="195">
        <v>16947.19000000003</v>
      </c>
      <c r="CJ17" s="195">
        <v>24360856.550266683</v>
      </c>
      <c r="CL17" s="195">
        <v>7167</v>
      </c>
    </row>
    <row r="18" spans="1:90" ht="9.75">
      <c r="A18" s="195">
        <v>72</v>
      </c>
      <c r="B18" s="195" t="s">
        <v>86</v>
      </c>
      <c r="C18" s="195">
        <v>994</v>
      </c>
      <c r="D18" s="195">
        <v>3420954.48</v>
      </c>
      <c r="E18" s="195">
        <v>1454035.9911162804</v>
      </c>
      <c r="F18" s="195">
        <v>1358673.0209280876</v>
      </c>
      <c r="G18" s="195">
        <v>6233663.492044368</v>
      </c>
      <c r="H18" s="195">
        <v>3540.31</v>
      </c>
      <c r="I18" s="195">
        <v>3519068.14</v>
      </c>
      <c r="J18" s="195">
        <v>2714595.3520443677</v>
      </c>
      <c r="K18" s="195">
        <v>185961.96453325523</v>
      </c>
      <c r="L18" s="195">
        <v>286467.73497556034</v>
      </c>
      <c r="M18" s="195">
        <v>0</v>
      </c>
      <c r="N18" s="195">
        <v>3187025.0515531832</v>
      </c>
      <c r="O18" s="195">
        <v>408768.53150399966</v>
      </c>
      <c r="P18" s="195">
        <v>3595793.583057183</v>
      </c>
      <c r="Q18" s="195">
        <v>54</v>
      </c>
      <c r="R18" s="195">
        <v>10</v>
      </c>
      <c r="S18" s="195">
        <v>53</v>
      </c>
      <c r="T18" s="195">
        <v>23</v>
      </c>
      <c r="U18" s="195">
        <v>20</v>
      </c>
      <c r="V18" s="195">
        <v>478</v>
      </c>
      <c r="W18" s="195">
        <v>217</v>
      </c>
      <c r="X18" s="195">
        <v>106</v>
      </c>
      <c r="Y18" s="195">
        <v>33</v>
      </c>
      <c r="Z18" s="195">
        <v>0</v>
      </c>
      <c r="AA18" s="195">
        <v>0</v>
      </c>
      <c r="AB18" s="195">
        <v>982</v>
      </c>
      <c r="AC18" s="195">
        <v>12</v>
      </c>
      <c r="AD18" s="195">
        <v>356</v>
      </c>
      <c r="AE18" s="195">
        <v>1.2878234217753968</v>
      </c>
      <c r="AF18" s="195">
        <v>1454035.9911162804</v>
      </c>
      <c r="AG18" s="195">
        <v>1730308.1094208988</v>
      </c>
      <c r="AH18" s="195">
        <v>378763.79649343685</v>
      </c>
      <c r="AI18" s="195">
        <v>169463.67139643684</v>
      </c>
      <c r="AJ18" s="195">
        <v>45</v>
      </c>
      <c r="AK18" s="195">
        <v>397</v>
      </c>
      <c r="AL18" s="195">
        <v>0.8536907477879824</v>
      </c>
      <c r="AM18" s="195">
        <v>12</v>
      </c>
      <c r="AN18" s="195">
        <v>0.012072434607645875</v>
      </c>
      <c r="AO18" s="195">
        <v>0.008104180639391906</v>
      </c>
      <c r="AP18" s="195">
        <v>0</v>
      </c>
      <c r="AQ18" s="195">
        <v>0</v>
      </c>
      <c r="AR18" s="195">
        <v>0</v>
      </c>
      <c r="AS18" s="195">
        <v>2</v>
      </c>
      <c r="AT18" s="195">
        <v>0</v>
      </c>
      <c r="AU18" s="195">
        <v>201.21</v>
      </c>
      <c r="AV18" s="195">
        <v>4.94011232046121</v>
      </c>
      <c r="AW18" s="195">
        <v>3.66496021444918</v>
      </c>
      <c r="AX18" s="195">
        <v>24</v>
      </c>
      <c r="AY18" s="195">
        <v>255</v>
      </c>
      <c r="AZ18" s="195">
        <v>0.09411764705882353</v>
      </c>
      <c r="BA18" s="195">
        <v>0.029094846856155057</v>
      </c>
      <c r="BB18" s="195">
        <v>0.827266</v>
      </c>
      <c r="BC18" s="195">
        <v>227</v>
      </c>
      <c r="BD18" s="195">
        <v>339</v>
      </c>
      <c r="BE18" s="195">
        <v>0.6696165191740413</v>
      </c>
      <c r="BF18" s="195">
        <v>0.23867500113173523</v>
      </c>
      <c r="BG18" s="195">
        <v>0</v>
      </c>
      <c r="BH18" s="195">
        <v>0</v>
      </c>
      <c r="BI18" s="195">
        <v>0</v>
      </c>
      <c r="BJ18" s="195">
        <v>-238.56</v>
      </c>
      <c r="BK18" s="195">
        <v>-4075.3999999999996</v>
      </c>
      <c r="BL18" s="195">
        <v>-278.32000000000005</v>
      </c>
      <c r="BM18" s="195">
        <v>-1421.4199999999998</v>
      </c>
      <c r="BN18" s="195">
        <v>-39.76</v>
      </c>
      <c r="BO18" s="195">
        <v>15733</v>
      </c>
      <c r="BP18" s="195">
        <v>-28011.768690204044</v>
      </c>
      <c r="BQ18" s="195">
        <v>-84957.18</v>
      </c>
      <c r="BR18" s="195">
        <v>41680.04681260092</v>
      </c>
      <c r="BS18" s="195">
        <v>91944</v>
      </c>
      <c r="BT18" s="195">
        <v>29110</v>
      </c>
      <c r="BU18" s="195">
        <v>64666.662457567494</v>
      </c>
      <c r="BV18" s="195">
        <v>2692.481337280261</v>
      </c>
      <c r="BW18" s="195">
        <v>2749.036578336676</v>
      </c>
      <c r="BX18" s="195">
        <v>30690.44953189687</v>
      </c>
      <c r="BY18" s="195">
        <v>42842.84598806375</v>
      </c>
      <c r="BZ18" s="195">
        <v>82798.02735515137</v>
      </c>
      <c r="CA18" s="195">
        <v>21653.472135816028</v>
      </c>
      <c r="CB18" s="195">
        <v>89.46</v>
      </c>
      <c r="CC18" s="195">
        <v>8104.021469051028</v>
      </c>
      <c r="CD18" s="195">
        <v>434813.1436657644</v>
      </c>
      <c r="CE18" s="195">
        <v>286467.73497556034</v>
      </c>
      <c r="CF18" s="195">
        <v>0</v>
      </c>
      <c r="CG18" s="229">
        <v>408768.53150399966</v>
      </c>
      <c r="CH18" s="195">
        <v>-183669</v>
      </c>
      <c r="CI18" s="195">
        <v>-10429.04</v>
      </c>
      <c r="CJ18" s="195">
        <v>3412124.583057183</v>
      </c>
      <c r="CL18" s="195">
        <v>993</v>
      </c>
    </row>
    <row r="19" spans="1:90" ht="9.75">
      <c r="A19" s="195">
        <v>74</v>
      </c>
      <c r="B19" s="195" t="s">
        <v>87</v>
      </c>
      <c r="C19" s="195">
        <v>1219</v>
      </c>
      <c r="D19" s="195">
        <v>4602710.600000001</v>
      </c>
      <c r="E19" s="195">
        <v>2048611.762444788</v>
      </c>
      <c r="F19" s="195">
        <v>473027.9328927336</v>
      </c>
      <c r="G19" s="195">
        <v>7124350.2953375215</v>
      </c>
      <c r="H19" s="195">
        <v>3540.31</v>
      </c>
      <c r="I19" s="195">
        <v>4315637.89</v>
      </c>
      <c r="J19" s="195">
        <v>2808712.405337522</v>
      </c>
      <c r="K19" s="195">
        <v>260806.94599368243</v>
      </c>
      <c r="L19" s="195">
        <v>420881.2879393059</v>
      </c>
      <c r="M19" s="195">
        <v>0</v>
      </c>
      <c r="N19" s="195">
        <v>3490400.63927051</v>
      </c>
      <c r="O19" s="195">
        <v>1122447.824182325</v>
      </c>
      <c r="P19" s="195">
        <v>4612848.463452835</v>
      </c>
      <c r="Q19" s="195">
        <v>66</v>
      </c>
      <c r="R19" s="195">
        <v>11</v>
      </c>
      <c r="S19" s="195">
        <v>65</v>
      </c>
      <c r="T19" s="195">
        <v>40</v>
      </c>
      <c r="U19" s="195">
        <v>51</v>
      </c>
      <c r="V19" s="195">
        <v>612</v>
      </c>
      <c r="W19" s="195">
        <v>179</v>
      </c>
      <c r="X19" s="195">
        <v>141</v>
      </c>
      <c r="Y19" s="195">
        <v>54</v>
      </c>
      <c r="Z19" s="195">
        <v>8</v>
      </c>
      <c r="AA19" s="195">
        <v>0</v>
      </c>
      <c r="AB19" s="195">
        <v>1181</v>
      </c>
      <c r="AC19" s="195">
        <v>30</v>
      </c>
      <c r="AD19" s="195">
        <v>374</v>
      </c>
      <c r="AE19" s="195">
        <v>1.4795290730955875</v>
      </c>
      <c r="AF19" s="195">
        <v>2048611.762444788</v>
      </c>
      <c r="AG19" s="195">
        <v>2286890.3860874604</v>
      </c>
      <c r="AH19" s="195">
        <v>740621.5273468359</v>
      </c>
      <c r="AI19" s="195">
        <v>169463.67139643687</v>
      </c>
      <c r="AJ19" s="195">
        <v>50</v>
      </c>
      <c r="AK19" s="195">
        <v>504</v>
      </c>
      <c r="AL19" s="195">
        <v>0.7471676077421274</v>
      </c>
      <c r="AM19" s="195">
        <v>30</v>
      </c>
      <c r="AN19" s="195">
        <v>0.02461033634126333</v>
      </c>
      <c r="AO19" s="195">
        <v>0.020642082373009362</v>
      </c>
      <c r="AP19" s="195">
        <v>0</v>
      </c>
      <c r="AQ19" s="195">
        <v>8</v>
      </c>
      <c r="AR19" s="195">
        <v>0</v>
      </c>
      <c r="AS19" s="195">
        <v>0</v>
      </c>
      <c r="AT19" s="195">
        <v>0</v>
      </c>
      <c r="AU19" s="195">
        <v>413.01</v>
      </c>
      <c r="AV19" s="195">
        <v>2.951502384930147</v>
      </c>
      <c r="AW19" s="195">
        <v>6.134270872299854</v>
      </c>
      <c r="AX19" s="195">
        <v>58</v>
      </c>
      <c r="AY19" s="195">
        <v>314</v>
      </c>
      <c r="AZ19" s="195">
        <v>0.18471337579617833</v>
      </c>
      <c r="BA19" s="195">
        <v>0.11969057559350986</v>
      </c>
      <c r="BB19" s="195">
        <v>0.861433</v>
      </c>
      <c r="BC19" s="195">
        <v>456</v>
      </c>
      <c r="BD19" s="195">
        <v>464</v>
      </c>
      <c r="BE19" s="195">
        <v>0.9827586206896551</v>
      </c>
      <c r="BF19" s="195">
        <v>0.5518171026473491</v>
      </c>
      <c r="BG19" s="195">
        <v>0</v>
      </c>
      <c r="BH19" s="195">
        <v>0</v>
      </c>
      <c r="BI19" s="195">
        <v>0</v>
      </c>
      <c r="BJ19" s="195">
        <v>-292.56</v>
      </c>
      <c r="BK19" s="195">
        <v>-4997.9</v>
      </c>
      <c r="BL19" s="195">
        <v>-341.32000000000005</v>
      </c>
      <c r="BM19" s="195">
        <v>-1743.1699999999998</v>
      </c>
      <c r="BN19" s="195">
        <v>-48.76</v>
      </c>
      <c r="BO19" s="195">
        <v>-19165</v>
      </c>
      <c r="BP19" s="195">
        <v>-17007.145276195315</v>
      </c>
      <c r="BQ19" s="195">
        <v>-104187.93</v>
      </c>
      <c r="BR19" s="195">
        <v>55446.229112515226</v>
      </c>
      <c r="BS19" s="195">
        <v>134532</v>
      </c>
      <c r="BT19" s="195">
        <v>43901</v>
      </c>
      <c r="BU19" s="195">
        <v>113348.03837721006</v>
      </c>
      <c r="BV19" s="195">
        <v>6717.396987965677</v>
      </c>
      <c r="BW19" s="195">
        <v>-22207.792950525472</v>
      </c>
      <c r="BX19" s="195">
        <v>47988.048405878326</v>
      </c>
      <c r="BY19" s="195">
        <v>78960.37039101298</v>
      </c>
      <c r="BZ19" s="195">
        <v>126139.30799040805</v>
      </c>
      <c r="CA19" s="195">
        <v>35151.14920667614</v>
      </c>
      <c r="CB19" s="195">
        <v>109.71</v>
      </c>
      <c r="CC19" s="195">
        <v>-15533.024305639843</v>
      </c>
      <c r="CD19" s="195">
        <v>585460.5732155012</v>
      </c>
      <c r="CE19" s="195">
        <v>420881.2879393059</v>
      </c>
      <c r="CF19" s="195">
        <v>0</v>
      </c>
      <c r="CG19" s="229">
        <v>1122447.824182325</v>
      </c>
      <c r="CH19" s="195">
        <v>-295079</v>
      </c>
      <c r="CI19" s="195">
        <v>13036.3</v>
      </c>
      <c r="CJ19" s="195">
        <v>4317769.463452835</v>
      </c>
      <c r="CL19" s="195">
        <v>1225</v>
      </c>
    </row>
    <row r="20" spans="1:90" ht="9.75">
      <c r="A20" s="195">
        <v>75</v>
      </c>
      <c r="B20" s="195" t="s">
        <v>88</v>
      </c>
      <c r="C20" s="195">
        <v>20636</v>
      </c>
      <c r="D20" s="195">
        <v>71009208.27</v>
      </c>
      <c r="E20" s="195">
        <v>26251800.056912318</v>
      </c>
      <c r="F20" s="195">
        <v>5129203.468333346</v>
      </c>
      <c r="G20" s="195">
        <v>102390211.79524566</v>
      </c>
      <c r="H20" s="195">
        <v>3540.31</v>
      </c>
      <c r="I20" s="195">
        <v>73057837.16</v>
      </c>
      <c r="J20" s="195">
        <v>29332374.635245666</v>
      </c>
      <c r="K20" s="195">
        <v>543414.0251784642</v>
      </c>
      <c r="L20" s="195">
        <v>4034106.755682124</v>
      </c>
      <c r="M20" s="195">
        <v>0</v>
      </c>
      <c r="N20" s="195">
        <v>33909895.416106254</v>
      </c>
      <c r="O20" s="195">
        <v>4792600.307310467</v>
      </c>
      <c r="P20" s="195">
        <v>38702495.72341672</v>
      </c>
      <c r="Q20" s="195">
        <v>1016</v>
      </c>
      <c r="R20" s="195">
        <v>205</v>
      </c>
      <c r="S20" s="195">
        <v>1199</v>
      </c>
      <c r="T20" s="195">
        <v>665</v>
      </c>
      <c r="U20" s="195">
        <v>629</v>
      </c>
      <c r="V20" s="195">
        <v>11292</v>
      </c>
      <c r="W20" s="195">
        <v>3078</v>
      </c>
      <c r="X20" s="195">
        <v>1843</v>
      </c>
      <c r="Y20" s="195">
        <v>709</v>
      </c>
      <c r="Z20" s="195">
        <v>73</v>
      </c>
      <c r="AA20" s="195">
        <v>0</v>
      </c>
      <c r="AB20" s="195">
        <v>19381</v>
      </c>
      <c r="AC20" s="195">
        <v>1182</v>
      </c>
      <c r="AD20" s="195">
        <v>5630</v>
      </c>
      <c r="AE20" s="195">
        <v>1.119956400007268</v>
      </c>
      <c r="AF20" s="195">
        <v>26251800.056912318</v>
      </c>
      <c r="AG20" s="195">
        <v>32038998.298058737</v>
      </c>
      <c r="AH20" s="195">
        <v>8111930.303678956</v>
      </c>
      <c r="AI20" s="195">
        <v>3335758.5843298617</v>
      </c>
      <c r="AJ20" s="195">
        <v>1335</v>
      </c>
      <c r="AK20" s="195">
        <v>9420</v>
      </c>
      <c r="AL20" s="195">
        <v>1.0673551023210468</v>
      </c>
      <c r="AM20" s="195">
        <v>1182</v>
      </c>
      <c r="AN20" s="195">
        <v>0.05727854235316922</v>
      </c>
      <c r="AO20" s="195">
        <v>0.05331028838491525</v>
      </c>
      <c r="AP20" s="195">
        <v>0</v>
      </c>
      <c r="AQ20" s="195">
        <v>73</v>
      </c>
      <c r="AR20" s="195">
        <v>0</v>
      </c>
      <c r="AS20" s="195">
        <v>0</v>
      </c>
      <c r="AT20" s="195">
        <v>0</v>
      </c>
      <c r="AU20" s="195">
        <v>609.71</v>
      </c>
      <c r="AV20" s="195">
        <v>33.84559872726378</v>
      </c>
      <c r="AW20" s="195">
        <v>0.534938538251241</v>
      </c>
      <c r="AX20" s="195">
        <v>937</v>
      </c>
      <c r="AY20" s="195">
        <v>6393</v>
      </c>
      <c r="AZ20" s="195">
        <v>0.14656655717190678</v>
      </c>
      <c r="BA20" s="195">
        <v>0.08154375696923831</v>
      </c>
      <c r="BB20" s="195">
        <v>0</v>
      </c>
      <c r="BC20" s="195">
        <v>6722</v>
      </c>
      <c r="BD20" s="195">
        <v>7925</v>
      </c>
      <c r="BE20" s="195">
        <v>0.8482018927444795</v>
      </c>
      <c r="BF20" s="195">
        <v>0.4172603747021735</v>
      </c>
      <c r="BG20" s="195">
        <v>0</v>
      </c>
      <c r="BH20" s="195">
        <v>0</v>
      </c>
      <c r="BI20" s="195">
        <v>0</v>
      </c>
      <c r="BJ20" s="195">
        <v>-4952.639999999999</v>
      </c>
      <c r="BK20" s="195">
        <v>-84607.59999999999</v>
      </c>
      <c r="BL20" s="195">
        <v>-5778.080000000001</v>
      </c>
      <c r="BM20" s="195">
        <v>-29509.48</v>
      </c>
      <c r="BN20" s="195">
        <v>-825.44</v>
      </c>
      <c r="BO20" s="195">
        <v>392114</v>
      </c>
      <c r="BP20" s="195">
        <v>-891874.7066898895</v>
      </c>
      <c r="BQ20" s="195">
        <v>-1763758.92</v>
      </c>
      <c r="BR20" s="195">
        <v>23925.74176903814</v>
      </c>
      <c r="BS20" s="195">
        <v>1568738</v>
      </c>
      <c r="BT20" s="195">
        <v>487407</v>
      </c>
      <c r="BU20" s="195">
        <v>1128575.9968275034</v>
      </c>
      <c r="BV20" s="195">
        <v>45002.87181555037</v>
      </c>
      <c r="BW20" s="195">
        <v>86422.8722369255</v>
      </c>
      <c r="BX20" s="195">
        <v>566255.6106364303</v>
      </c>
      <c r="BY20" s="195">
        <v>942635.9640092317</v>
      </c>
      <c r="BZ20" s="195">
        <v>1584026.0242622562</v>
      </c>
      <c r="CA20" s="195">
        <v>526203.6354951938</v>
      </c>
      <c r="CB20" s="195">
        <v>1857.24</v>
      </c>
      <c r="CC20" s="195">
        <v>69772.50531988277</v>
      </c>
      <c r="CD20" s="195">
        <v>7424175.6223720135</v>
      </c>
      <c r="CE20" s="195">
        <v>4034106.755682124</v>
      </c>
      <c r="CF20" s="195">
        <v>0</v>
      </c>
      <c r="CG20" s="229">
        <v>4792600.307310467</v>
      </c>
      <c r="CH20" s="195">
        <v>-1906815</v>
      </c>
      <c r="CI20" s="195">
        <v>-38431.01240000001</v>
      </c>
      <c r="CJ20" s="195">
        <v>36795680.72341672</v>
      </c>
      <c r="CL20" s="195">
        <v>20851</v>
      </c>
    </row>
    <row r="21" spans="1:90" ht="9.75">
      <c r="A21" s="195">
        <v>77</v>
      </c>
      <c r="B21" s="195" t="s">
        <v>89</v>
      </c>
      <c r="C21" s="195">
        <v>5159</v>
      </c>
      <c r="D21" s="195">
        <v>19221378.45</v>
      </c>
      <c r="E21" s="195">
        <v>9060556.338184325</v>
      </c>
      <c r="F21" s="195">
        <v>1179495.7478400057</v>
      </c>
      <c r="G21" s="195">
        <v>29461430.53602433</v>
      </c>
      <c r="H21" s="195">
        <v>3540.31</v>
      </c>
      <c r="I21" s="195">
        <v>18264459.29</v>
      </c>
      <c r="J21" s="195">
        <v>11196971.24602433</v>
      </c>
      <c r="K21" s="195">
        <v>295057.3314743571</v>
      </c>
      <c r="L21" s="195">
        <v>1833135.8102586404</v>
      </c>
      <c r="M21" s="195">
        <v>0</v>
      </c>
      <c r="N21" s="195">
        <v>13325164.387757326</v>
      </c>
      <c r="O21" s="195">
        <v>5463680.6425163625</v>
      </c>
      <c r="P21" s="195">
        <v>18788845.030273687</v>
      </c>
      <c r="Q21" s="195">
        <v>289</v>
      </c>
      <c r="R21" s="195">
        <v>66</v>
      </c>
      <c r="S21" s="195">
        <v>324</v>
      </c>
      <c r="T21" s="195">
        <v>164</v>
      </c>
      <c r="U21" s="195">
        <v>159</v>
      </c>
      <c r="V21" s="195">
        <v>2674</v>
      </c>
      <c r="W21" s="195">
        <v>772</v>
      </c>
      <c r="X21" s="195">
        <v>486</v>
      </c>
      <c r="Y21" s="195">
        <v>225</v>
      </c>
      <c r="Z21" s="195">
        <v>7</v>
      </c>
      <c r="AA21" s="195">
        <v>0</v>
      </c>
      <c r="AB21" s="195">
        <v>5084</v>
      </c>
      <c r="AC21" s="195">
        <v>68</v>
      </c>
      <c r="AD21" s="195">
        <v>1483</v>
      </c>
      <c r="AE21" s="195">
        <v>1.5461687254324565</v>
      </c>
      <c r="AF21" s="195">
        <v>9060556.338184325</v>
      </c>
      <c r="AG21" s="195">
        <v>10263831.804319946</v>
      </c>
      <c r="AH21" s="195">
        <v>3422119.768975871</v>
      </c>
      <c r="AI21" s="195">
        <v>945428.9035801213</v>
      </c>
      <c r="AJ21" s="195">
        <v>341</v>
      </c>
      <c r="AK21" s="195">
        <v>2255</v>
      </c>
      <c r="AL21" s="195">
        <v>1.1389021174012683</v>
      </c>
      <c r="AM21" s="195">
        <v>68</v>
      </c>
      <c r="AN21" s="195">
        <v>0.013180849001744524</v>
      </c>
      <c r="AO21" s="195">
        <v>0.009212595033490556</v>
      </c>
      <c r="AP21" s="195">
        <v>0</v>
      </c>
      <c r="AQ21" s="195">
        <v>7</v>
      </c>
      <c r="AR21" s="195">
        <v>0</v>
      </c>
      <c r="AS21" s="195">
        <v>0</v>
      </c>
      <c r="AT21" s="195">
        <v>0</v>
      </c>
      <c r="AU21" s="195">
        <v>571.71</v>
      </c>
      <c r="AV21" s="195">
        <v>9.02380577565549</v>
      </c>
      <c r="AW21" s="195">
        <v>2.0063945922068984</v>
      </c>
      <c r="AX21" s="195">
        <v>218</v>
      </c>
      <c r="AY21" s="195">
        <v>1450</v>
      </c>
      <c r="AZ21" s="195">
        <v>0.1503448275862069</v>
      </c>
      <c r="BA21" s="195">
        <v>0.08532202738353843</v>
      </c>
      <c r="BB21" s="195">
        <v>0.1618</v>
      </c>
      <c r="BC21" s="195">
        <v>1502</v>
      </c>
      <c r="BD21" s="195">
        <v>1868</v>
      </c>
      <c r="BE21" s="195">
        <v>0.80406852248394</v>
      </c>
      <c r="BF21" s="195">
        <v>0.37312700444163394</v>
      </c>
      <c r="BG21" s="195">
        <v>0</v>
      </c>
      <c r="BH21" s="195">
        <v>0</v>
      </c>
      <c r="BI21" s="195">
        <v>0</v>
      </c>
      <c r="BJ21" s="195">
        <v>-1238.1599999999999</v>
      </c>
      <c r="BK21" s="195">
        <v>-21151.899999999998</v>
      </c>
      <c r="BL21" s="195">
        <v>-1444.5200000000002</v>
      </c>
      <c r="BM21" s="195">
        <v>-7377.37</v>
      </c>
      <c r="BN21" s="195">
        <v>-206.36</v>
      </c>
      <c r="BO21" s="195">
        <v>96106</v>
      </c>
      <c r="BP21" s="195">
        <v>-196582.59098661054</v>
      </c>
      <c r="BQ21" s="195">
        <v>-440939.73</v>
      </c>
      <c r="BR21" s="195">
        <v>157787.49098494463</v>
      </c>
      <c r="BS21" s="195">
        <v>567639</v>
      </c>
      <c r="BT21" s="195">
        <v>165760</v>
      </c>
      <c r="BU21" s="195">
        <v>418313.4407374764</v>
      </c>
      <c r="BV21" s="195">
        <v>22899.471769744072</v>
      </c>
      <c r="BW21" s="195">
        <v>68329.26429098393</v>
      </c>
      <c r="BX21" s="195">
        <v>205003.42725285116</v>
      </c>
      <c r="BY21" s="195">
        <v>305523.6082293353</v>
      </c>
      <c r="BZ21" s="195">
        <v>467407.96175449586</v>
      </c>
      <c r="CA21" s="195">
        <v>132705.0375721748</v>
      </c>
      <c r="CB21" s="195">
        <v>464.31</v>
      </c>
      <c r="CC21" s="195">
        <v>46018.38865324468</v>
      </c>
      <c r="CD21" s="195">
        <v>2654266.941245251</v>
      </c>
      <c r="CE21" s="195">
        <v>1833135.8102586404</v>
      </c>
      <c r="CF21" s="195">
        <v>0</v>
      </c>
      <c r="CG21" s="229">
        <v>5463680.6425163625</v>
      </c>
      <c r="CH21" s="195">
        <v>-29148</v>
      </c>
      <c r="CI21" s="195">
        <v>21940.09289999999</v>
      </c>
      <c r="CJ21" s="195">
        <v>18759697.030273687</v>
      </c>
      <c r="CL21" s="195">
        <v>5240</v>
      </c>
    </row>
    <row r="22" spans="1:90" ht="9.75">
      <c r="A22" s="195">
        <v>78</v>
      </c>
      <c r="B22" s="195" t="s">
        <v>90</v>
      </c>
      <c r="C22" s="195">
        <v>8663</v>
      </c>
      <c r="D22" s="195">
        <v>28051679.65</v>
      </c>
      <c r="E22" s="195">
        <v>9568683.758986069</v>
      </c>
      <c r="F22" s="195">
        <v>3312019.092298791</v>
      </c>
      <c r="G22" s="195">
        <v>40932382.50128486</v>
      </c>
      <c r="H22" s="195">
        <v>3540.31</v>
      </c>
      <c r="I22" s="195">
        <v>30669705.53</v>
      </c>
      <c r="J22" s="195">
        <v>10262676.971284859</v>
      </c>
      <c r="K22" s="195">
        <v>1209181.8658315984</v>
      </c>
      <c r="L22" s="195">
        <v>1630731.1309649255</v>
      </c>
      <c r="M22" s="195">
        <v>0</v>
      </c>
      <c r="N22" s="195">
        <v>13102589.968081383</v>
      </c>
      <c r="O22" s="195">
        <v>-112845.9845307494</v>
      </c>
      <c r="P22" s="195">
        <v>12989743.983550634</v>
      </c>
      <c r="Q22" s="195">
        <v>380</v>
      </c>
      <c r="R22" s="195">
        <v>85</v>
      </c>
      <c r="S22" s="195">
        <v>519</v>
      </c>
      <c r="T22" s="195">
        <v>261</v>
      </c>
      <c r="U22" s="195">
        <v>265</v>
      </c>
      <c r="V22" s="195">
        <v>4602</v>
      </c>
      <c r="W22" s="195">
        <v>1603</v>
      </c>
      <c r="X22" s="195">
        <v>730</v>
      </c>
      <c r="Y22" s="195">
        <v>218</v>
      </c>
      <c r="Z22" s="195">
        <v>3718</v>
      </c>
      <c r="AA22" s="195">
        <v>1</v>
      </c>
      <c r="AB22" s="195">
        <v>4533</v>
      </c>
      <c r="AC22" s="195">
        <v>411</v>
      </c>
      <c r="AD22" s="195">
        <v>2551</v>
      </c>
      <c r="AE22" s="195">
        <v>0.9724145185025723</v>
      </c>
      <c r="AF22" s="195">
        <v>9568683.758986069</v>
      </c>
      <c r="AG22" s="195">
        <v>12545931.472722696</v>
      </c>
      <c r="AH22" s="195">
        <v>2530022.9124345905</v>
      </c>
      <c r="AI22" s="195">
        <v>1221922.2621743078</v>
      </c>
      <c r="AJ22" s="195">
        <v>527</v>
      </c>
      <c r="AK22" s="195">
        <v>3974</v>
      </c>
      <c r="AL22" s="195">
        <v>0.9987604124668896</v>
      </c>
      <c r="AM22" s="195">
        <v>411</v>
      </c>
      <c r="AN22" s="195">
        <v>0.04744314902458732</v>
      </c>
      <c r="AO22" s="195">
        <v>0.043474895056333354</v>
      </c>
      <c r="AP22" s="195">
        <v>1</v>
      </c>
      <c r="AQ22" s="195">
        <v>3718</v>
      </c>
      <c r="AR22" s="195">
        <v>1</v>
      </c>
      <c r="AS22" s="195">
        <v>0</v>
      </c>
      <c r="AT22" s="195">
        <v>0</v>
      </c>
      <c r="AU22" s="195">
        <v>116.92</v>
      </c>
      <c r="AV22" s="195">
        <v>74.09339719466301</v>
      </c>
      <c r="AW22" s="195">
        <v>0.244358010226378</v>
      </c>
      <c r="AX22" s="195">
        <v>674</v>
      </c>
      <c r="AY22" s="195">
        <v>2650</v>
      </c>
      <c r="AZ22" s="195">
        <v>0.25433962264150944</v>
      </c>
      <c r="BA22" s="195">
        <v>0.18931682243884096</v>
      </c>
      <c r="BB22" s="195">
        <v>0.472016</v>
      </c>
      <c r="BC22" s="195">
        <v>3633</v>
      </c>
      <c r="BD22" s="195">
        <v>3341</v>
      </c>
      <c r="BE22" s="195">
        <v>1.0873989823406165</v>
      </c>
      <c r="BF22" s="195">
        <v>0.6564574642983104</v>
      </c>
      <c r="BG22" s="195">
        <v>0</v>
      </c>
      <c r="BH22" s="195">
        <v>1</v>
      </c>
      <c r="BI22" s="195">
        <v>0</v>
      </c>
      <c r="BJ22" s="195">
        <v>-2079.12</v>
      </c>
      <c r="BK22" s="195">
        <v>-35518.299999999996</v>
      </c>
      <c r="BL22" s="195">
        <v>-2425.6400000000003</v>
      </c>
      <c r="BM22" s="195">
        <v>-12388.09</v>
      </c>
      <c r="BN22" s="195">
        <v>-346.52</v>
      </c>
      <c r="BO22" s="195">
        <v>286074</v>
      </c>
      <c r="BP22" s="195">
        <v>-386162.2398006701</v>
      </c>
      <c r="BQ22" s="195">
        <v>-740426.61</v>
      </c>
      <c r="BR22" s="195">
        <v>82923.98256242089</v>
      </c>
      <c r="BS22" s="195">
        <v>656636</v>
      </c>
      <c r="BT22" s="195">
        <v>215300</v>
      </c>
      <c r="BU22" s="195">
        <v>400984.0691540849</v>
      </c>
      <c r="BV22" s="195">
        <v>7536.817691286501</v>
      </c>
      <c r="BW22" s="195">
        <v>13723.005639968009</v>
      </c>
      <c r="BX22" s="195">
        <v>240221.42672180056</v>
      </c>
      <c r="BY22" s="195">
        <v>317595.93887166877</v>
      </c>
      <c r="BZ22" s="195">
        <v>682918.9141502562</v>
      </c>
      <c r="CA22" s="195">
        <v>198684.5655778118</v>
      </c>
      <c r="CB22" s="195">
        <v>779.67</v>
      </c>
      <c r="CC22" s="195">
        <v>-38262.019603702414</v>
      </c>
      <c r="CD22" s="195">
        <v>3065636.1507655955</v>
      </c>
      <c r="CE22" s="195">
        <v>1630731.1309649255</v>
      </c>
      <c r="CF22" s="195">
        <v>0</v>
      </c>
      <c r="CG22" s="229">
        <v>-112845.9845307494</v>
      </c>
      <c r="CH22" s="195">
        <v>-611792</v>
      </c>
      <c r="CI22" s="195">
        <v>-24768.97</v>
      </c>
      <c r="CJ22" s="195">
        <v>12377951.983550634</v>
      </c>
      <c r="CL22" s="195">
        <v>8864</v>
      </c>
    </row>
    <row r="23" spans="1:90" ht="9.75">
      <c r="A23" s="195">
        <v>79</v>
      </c>
      <c r="B23" s="195" t="s">
        <v>91</v>
      </c>
      <c r="C23" s="195">
        <v>7240</v>
      </c>
      <c r="D23" s="195">
        <v>25870367.389999997</v>
      </c>
      <c r="E23" s="195">
        <v>9004359.311899105</v>
      </c>
      <c r="F23" s="195">
        <v>1309961.1356375515</v>
      </c>
      <c r="G23" s="195">
        <v>36184687.837536655</v>
      </c>
      <c r="H23" s="195">
        <v>3540.31</v>
      </c>
      <c r="I23" s="195">
        <v>25631844.4</v>
      </c>
      <c r="J23" s="195">
        <v>10552843.437536657</v>
      </c>
      <c r="K23" s="195">
        <v>422827.19728832</v>
      </c>
      <c r="L23" s="195">
        <v>1277868.1573155562</v>
      </c>
      <c r="M23" s="195">
        <v>0</v>
      </c>
      <c r="N23" s="195">
        <v>12253538.792140532</v>
      </c>
      <c r="O23" s="195">
        <v>-747924.9206506229</v>
      </c>
      <c r="P23" s="195">
        <v>11505613.871489909</v>
      </c>
      <c r="Q23" s="195">
        <v>408</v>
      </c>
      <c r="R23" s="195">
        <v>58</v>
      </c>
      <c r="S23" s="195">
        <v>415</v>
      </c>
      <c r="T23" s="195">
        <v>241</v>
      </c>
      <c r="U23" s="195">
        <v>234</v>
      </c>
      <c r="V23" s="195">
        <v>3761</v>
      </c>
      <c r="W23" s="195">
        <v>1173</v>
      </c>
      <c r="X23" s="195">
        <v>682</v>
      </c>
      <c r="Y23" s="195">
        <v>268</v>
      </c>
      <c r="Z23" s="195">
        <v>13</v>
      </c>
      <c r="AA23" s="195">
        <v>0</v>
      </c>
      <c r="AB23" s="195">
        <v>7014</v>
      </c>
      <c r="AC23" s="195">
        <v>213</v>
      </c>
      <c r="AD23" s="195">
        <v>2123</v>
      </c>
      <c r="AE23" s="195">
        <v>1.0949185103665218</v>
      </c>
      <c r="AF23" s="195">
        <v>9004359.311899105</v>
      </c>
      <c r="AG23" s="195">
        <v>11852995.458919551</v>
      </c>
      <c r="AH23" s="195">
        <v>2248280.3096030666</v>
      </c>
      <c r="AI23" s="195">
        <v>1346790.2305716826</v>
      </c>
      <c r="AJ23" s="195">
        <v>397</v>
      </c>
      <c r="AK23" s="195">
        <v>3172</v>
      </c>
      <c r="AL23" s="195">
        <v>0.9426183625340908</v>
      </c>
      <c r="AM23" s="195">
        <v>213</v>
      </c>
      <c r="AN23" s="195">
        <v>0.02941988950276243</v>
      </c>
      <c r="AO23" s="195">
        <v>0.025451635534508462</v>
      </c>
      <c r="AP23" s="195">
        <v>0</v>
      </c>
      <c r="AQ23" s="195">
        <v>13</v>
      </c>
      <c r="AR23" s="195">
        <v>0</v>
      </c>
      <c r="AS23" s="195">
        <v>0</v>
      </c>
      <c r="AT23" s="195">
        <v>0</v>
      </c>
      <c r="AU23" s="195">
        <v>123.46</v>
      </c>
      <c r="AV23" s="195">
        <v>58.64247529564231</v>
      </c>
      <c r="AW23" s="195">
        <v>0.3087406358296398</v>
      </c>
      <c r="AX23" s="195">
        <v>332</v>
      </c>
      <c r="AY23" s="195">
        <v>2072</v>
      </c>
      <c r="AZ23" s="195">
        <v>0.16023166023166024</v>
      </c>
      <c r="BA23" s="195">
        <v>0.09520886002899177</v>
      </c>
      <c r="BB23" s="195">
        <v>0</v>
      </c>
      <c r="BC23" s="195">
        <v>3715</v>
      </c>
      <c r="BD23" s="195">
        <v>2739</v>
      </c>
      <c r="BE23" s="195">
        <v>1.3563344286235852</v>
      </c>
      <c r="BF23" s="195">
        <v>0.9253929105812791</v>
      </c>
      <c r="BG23" s="195">
        <v>0</v>
      </c>
      <c r="BH23" s="195">
        <v>0</v>
      </c>
      <c r="BI23" s="195">
        <v>0</v>
      </c>
      <c r="BJ23" s="195">
        <v>-1737.6</v>
      </c>
      <c r="BK23" s="195">
        <v>-29683.999999999996</v>
      </c>
      <c r="BL23" s="195">
        <v>-2027.2000000000003</v>
      </c>
      <c r="BM23" s="195">
        <v>-10353.199999999999</v>
      </c>
      <c r="BN23" s="195">
        <v>-289.6</v>
      </c>
      <c r="BO23" s="195">
        <v>199711</v>
      </c>
      <c r="BP23" s="195">
        <v>-338642.2750583596</v>
      </c>
      <c r="BQ23" s="195">
        <v>-618802.8</v>
      </c>
      <c r="BR23" s="195">
        <v>93941.89818028547</v>
      </c>
      <c r="BS23" s="195">
        <v>489725</v>
      </c>
      <c r="BT23" s="195">
        <v>169748</v>
      </c>
      <c r="BU23" s="195">
        <v>361767.9968837349</v>
      </c>
      <c r="BV23" s="195">
        <v>17405.703014667208</v>
      </c>
      <c r="BW23" s="195">
        <v>72742.07318975206</v>
      </c>
      <c r="BX23" s="195">
        <v>207561.9031788306</v>
      </c>
      <c r="BY23" s="195">
        <v>316837.43389339</v>
      </c>
      <c r="BZ23" s="195">
        <v>564778.0514717557</v>
      </c>
      <c r="CA23" s="195">
        <v>186462.24663418034</v>
      </c>
      <c r="CB23" s="195">
        <v>651.6</v>
      </c>
      <c r="CC23" s="195">
        <v>-188782.4740726802</v>
      </c>
      <c r="CD23" s="195">
        <v>2492984.8323739157</v>
      </c>
      <c r="CE23" s="195">
        <v>1277868.1573155562</v>
      </c>
      <c r="CF23" s="195">
        <v>0</v>
      </c>
      <c r="CG23" s="229">
        <v>-747924.9206506229</v>
      </c>
      <c r="CH23" s="195">
        <v>-521011</v>
      </c>
      <c r="CI23" s="195">
        <v>-83953.772</v>
      </c>
      <c r="CJ23" s="195">
        <v>10984602.871489909</v>
      </c>
      <c r="CL23" s="195">
        <v>7296</v>
      </c>
    </row>
    <row r="24" spans="1:90" ht="9.75">
      <c r="A24" s="195">
        <v>81</v>
      </c>
      <c r="B24" s="195" t="s">
        <v>92</v>
      </c>
      <c r="C24" s="195">
        <v>2924</v>
      </c>
      <c r="D24" s="195">
        <v>10346220.59</v>
      </c>
      <c r="E24" s="195">
        <v>4439613.308922572</v>
      </c>
      <c r="F24" s="195">
        <v>959537.6018744024</v>
      </c>
      <c r="G24" s="195">
        <v>15745371.500796974</v>
      </c>
      <c r="H24" s="195">
        <v>3540.31</v>
      </c>
      <c r="I24" s="195">
        <v>10351866.44</v>
      </c>
      <c r="J24" s="195">
        <v>5393505.060796974</v>
      </c>
      <c r="K24" s="195">
        <v>385354.06961598</v>
      </c>
      <c r="L24" s="195">
        <v>905032.5309998896</v>
      </c>
      <c r="M24" s="195">
        <v>0</v>
      </c>
      <c r="N24" s="195">
        <v>6683891.6614128435</v>
      </c>
      <c r="O24" s="195">
        <v>2381013.7799479063</v>
      </c>
      <c r="P24" s="195">
        <v>9064905.44136075</v>
      </c>
      <c r="Q24" s="195">
        <v>106</v>
      </c>
      <c r="R24" s="195">
        <v>19</v>
      </c>
      <c r="S24" s="195">
        <v>131</v>
      </c>
      <c r="T24" s="195">
        <v>71</v>
      </c>
      <c r="U24" s="195">
        <v>94</v>
      </c>
      <c r="V24" s="195">
        <v>1497</v>
      </c>
      <c r="W24" s="195">
        <v>560</v>
      </c>
      <c r="X24" s="195">
        <v>299</v>
      </c>
      <c r="Y24" s="195">
        <v>147</v>
      </c>
      <c r="Z24" s="195">
        <v>1</v>
      </c>
      <c r="AA24" s="195">
        <v>0</v>
      </c>
      <c r="AB24" s="195">
        <v>2840</v>
      </c>
      <c r="AC24" s="195">
        <v>83</v>
      </c>
      <c r="AD24" s="195">
        <v>1006</v>
      </c>
      <c r="AE24" s="195">
        <v>1.3367042336925379</v>
      </c>
      <c r="AF24" s="195">
        <v>4439613.308922572</v>
      </c>
      <c r="AG24" s="195">
        <v>5423852.326036605</v>
      </c>
      <c r="AH24" s="195">
        <v>1527055.4736378815</v>
      </c>
      <c r="AI24" s="195">
        <v>472714.4517900607</v>
      </c>
      <c r="AJ24" s="195">
        <v>167</v>
      </c>
      <c r="AK24" s="195">
        <v>1287</v>
      </c>
      <c r="AL24" s="195">
        <v>0.9772743311334792</v>
      </c>
      <c r="AM24" s="195">
        <v>83</v>
      </c>
      <c r="AN24" s="195">
        <v>0.02838577291381669</v>
      </c>
      <c r="AO24" s="195">
        <v>0.02441751894556272</v>
      </c>
      <c r="AP24" s="195">
        <v>0</v>
      </c>
      <c r="AQ24" s="195">
        <v>1</v>
      </c>
      <c r="AR24" s="195">
        <v>0</v>
      </c>
      <c r="AS24" s="195">
        <v>0</v>
      </c>
      <c r="AT24" s="195">
        <v>0</v>
      </c>
      <c r="AU24" s="195">
        <v>542.95</v>
      </c>
      <c r="AV24" s="195">
        <v>5.385394603554655</v>
      </c>
      <c r="AW24" s="195">
        <v>3.3619291513847567</v>
      </c>
      <c r="AX24" s="195">
        <v>184</v>
      </c>
      <c r="AY24" s="195">
        <v>787</v>
      </c>
      <c r="AZ24" s="195">
        <v>0.2337992376111817</v>
      </c>
      <c r="BA24" s="195">
        <v>0.16877643740851322</v>
      </c>
      <c r="BB24" s="195">
        <v>0.4455</v>
      </c>
      <c r="BC24" s="195">
        <v>1106</v>
      </c>
      <c r="BD24" s="195">
        <v>1052</v>
      </c>
      <c r="BE24" s="195">
        <v>1.0513307984790874</v>
      </c>
      <c r="BF24" s="195">
        <v>0.6203892804367813</v>
      </c>
      <c r="BG24" s="195">
        <v>0</v>
      </c>
      <c r="BH24" s="195">
        <v>0</v>
      </c>
      <c r="BI24" s="195">
        <v>0</v>
      </c>
      <c r="BJ24" s="195">
        <v>-701.76</v>
      </c>
      <c r="BK24" s="195">
        <v>-11988.4</v>
      </c>
      <c r="BL24" s="195">
        <v>-818.72</v>
      </c>
      <c r="BM24" s="195">
        <v>-4181.32</v>
      </c>
      <c r="BN24" s="195">
        <v>-116.96000000000001</v>
      </c>
      <c r="BO24" s="195">
        <v>6856</v>
      </c>
      <c r="BP24" s="195">
        <v>-103043.29196753631</v>
      </c>
      <c r="BQ24" s="195">
        <v>-249914.28</v>
      </c>
      <c r="BR24" s="195">
        <v>-49133.1341699101</v>
      </c>
      <c r="BS24" s="195">
        <v>382259</v>
      </c>
      <c r="BT24" s="195">
        <v>112706</v>
      </c>
      <c r="BU24" s="195">
        <v>280753.0252410473</v>
      </c>
      <c r="BV24" s="195">
        <v>16551.202542072944</v>
      </c>
      <c r="BW24" s="195">
        <v>-34065.64087492219</v>
      </c>
      <c r="BX24" s="195">
        <v>133220.72793783026</v>
      </c>
      <c r="BY24" s="195">
        <v>183270.36904974162</v>
      </c>
      <c r="BZ24" s="195">
        <v>273566.22968570556</v>
      </c>
      <c r="CA24" s="195">
        <v>80366.18785767726</v>
      </c>
      <c r="CB24" s="195">
        <v>263.15999999999997</v>
      </c>
      <c r="CC24" s="195">
        <v>-24733.304301816635</v>
      </c>
      <c r="CD24" s="195">
        <v>1362055.2629674259</v>
      </c>
      <c r="CE24" s="195">
        <v>905032.5309998896</v>
      </c>
      <c r="CF24" s="195">
        <v>0</v>
      </c>
      <c r="CG24" s="229">
        <v>2381013.7799479063</v>
      </c>
      <c r="CH24" s="195">
        <v>-230291</v>
      </c>
      <c r="CI24" s="195">
        <v>-58715.49520000002</v>
      </c>
      <c r="CJ24" s="195">
        <v>8834614.44136075</v>
      </c>
      <c r="CL24" s="195">
        <v>2982</v>
      </c>
    </row>
    <row r="25" spans="1:90" ht="9.75">
      <c r="A25" s="195">
        <v>82</v>
      </c>
      <c r="B25" s="195" t="s">
        <v>93</v>
      </c>
      <c r="C25" s="195">
        <v>9682</v>
      </c>
      <c r="D25" s="195">
        <v>33166834.050000004</v>
      </c>
      <c r="E25" s="195">
        <v>7978868.251037887</v>
      </c>
      <c r="F25" s="195">
        <v>1183755.868166693</v>
      </c>
      <c r="G25" s="195">
        <v>42329458.169204585</v>
      </c>
      <c r="H25" s="195">
        <v>3540.31</v>
      </c>
      <c r="I25" s="195">
        <v>34277281.42</v>
      </c>
      <c r="J25" s="195">
        <v>8052176.7492045835</v>
      </c>
      <c r="K25" s="195">
        <v>119711.43054706094</v>
      </c>
      <c r="L25" s="195">
        <v>1575422.5385988837</v>
      </c>
      <c r="M25" s="195">
        <v>0</v>
      </c>
      <c r="N25" s="195">
        <v>9747310.718350528</v>
      </c>
      <c r="O25" s="195">
        <v>1677429.1916119978</v>
      </c>
      <c r="P25" s="195">
        <v>11424739.909962526</v>
      </c>
      <c r="Q25" s="195">
        <v>638</v>
      </c>
      <c r="R25" s="195">
        <v>117</v>
      </c>
      <c r="S25" s="195">
        <v>765</v>
      </c>
      <c r="T25" s="195">
        <v>351</v>
      </c>
      <c r="U25" s="195">
        <v>378</v>
      </c>
      <c r="V25" s="195">
        <v>5418</v>
      </c>
      <c r="W25" s="195">
        <v>1207</v>
      </c>
      <c r="X25" s="195">
        <v>582</v>
      </c>
      <c r="Y25" s="195">
        <v>226</v>
      </c>
      <c r="Z25" s="195">
        <v>32</v>
      </c>
      <c r="AA25" s="195">
        <v>0</v>
      </c>
      <c r="AB25" s="195">
        <v>9492</v>
      </c>
      <c r="AC25" s="195">
        <v>158</v>
      </c>
      <c r="AD25" s="195">
        <v>2015</v>
      </c>
      <c r="AE25" s="195">
        <v>0.7255106014095989</v>
      </c>
      <c r="AF25" s="195">
        <v>7978868.251037887</v>
      </c>
      <c r="AG25" s="195">
        <v>10299117.918025268</v>
      </c>
      <c r="AH25" s="195">
        <v>1835666.645075893</v>
      </c>
      <c r="AI25" s="195">
        <v>1123811.7155763707</v>
      </c>
      <c r="AJ25" s="195">
        <v>388</v>
      </c>
      <c r="AK25" s="195">
        <v>4726</v>
      </c>
      <c r="AL25" s="195">
        <v>0.6183246721506073</v>
      </c>
      <c r="AM25" s="195">
        <v>158</v>
      </c>
      <c r="AN25" s="195">
        <v>0.016318942367279488</v>
      </c>
      <c r="AO25" s="195">
        <v>0.01235068839902552</v>
      </c>
      <c r="AP25" s="195">
        <v>0</v>
      </c>
      <c r="AQ25" s="195">
        <v>32</v>
      </c>
      <c r="AR25" s="195">
        <v>0</v>
      </c>
      <c r="AS25" s="195">
        <v>0</v>
      </c>
      <c r="AT25" s="195">
        <v>0</v>
      </c>
      <c r="AU25" s="195">
        <v>357.81</v>
      </c>
      <c r="AV25" s="195">
        <v>27.059053687711355</v>
      </c>
      <c r="AW25" s="195">
        <v>0.6691037801378446</v>
      </c>
      <c r="AX25" s="195">
        <v>360</v>
      </c>
      <c r="AY25" s="195">
        <v>3215</v>
      </c>
      <c r="AZ25" s="195">
        <v>0.1119751166407465</v>
      </c>
      <c r="BA25" s="195">
        <v>0.046952316438078026</v>
      </c>
      <c r="BB25" s="195">
        <v>0</v>
      </c>
      <c r="BC25" s="195">
        <v>2656</v>
      </c>
      <c r="BD25" s="195">
        <v>4237</v>
      </c>
      <c r="BE25" s="195">
        <v>0.6268586263865943</v>
      </c>
      <c r="BF25" s="195">
        <v>0.19591710834428822</v>
      </c>
      <c r="BG25" s="195">
        <v>0</v>
      </c>
      <c r="BH25" s="195">
        <v>0</v>
      </c>
      <c r="BI25" s="195">
        <v>0</v>
      </c>
      <c r="BJ25" s="195">
        <v>-2323.68</v>
      </c>
      <c r="BK25" s="195">
        <v>-39696.2</v>
      </c>
      <c r="BL25" s="195">
        <v>-2710.96</v>
      </c>
      <c r="BM25" s="195">
        <v>-13845.26</v>
      </c>
      <c r="BN25" s="195">
        <v>-387.28000000000003</v>
      </c>
      <c r="BO25" s="195">
        <v>88078</v>
      </c>
      <c r="BP25" s="195">
        <v>-254606.9689877475</v>
      </c>
      <c r="BQ25" s="195">
        <v>-827520.54</v>
      </c>
      <c r="BR25" s="195">
        <v>-115651.5479556378</v>
      </c>
      <c r="BS25" s="195">
        <v>676314</v>
      </c>
      <c r="BT25" s="195">
        <v>221366</v>
      </c>
      <c r="BU25" s="195">
        <v>445055.0591263313</v>
      </c>
      <c r="BV25" s="195">
        <v>6932.215931270755</v>
      </c>
      <c r="BW25" s="195">
        <v>58409.76069782427</v>
      </c>
      <c r="BX25" s="195">
        <v>192372.5287367456</v>
      </c>
      <c r="BY25" s="195">
        <v>439754.50773878576</v>
      </c>
      <c r="BZ25" s="195">
        <v>739872.3813262391</v>
      </c>
      <c r="CA25" s="195">
        <v>238958.5205359174</v>
      </c>
      <c r="CB25" s="195">
        <v>871.38</v>
      </c>
      <c r="CC25" s="195">
        <v>9218.701449155189</v>
      </c>
      <c r="CD25" s="195">
        <v>3002132.4275866314</v>
      </c>
      <c r="CE25" s="195">
        <v>1575422.5385988837</v>
      </c>
      <c r="CF25" s="195">
        <v>0</v>
      </c>
      <c r="CG25" s="229">
        <v>1677429.1916119978</v>
      </c>
      <c r="CH25" s="195">
        <v>-2041519</v>
      </c>
      <c r="CI25" s="195">
        <v>-40529.856700000004</v>
      </c>
      <c r="CJ25" s="195">
        <v>9383220.909962526</v>
      </c>
      <c r="CL25" s="195">
        <v>9747</v>
      </c>
    </row>
    <row r="26" spans="1:90" ht="9.75">
      <c r="A26" s="195">
        <v>86</v>
      </c>
      <c r="B26" s="195" t="s">
        <v>94</v>
      </c>
      <c r="C26" s="195">
        <v>8641</v>
      </c>
      <c r="D26" s="195">
        <v>30067837.389999997</v>
      </c>
      <c r="E26" s="195">
        <v>8532423.218828531</v>
      </c>
      <c r="F26" s="195">
        <v>1324817.3454615523</v>
      </c>
      <c r="G26" s="195">
        <v>39925077.954290085</v>
      </c>
      <c r="H26" s="195">
        <v>3540.31</v>
      </c>
      <c r="I26" s="195">
        <v>30591818.71</v>
      </c>
      <c r="J26" s="195">
        <v>9333259.244290084</v>
      </c>
      <c r="K26" s="195">
        <v>75222.93884433145</v>
      </c>
      <c r="L26" s="195">
        <v>1893544.5088031571</v>
      </c>
      <c r="M26" s="195">
        <v>0</v>
      </c>
      <c r="N26" s="195">
        <v>11302026.691937571</v>
      </c>
      <c r="O26" s="195">
        <v>2961288.347527438</v>
      </c>
      <c r="P26" s="195">
        <v>14263315.03946501</v>
      </c>
      <c r="Q26" s="195">
        <v>619</v>
      </c>
      <c r="R26" s="195">
        <v>115</v>
      </c>
      <c r="S26" s="195">
        <v>695</v>
      </c>
      <c r="T26" s="195">
        <v>332</v>
      </c>
      <c r="U26" s="195">
        <v>318</v>
      </c>
      <c r="V26" s="195">
        <v>4925</v>
      </c>
      <c r="W26" s="195">
        <v>955</v>
      </c>
      <c r="X26" s="195">
        <v>473</v>
      </c>
      <c r="Y26" s="195">
        <v>209</v>
      </c>
      <c r="Z26" s="195">
        <v>40</v>
      </c>
      <c r="AA26" s="195">
        <v>1</v>
      </c>
      <c r="AB26" s="195">
        <v>8382</v>
      </c>
      <c r="AC26" s="195">
        <v>218</v>
      </c>
      <c r="AD26" s="195">
        <v>1637</v>
      </c>
      <c r="AE26" s="195">
        <v>0.8693125129744499</v>
      </c>
      <c r="AF26" s="195">
        <v>8532423.218828531</v>
      </c>
      <c r="AG26" s="195">
        <v>11213021.655106697</v>
      </c>
      <c r="AH26" s="195">
        <v>2147560.9140823954</v>
      </c>
      <c r="AI26" s="195">
        <v>1168407.4185754329</v>
      </c>
      <c r="AJ26" s="195">
        <v>316</v>
      </c>
      <c r="AK26" s="195">
        <v>4304</v>
      </c>
      <c r="AL26" s="195">
        <v>0.5529595812241738</v>
      </c>
      <c r="AM26" s="195">
        <v>218</v>
      </c>
      <c r="AN26" s="195">
        <v>0.025228561509084597</v>
      </c>
      <c r="AO26" s="195">
        <v>0.02126030754083063</v>
      </c>
      <c r="AP26" s="195">
        <v>0</v>
      </c>
      <c r="AQ26" s="195">
        <v>40</v>
      </c>
      <c r="AR26" s="195">
        <v>1</v>
      </c>
      <c r="AS26" s="195">
        <v>0</v>
      </c>
      <c r="AT26" s="195">
        <v>0</v>
      </c>
      <c r="AU26" s="195">
        <v>389.32</v>
      </c>
      <c r="AV26" s="195">
        <v>22.195109421555532</v>
      </c>
      <c r="AW26" s="195">
        <v>0.8157344379576232</v>
      </c>
      <c r="AX26" s="195">
        <v>452</v>
      </c>
      <c r="AY26" s="195">
        <v>3050</v>
      </c>
      <c r="AZ26" s="195">
        <v>0.1481967213114754</v>
      </c>
      <c r="BA26" s="195">
        <v>0.08317392110880693</v>
      </c>
      <c r="BB26" s="195">
        <v>0</v>
      </c>
      <c r="BC26" s="195">
        <v>2201</v>
      </c>
      <c r="BD26" s="195">
        <v>3869</v>
      </c>
      <c r="BE26" s="195">
        <v>0.5688808477642802</v>
      </c>
      <c r="BF26" s="195">
        <v>0.1379393297219741</v>
      </c>
      <c r="BG26" s="195">
        <v>0</v>
      </c>
      <c r="BH26" s="195">
        <v>1</v>
      </c>
      <c r="BI26" s="195">
        <v>0</v>
      </c>
      <c r="BJ26" s="195">
        <v>-2073.84</v>
      </c>
      <c r="BK26" s="195">
        <v>-35428.1</v>
      </c>
      <c r="BL26" s="195">
        <v>-2419.48</v>
      </c>
      <c r="BM26" s="195">
        <v>-12356.63</v>
      </c>
      <c r="BN26" s="195">
        <v>-345.64</v>
      </c>
      <c r="BO26" s="195">
        <v>50241</v>
      </c>
      <c r="BP26" s="195">
        <v>-182576.70664150853</v>
      </c>
      <c r="BQ26" s="195">
        <v>-738546.27</v>
      </c>
      <c r="BR26" s="195">
        <v>26314.203572351485</v>
      </c>
      <c r="BS26" s="195">
        <v>684929</v>
      </c>
      <c r="BT26" s="195">
        <v>219405</v>
      </c>
      <c r="BU26" s="195">
        <v>453618.33415046043</v>
      </c>
      <c r="BV26" s="195">
        <v>11746.726739898262</v>
      </c>
      <c r="BW26" s="195">
        <v>84479.08494531004</v>
      </c>
      <c r="BX26" s="195">
        <v>176088.1724966164</v>
      </c>
      <c r="BY26" s="195">
        <v>436966.1327736365</v>
      </c>
      <c r="BZ26" s="195">
        <v>725646.8696418864</v>
      </c>
      <c r="CA26" s="195">
        <v>221817.93280102708</v>
      </c>
      <c r="CB26" s="195">
        <v>777.6899999999999</v>
      </c>
      <c r="CC26" s="195">
        <v>29652.068323478816</v>
      </c>
      <c r="CD26" s="195">
        <v>3122200.675444666</v>
      </c>
      <c r="CE26" s="195">
        <v>1893544.5088031571</v>
      </c>
      <c r="CF26" s="195">
        <v>0</v>
      </c>
      <c r="CG26" s="229">
        <v>2961288.347527438</v>
      </c>
      <c r="CH26" s="195">
        <v>-1201376</v>
      </c>
      <c r="CI26" s="195">
        <v>-921092.8128000003</v>
      </c>
      <c r="CJ26" s="195">
        <v>13061939.03946501</v>
      </c>
      <c r="CL26" s="195">
        <v>8729</v>
      </c>
    </row>
    <row r="27" spans="1:90" ht="9.75">
      <c r="A27" s="195">
        <v>111</v>
      </c>
      <c r="B27" s="195" t="s">
        <v>95</v>
      </c>
      <c r="C27" s="195">
        <v>19350</v>
      </c>
      <c r="D27" s="195">
        <v>65521475.92</v>
      </c>
      <c r="E27" s="195">
        <v>29930980.50812775</v>
      </c>
      <c r="F27" s="195">
        <v>4395405.870741628</v>
      </c>
      <c r="G27" s="195">
        <v>99847862.29886937</v>
      </c>
      <c r="H27" s="195">
        <v>3540.31</v>
      </c>
      <c r="I27" s="195">
        <v>68504998.5</v>
      </c>
      <c r="J27" s="195">
        <v>31342863.79886937</v>
      </c>
      <c r="K27" s="195">
        <v>648096.2993549677</v>
      </c>
      <c r="L27" s="195">
        <v>4256901.395433706</v>
      </c>
      <c r="M27" s="195">
        <v>0</v>
      </c>
      <c r="N27" s="195">
        <v>36247861.49365804</v>
      </c>
      <c r="O27" s="195">
        <v>8541796.846286828</v>
      </c>
      <c r="P27" s="195">
        <v>44789658.33994487</v>
      </c>
      <c r="Q27" s="195">
        <v>790</v>
      </c>
      <c r="R27" s="195">
        <v>146</v>
      </c>
      <c r="S27" s="195">
        <v>1026</v>
      </c>
      <c r="T27" s="195">
        <v>562</v>
      </c>
      <c r="U27" s="195">
        <v>607</v>
      </c>
      <c r="V27" s="195">
        <v>10327</v>
      </c>
      <c r="W27" s="195">
        <v>3340</v>
      </c>
      <c r="X27" s="195">
        <v>1846</v>
      </c>
      <c r="Y27" s="195">
        <v>706</v>
      </c>
      <c r="Z27" s="195">
        <v>40</v>
      </c>
      <c r="AA27" s="195">
        <v>0</v>
      </c>
      <c r="AB27" s="195">
        <v>18691</v>
      </c>
      <c r="AC27" s="195">
        <v>619</v>
      </c>
      <c r="AD27" s="195">
        <v>5892</v>
      </c>
      <c r="AE27" s="195">
        <v>1.3617817886523726</v>
      </c>
      <c r="AF27" s="195">
        <v>29930980.50812775</v>
      </c>
      <c r="AG27" s="195">
        <v>35365375.30343168</v>
      </c>
      <c r="AH27" s="195">
        <v>9258561.563662324</v>
      </c>
      <c r="AI27" s="195">
        <v>3549817.958725361</v>
      </c>
      <c r="AJ27" s="195">
        <v>1376</v>
      </c>
      <c r="AK27" s="195">
        <v>8561</v>
      </c>
      <c r="AL27" s="195">
        <v>1.2105214919742935</v>
      </c>
      <c r="AM27" s="195">
        <v>619</v>
      </c>
      <c r="AN27" s="195">
        <v>0.03198966408268734</v>
      </c>
      <c r="AO27" s="195">
        <v>0.02802141011443337</v>
      </c>
      <c r="AP27" s="195">
        <v>0</v>
      </c>
      <c r="AQ27" s="195">
        <v>40</v>
      </c>
      <c r="AR27" s="195">
        <v>0</v>
      </c>
      <c r="AS27" s="195">
        <v>0</v>
      </c>
      <c r="AT27" s="195">
        <v>0</v>
      </c>
      <c r="AU27" s="195">
        <v>676.07</v>
      </c>
      <c r="AV27" s="195">
        <v>28.621296611297645</v>
      </c>
      <c r="AW27" s="195">
        <v>0.6325819320936656</v>
      </c>
      <c r="AX27" s="195">
        <v>953</v>
      </c>
      <c r="AY27" s="195">
        <v>5491</v>
      </c>
      <c r="AZ27" s="195">
        <v>0.1735567291932253</v>
      </c>
      <c r="BA27" s="195">
        <v>0.10853392899055682</v>
      </c>
      <c r="BB27" s="195">
        <v>0</v>
      </c>
      <c r="BC27" s="195">
        <v>6646</v>
      </c>
      <c r="BD27" s="195">
        <v>6911</v>
      </c>
      <c r="BE27" s="195">
        <v>0.9616553320792939</v>
      </c>
      <c r="BF27" s="195">
        <v>0.5307138140369878</v>
      </c>
      <c r="BG27" s="195">
        <v>0</v>
      </c>
      <c r="BH27" s="195">
        <v>0</v>
      </c>
      <c r="BI27" s="195">
        <v>0</v>
      </c>
      <c r="BJ27" s="195">
        <v>-4644</v>
      </c>
      <c r="BK27" s="195">
        <v>-79335</v>
      </c>
      <c r="BL27" s="195">
        <v>-5418.000000000001</v>
      </c>
      <c r="BM27" s="195">
        <v>-27670.5</v>
      </c>
      <c r="BN27" s="195">
        <v>-774</v>
      </c>
      <c r="BO27" s="195">
        <v>751929</v>
      </c>
      <c r="BP27" s="195">
        <v>-1028432.0790546343</v>
      </c>
      <c r="BQ27" s="195">
        <v>-1653844.5</v>
      </c>
      <c r="BR27" s="195">
        <v>-211195.58279307187</v>
      </c>
      <c r="BS27" s="195">
        <v>1456682</v>
      </c>
      <c r="BT27" s="195">
        <v>464204</v>
      </c>
      <c r="BU27" s="195">
        <v>1094866.502573506</v>
      </c>
      <c r="BV27" s="195">
        <v>51131.63424286549</v>
      </c>
      <c r="BW27" s="195">
        <v>176358.02767384014</v>
      </c>
      <c r="BX27" s="195">
        <v>602628.2312042551</v>
      </c>
      <c r="BY27" s="195">
        <v>940187.9911416231</v>
      </c>
      <c r="BZ27" s="195">
        <v>1578097.1405111526</v>
      </c>
      <c r="CA27" s="195">
        <v>520338.8977052538</v>
      </c>
      <c r="CB27" s="195">
        <v>1741.5</v>
      </c>
      <c r="CC27" s="195">
        <v>199714.13222891683</v>
      </c>
      <c r="CD27" s="195">
        <v>7627844.47448834</v>
      </c>
      <c r="CE27" s="195">
        <v>4256901.395433706</v>
      </c>
      <c r="CF27" s="195">
        <v>0</v>
      </c>
      <c r="CG27" s="229">
        <v>8541796.846286828</v>
      </c>
      <c r="CH27" s="195">
        <v>-2010938</v>
      </c>
      <c r="CI27" s="195">
        <v>-24755.933699999936</v>
      </c>
      <c r="CJ27" s="195">
        <v>42778720.33994487</v>
      </c>
      <c r="CL27" s="195">
        <v>19575</v>
      </c>
    </row>
    <row r="28" spans="1:90" ht="9.75">
      <c r="A28" s="195">
        <v>90</v>
      </c>
      <c r="B28" s="195" t="s">
        <v>96</v>
      </c>
      <c r="C28" s="195">
        <v>3514</v>
      </c>
      <c r="D28" s="195">
        <v>13105034.07</v>
      </c>
      <c r="E28" s="195">
        <v>7834469.2016528975</v>
      </c>
      <c r="F28" s="195">
        <v>1351031.3521754956</v>
      </c>
      <c r="G28" s="195">
        <v>22290534.623828396</v>
      </c>
      <c r="H28" s="195">
        <v>3540.31</v>
      </c>
      <c r="I28" s="195">
        <v>12440649.34</v>
      </c>
      <c r="J28" s="195">
        <v>9849885.283828396</v>
      </c>
      <c r="K28" s="195">
        <v>644281.432650224</v>
      </c>
      <c r="L28" s="195">
        <v>841927.5597014218</v>
      </c>
      <c r="M28" s="195">
        <v>0</v>
      </c>
      <c r="N28" s="195">
        <v>11336094.276180042</v>
      </c>
      <c r="O28" s="195">
        <v>2217886.3848366276</v>
      </c>
      <c r="P28" s="195">
        <v>13553980.66101667</v>
      </c>
      <c r="Q28" s="195">
        <v>118</v>
      </c>
      <c r="R28" s="195">
        <v>25</v>
      </c>
      <c r="S28" s="195">
        <v>178</v>
      </c>
      <c r="T28" s="195">
        <v>107</v>
      </c>
      <c r="U28" s="195">
        <v>88</v>
      </c>
      <c r="V28" s="195">
        <v>1748</v>
      </c>
      <c r="W28" s="195">
        <v>639</v>
      </c>
      <c r="X28" s="195">
        <v>426</v>
      </c>
      <c r="Y28" s="195">
        <v>185</v>
      </c>
      <c r="Z28" s="195">
        <v>7</v>
      </c>
      <c r="AA28" s="195">
        <v>0</v>
      </c>
      <c r="AB28" s="195">
        <v>3444</v>
      </c>
      <c r="AC28" s="195">
        <v>63</v>
      </c>
      <c r="AD28" s="195">
        <v>1250</v>
      </c>
      <c r="AE28" s="195">
        <v>1.9627969194293955</v>
      </c>
      <c r="AF28" s="195">
        <v>7834469.2016528975</v>
      </c>
      <c r="AG28" s="195">
        <v>9637602.404347371</v>
      </c>
      <c r="AH28" s="195">
        <v>2688517.277809945</v>
      </c>
      <c r="AI28" s="195">
        <v>820560.935182747</v>
      </c>
      <c r="AJ28" s="195">
        <v>221</v>
      </c>
      <c r="AK28" s="195">
        <v>1393</v>
      </c>
      <c r="AL28" s="195">
        <v>1.194867434612335</v>
      </c>
      <c r="AM28" s="195">
        <v>63</v>
      </c>
      <c r="AN28" s="195">
        <v>0.017928286852589643</v>
      </c>
      <c r="AO28" s="195">
        <v>0.013960032884335675</v>
      </c>
      <c r="AP28" s="195">
        <v>0</v>
      </c>
      <c r="AQ28" s="195">
        <v>7</v>
      </c>
      <c r="AR28" s="195">
        <v>0</v>
      </c>
      <c r="AS28" s="195">
        <v>0</v>
      </c>
      <c r="AT28" s="195">
        <v>0</v>
      </c>
      <c r="AU28" s="195">
        <v>1029.96</v>
      </c>
      <c r="AV28" s="195">
        <v>3.4117829818633734</v>
      </c>
      <c r="AW28" s="195">
        <v>5.306701863994932</v>
      </c>
      <c r="AX28" s="195">
        <v>168</v>
      </c>
      <c r="AY28" s="195">
        <v>891</v>
      </c>
      <c r="AZ28" s="195">
        <v>0.18855218855218855</v>
      </c>
      <c r="BA28" s="195">
        <v>0.12352938834952008</v>
      </c>
      <c r="BB28" s="195">
        <v>0.704266</v>
      </c>
      <c r="BC28" s="195">
        <v>1167</v>
      </c>
      <c r="BD28" s="195">
        <v>1149</v>
      </c>
      <c r="BE28" s="195">
        <v>1.0156657963446476</v>
      </c>
      <c r="BF28" s="195">
        <v>0.5847242783023415</v>
      </c>
      <c r="BG28" s="195">
        <v>0</v>
      </c>
      <c r="BH28" s="195">
        <v>0</v>
      </c>
      <c r="BI28" s="195">
        <v>0</v>
      </c>
      <c r="BJ28" s="195">
        <v>-843.36</v>
      </c>
      <c r="BK28" s="195">
        <v>-14407.4</v>
      </c>
      <c r="BL28" s="195">
        <v>-983.9200000000001</v>
      </c>
      <c r="BM28" s="195">
        <v>-5025.0199999999995</v>
      </c>
      <c r="BN28" s="195">
        <v>-140.56</v>
      </c>
      <c r="BO28" s="195">
        <v>-138429</v>
      </c>
      <c r="BP28" s="195">
        <v>-222093.30890090353</v>
      </c>
      <c r="BQ28" s="195">
        <v>-300341.58</v>
      </c>
      <c r="BR28" s="195">
        <v>50519.79779796116</v>
      </c>
      <c r="BS28" s="195">
        <v>414960</v>
      </c>
      <c r="BT28" s="195">
        <v>115556</v>
      </c>
      <c r="BU28" s="195">
        <v>307791.1445000703</v>
      </c>
      <c r="BV28" s="195">
        <v>16925.36445599054</v>
      </c>
      <c r="BW28" s="195">
        <v>55473.379691860675</v>
      </c>
      <c r="BX28" s="195">
        <v>155595.83504072958</v>
      </c>
      <c r="BY28" s="195">
        <v>191991.19827667397</v>
      </c>
      <c r="BZ28" s="195">
        <v>291574.7104154343</v>
      </c>
      <c r="CA28" s="195">
        <v>87552.54910695172</v>
      </c>
      <c r="CB28" s="195">
        <v>316.26</v>
      </c>
      <c r="CC28" s="195">
        <v>-60612.37068334714</v>
      </c>
      <c r="CD28" s="195">
        <v>1489425.7086023253</v>
      </c>
      <c r="CE28" s="195">
        <v>841927.5597014218</v>
      </c>
      <c r="CF28" s="195">
        <v>0</v>
      </c>
      <c r="CG28" s="229">
        <v>2217886.3848366276</v>
      </c>
      <c r="CH28" s="195">
        <v>-236428</v>
      </c>
      <c r="CI28" s="195">
        <v>66485.13</v>
      </c>
      <c r="CJ28" s="195">
        <v>13317552.66101667</v>
      </c>
      <c r="CL28" s="195">
        <v>3574</v>
      </c>
    </row>
    <row r="29" spans="1:90" ht="9.75">
      <c r="A29" s="195">
        <v>91</v>
      </c>
      <c r="B29" s="195" t="s">
        <v>97</v>
      </c>
      <c r="C29" s="195">
        <v>635181</v>
      </c>
      <c r="D29" s="195">
        <v>1849889358.7400002</v>
      </c>
      <c r="E29" s="195">
        <v>577305445.1906126</v>
      </c>
      <c r="F29" s="195">
        <v>278549679.93768907</v>
      </c>
      <c r="G29" s="195">
        <v>2705744483.8683014</v>
      </c>
      <c r="H29" s="195">
        <v>3540.31</v>
      </c>
      <c r="I29" s="195">
        <v>2248737646.11</v>
      </c>
      <c r="J29" s="195">
        <v>457006837.75830126</v>
      </c>
      <c r="K29" s="195">
        <v>34356763.78162505</v>
      </c>
      <c r="L29" s="195">
        <v>-1310218.7080855966</v>
      </c>
      <c r="M29" s="195">
        <v>0</v>
      </c>
      <c r="N29" s="195">
        <v>490053382.8318407</v>
      </c>
      <c r="O29" s="195">
        <v>-324258447.28834283</v>
      </c>
      <c r="P29" s="195">
        <v>165794935.54349786</v>
      </c>
      <c r="Q29" s="195">
        <v>39491</v>
      </c>
      <c r="R29" s="195">
        <v>6316</v>
      </c>
      <c r="S29" s="195">
        <v>33730</v>
      </c>
      <c r="T29" s="195">
        <v>15069</v>
      </c>
      <c r="U29" s="195">
        <v>16049</v>
      </c>
      <c r="V29" s="195">
        <v>418534</v>
      </c>
      <c r="W29" s="195">
        <v>61173</v>
      </c>
      <c r="X29" s="195">
        <v>31611</v>
      </c>
      <c r="Y29" s="195">
        <v>13208</v>
      </c>
      <c r="Z29" s="195">
        <v>36197</v>
      </c>
      <c r="AA29" s="195">
        <v>62</v>
      </c>
      <c r="AB29" s="195">
        <v>505708</v>
      </c>
      <c r="AC29" s="195">
        <v>93214</v>
      </c>
      <c r="AD29" s="195">
        <v>105992</v>
      </c>
      <c r="AE29" s="195">
        <v>0.8001579091356238</v>
      </c>
      <c r="AF29" s="195">
        <v>577305445.1906126</v>
      </c>
      <c r="AG29" s="195">
        <v>727632274.5234681</v>
      </c>
      <c r="AH29" s="195">
        <v>153830744.14769217</v>
      </c>
      <c r="AI29" s="195">
        <v>79585491.57212663</v>
      </c>
      <c r="AJ29" s="195">
        <v>41948</v>
      </c>
      <c r="AK29" s="195">
        <v>333021</v>
      </c>
      <c r="AL29" s="195">
        <v>0.9486766391321657</v>
      </c>
      <c r="AM29" s="195">
        <v>93214</v>
      </c>
      <c r="AN29" s="195">
        <v>0.14675187072661178</v>
      </c>
      <c r="AO29" s="195">
        <v>0.14278361675835782</v>
      </c>
      <c r="AP29" s="195">
        <v>1</v>
      </c>
      <c r="AQ29" s="195">
        <v>36197</v>
      </c>
      <c r="AR29" s="195">
        <v>62</v>
      </c>
      <c r="AS29" s="195">
        <v>3</v>
      </c>
      <c r="AT29" s="195">
        <v>1247</v>
      </c>
      <c r="AU29" s="195">
        <v>214.21</v>
      </c>
      <c r="AV29" s="195">
        <v>2965.22571308529</v>
      </c>
      <c r="AW29" s="195">
        <v>0.0061058809214770155</v>
      </c>
      <c r="AX29" s="195">
        <v>42623</v>
      </c>
      <c r="AY29" s="195">
        <v>228115</v>
      </c>
      <c r="AZ29" s="195">
        <v>0.18684873857484163</v>
      </c>
      <c r="BA29" s="195">
        <v>0.12182593837217316</v>
      </c>
      <c r="BB29" s="195">
        <v>0</v>
      </c>
      <c r="BC29" s="195">
        <v>379250</v>
      </c>
      <c r="BD29" s="195">
        <v>294446</v>
      </c>
      <c r="BE29" s="195">
        <v>1.2880120633324956</v>
      </c>
      <c r="BF29" s="195">
        <v>0.8570705452901896</v>
      </c>
      <c r="BG29" s="195">
        <v>0</v>
      </c>
      <c r="BH29" s="195">
        <v>62</v>
      </c>
      <c r="BI29" s="195">
        <v>0</v>
      </c>
      <c r="BJ29" s="195">
        <v>-152443.44</v>
      </c>
      <c r="BK29" s="195">
        <v>-2604242.0999999996</v>
      </c>
      <c r="BL29" s="195">
        <v>-177850.68000000002</v>
      </c>
      <c r="BM29" s="195">
        <v>-908308.83</v>
      </c>
      <c r="BN29" s="195">
        <v>-25407.24</v>
      </c>
      <c r="BO29" s="195">
        <v>-6090483</v>
      </c>
      <c r="BP29" s="195">
        <v>-74318723.80619761</v>
      </c>
      <c r="BQ29" s="195">
        <v>-54288920.07</v>
      </c>
      <c r="BR29" s="195">
        <v>-5538615.30365333</v>
      </c>
      <c r="BS29" s="195">
        <v>33023199</v>
      </c>
      <c r="BT29" s="195">
        <v>13663332</v>
      </c>
      <c r="BU29" s="195">
        <v>32140867.169646222</v>
      </c>
      <c r="BV29" s="195">
        <v>1308957.284300828</v>
      </c>
      <c r="BW29" s="195">
        <v>-4477969.055873193</v>
      </c>
      <c r="BX29" s="195">
        <v>10724768.73021238</v>
      </c>
      <c r="BY29" s="195">
        <v>29262801.231433734</v>
      </c>
      <c r="BZ29" s="195">
        <v>38415270.92514888</v>
      </c>
      <c r="CA29" s="195">
        <v>14465962.082708966</v>
      </c>
      <c r="CB29" s="195">
        <v>57166.29</v>
      </c>
      <c r="CC29" s="195">
        <v>-7089851.25581247</v>
      </c>
      <c r="CD29" s="195">
        <v>149903516.95811203</v>
      </c>
      <c r="CE29" s="195">
        <v>-1310218.7080855966</v>
      </c>
      <c r="CF29" s="195">
        <v>0</v>
      </c>
      <c r="CG29" s="229">
        <v>-324258447.28834283</v>
      </c>
      <c r="CH29" s="195">
        <v>8393899</v>
      </c>
      <c r="CI29" s="195">
        <v>-70160822.98629002</v>
      </c>
      <c r="CJ29" s="195">
        <v>174188834.54349786</v>
      </c>
      <c r="CL29" s="195">
        <v>628208</v>
      </c>
    </row>
    <row r="30" spans="1:90" ht="9.75">
      <c r="A30" s="195">
        <v>97</v>
      </c>
      <c r="B30" s="195" t="s">
        <v>98</v>
      </c>
      <c r="C30" s="195">
        <v>2274</v>
      </c>
      <c r="D30" s="195">
        <v>8229811.42</v>
      </c>
      <c r="E30" s="195">
        <v>3562126.008225495</v>
      </c>
      <c r="F30" s="195">
        <v>1229183.7586404332</v>
      </c>
      <c r="G30" s="195">
        <v>13021121.186865928</v>
      </c>
      <c r="H30" s="195">
        <v>3540.31</v>
      </c>
      <c r="I30" s="195">
        <v>8050664.9399999995</v>
      </c>
      <c r="J30" s="195">
        <v>4970456.246865928</v>
      </c>
      <c r="K30" s="195">
        <v>52429.544679968356</v>
      </c>
      <c r="L30" s="195">
        <v>875866.5086299367</v>
      </c>
      <c r="M30" s="195">
        <v>0</v>
      </c>
      <c r="N30" s="195">
        <v>5898752.3001758335</v>
      </c>
      <c r="O30" s="195">
        <v>1557712.9914994868</v>
      </c>
      <c r="P30" s="195">
        <v>7456465.29167532</v>
      </c>
      <c r="Q30" s="195">
        <v>92</v>
      </c>
      <c r="R30" s="195">
        <v>19</v>
      </c>
      <c r="S30" s="195">
        <v>96</v>
      </c>
      <c r="T30" s="195">
        <v>61</v>
      </c>
      <c r="U30" s="195">
        <v>96</v>
      </c>
      <c r="V30" s="195">
        <v>1157</v>
      </c>
      <c r="W30" s="195">
        <v>401</v>
      </c>
      <c r="X30" s="195">
        <v>238</v>
      </c>
      <c r="Y30" s="195">
        <v>114</v>
      </c>
      <c r="Z30" s="195">
        <v>6</v>
      </c>
      <c r="AA30" s="195">
        <v>0</v>
      </c>
      <c r="AB30" s="195">
        <v>2211</v>
      </c>
      <c r="AC30" s="195">
        <v>57</v>
      </c>
      <c r="AD30" s="195">
        <v>753</v>
      </c>
      <c r="AE30" s="195">
        <v>1.3790701720358585</v>
      </c>
      <c r="AF30" s="195">
        <v>3562126.008225495</v>
      </c>
      <c r="AG30" s="195">
        <v>4256932.616337788</v>
      </c>
      <c r="AH30" s="195">
        <v>1161084.4366354553</v>
      </c>
      <c r="AI30" s="195">
        <v>338927.3427928737</v>
      </c>
      <c r="AJ30" s="195">
        <v>133</v>
      </c>
      <c r="AK30" s="195">
        <v>961</v>
      </c>
      <c r="AL30" s="195">
        <v>1.0423337998370508</v>
      </c>
      <c r="AM30" s="195">
        <v>57</v>
      </c>
      <c r="AN30" s="195">
        <v>0.025065963060686015</v>
      </c>
      <c r="AO30" s="195">
        <v>0.021097709092432047</v>
      </c>
      <c r="AP30" s="195">
        <v>0</v>
      </c>
      <c r="AQ30" s="195">
        <v>6</v>
      </c>
      <c r="AR30" s="195">
        <v>0</v>
      </c>
      <c r="AS30" s="195">
        <v>3</v>
      </c>
      <c r="AT30" s="195">
        <v>1837</v>
      </c>
      <c r="AU30" s="195">
        <v>465.25</v>
      </c>
      <c r="AV30" s="195">
        <v>4.887694787748522</v>
      </c>
      <c r="AW30" s="195">
        <v>3.704264667831401</v>
      </c>
      <c r="AX30" s="195">
        <v>104</v>
      </c>
      <c r="AY30" s="195">
        <v>582</v>
      </c>
      <c r="AZ30" s="195">
        <v>0.17869415807560138</v>
      </c>
      <c r="BA30" s="195">
        <v>0.11367135787293291</v>
      </c>
      <c r="BB30" s="195">
        <v>0</v>
      </c>
      <c r="BC30" s="195">
        <v>641</v>
      </c>
      <c r="BD30" s="195">
        <v>805</v>
      </c>
      <c r="BE30" s="195">
        <v>0.7962732919254658</v>
      </c>
      <c r="BF30" s="195">
        <v>0.36533177388315974</v>
      </c>
      <c r="BG30" s="195">
        <v>0</v>
      </c>
      <c r="BH30" s="195">
        <v>0</v>
      </c>
      <c r="BI30" s="195">
        <v>0</v>
      </c>
      <c r="BJ30" s="195">
        <v>-545.76</v>
      </c>
      <c r="BK30" s="195">
        <v>-9323.4</v>
      </c>
      <c r="BL30" s="195">
        <v>-636.72</v>
      </c>
      <c r="BM30" s="195">
        <v>-3251.8199999999997</v>
      </c>
      <c r="BN30" s="195">
        <v>-90.96000000000001</v>
      </c>
      <c r="BO30" s="195">
        <v>79164</v>
      </c>
      <c r="BP30" s="195">
        <v>-51521.645983768154</v>
      </c>
      <c r="BQ30" s="195">
        <v>-194358.78</v>
      </c>
      <c r="BR30" s="195">
        <v>86034.37929508742</v>
      </c>
      <c r="BS30" s="195">
        <v>269011</v>
      </c>
      <c r="BT30" s="195">
        <v>77732</v>
      </c>
      <c r="BU30" s="195">
        <v>190041.25671568306</v>
      </c>
      <c r="BV30" s="195">
        <v>10897.25655848356</v>
      </c>
      <c r="BW30" s="195">
        <v>25535.254371790128</v>
      </c>
      <c r="BX30" s="195">
        <v>85775.7317094981</v>
      </c>
      <c r="BY30" s="195">
        <v>128813.02749965513</v>
      </c>
      <c r="BZ30" s="195">
        <v>190256.9129628398</v>
      </c>
      <c r="CA30" s="195">
        <v>57855.89680656125</v>
      </c>
      <c r="CB30" s="195">
        <v>204.66</v>
      </c>
      <c r="CC30" s="195">
        <v>1220.7786941067607</v>
      </c>
      <c r="CD30" s="195">
        <v>1202678.5946137048</v>
      </c>
      <c r="CE30" s="195">
        <v>875866.5086299367</v>
      </c>
      <c r="CF30" s="195">
        <v>0</v>
      </c>
      <c r="CG30" s="229">
        <v>1557712.9914994868</v>
      </c>
      <c r="CH30" s="195">
        <v>-386860</v>
      </c>
      <c r="CI30" s="195">
        <v>67045.69089999999</v>
      </c>
      <c r="CJ30" s="195">
        <v>7069605.29167532</v>
      </c>
      <c r="CL30" s="195">
        <v>2290</v>
      </c>
    </row>
    <row r="31" spans="1:90" ht="9.75">
      <c r="A31" s="195">
        <v>98</v>
      </c>
      <c r="B31" s="195" t="s">
        <v>99</v>
      </c>
      <c r="C31" s="195">
        <v>23791</v>
      </c>
      <c r="D31" s="195">
        <v>83326975.07000001</v>
      </c>
      <c r="E31" s="195">
        <v>26472617.542710464</v>
      </c>
      <c r="F31" s="195">
        <v>3791055.989706005</v>
      </c>
      <c r="G31" s="195">
        <v>113590648.60241649</v>
      </c>
      <c r="H31" s="195">
        <v>3540.31</v>
      </c>
      <c r="I31" s="195">
        <v>84227515.21</v>
      </c>
      <c r="J31" s="195">
        <v>29363133.392416492</v>
      </c>
      <c r="K31" s="195">
        <v>297901.4715655939</v>
      </c>
      <c r="L31" s="195">
        <v>4489008.543927502</v>
      </c>
      <c r="M31" s="195">
        <v>0</v>
      </c>
      <c r="N31" s="195">
        <v>34150043.40790959</v>
      </c>
      <c r="O31" s="195">
        <v>6457505.397691428</v>
      </c>
      <c r="P31" s="195">
        <v>40607548.805601016</v>
      </c>
      <c r="Q31" s="195">
        <v>1531</v>
      </c>
      <c r="R31" s="195">
        <v>288</v>
      </c>
      <c r="S31" s="195">
        <v>1905</v>
      </c>
      <c r="T31" s="195">
        <v>961</v>
      </c>
      <c r="U31" s="195">
        <v>872</v>
      </c>
      <c r="V31" s="195">
        <v>12940</v>
      </c>
      <c r="W31" s="195">
        <v>3129</v>
      </c>
      <c r="X31" s="195">
        <v>1611</v>
      </c>
      <c r="Y31" s="195">
        <v>554</v>
      </c>
      <c r="Z31" s="195">
        <v>74</v>
      </c>
      <c r="AA31" s="195">
        <v>0</v>
      </c>
      <c r="AB31" s="195">
        <v>23149</v>
      </c>
      <c r="AC31" s="195">
        <v>568</v>
      </c>
      <c r="AD31" s="195">
        <v>5294</v>
      </c>
      <c r="AE31" s="195">
        <v>0.9796066746079094</v>
      </c>
      <c r="AF31" s="195">
        <v>26472617.542710464</v>
      </c>
      <c r="AG31" s="195">
        <v>31697370.567990337</v>
      </c>
      <c r="AH31" s="195">
        <v>8717907.093964063</v>
      </c>
      <c r="AI31" s="195">
        <v>3237648.0377319246</v>
      </c>
      <c r="AJ31" s="195">
        <v>1219</v>
      </c>
      <c r="AK31" s="195">
        <v>11333</v>
      </c>
      <c r="AL31" s="195">
        <v>0.8100976725918597</v>
      </c>
      <c r="AM31" s="195">
        <v>568</v>
      </c>
      <c r="AN31" s="195">
        <v>0.0238745744188979</v>
      </c>
      <c r="AO31" s="195">
        <v>0.019906320450643934</v>
      </c>
      <c r="AP31" s="195">
        <v>0</v>
      </c>
      <c r="AQ31" s="195">
        <v>74</v>
      </c>
      <c r="AR31" s="195">
        <v>0</v>
      </c>
      <c r="AS31" s="195">
        <v>0</v>
      </c>
      <c r="AT31" s="195">
        <v>0</v>
      </c>
      <c r="AU31" s="195">
        <v>650.97</v>
      </c>
      <c r="AV31" s="195">
        <v>36.546999093660226</v>
      </c>
      <c r="AW31" s="195">
        <v>0.49539813277148825</v>
      </c>
      <c r="AX31" s="195">
        <v>1111</v>
      </c>
      <c r="AY31" s="195">
        <v>7732</v>
      </c>
      <c r="AZ31" s="195">
        <v>0.14368856699430937</v>
      </c>
      <c r="BA31" s="195">
        <v>0.0786657667916409</v>
      </c>
      <c r="BB31" s="195">
        <v>0</v>
      </c>
      <c r="BC31" s="195">
        <v>6184</v>
      </c>
      <c r="BD31" s="195">
        <v>9826</v>
      </c>
      <c r="BE31" s="195">
        <v>0.6293507022186037</v>
      </c>
      <c r="BF31" s="195">
        <v>0.1984091841762976</v>
      </c>
      <c r="BG31" s="195">
        <v>0</v>
      </c>
      <c r="BH31" s="195">
        <v>0</v>
      </c>
      <c r="BI31" s="195">
        <v>0</v>
      </c>
      <c r="BJ31" s="195">
        <v>-5709.84</v>
      </c>
      <c r="BK31" s="195">
        <v>-97543.09999999999</v>
      </c>
      <c r="BL31" s="195">
        <v>-6661.4800000000005</v>
      </c>
      <c r="BM31" s="195">
        <v>-34021.13</v>
      </c>
      <c r="BN31" s="195">
        <v>-951.64</v>
      </c>
      <c r="BO31" s="195">
        <v>560493</v>
      </c>
      <c r="BP31" s="195">
        <v>-808339.6107744597</v>
      </c>
      <c r="BQ31" s="195">
        <v>-2033416.77</v>
      </c>
      <c r="BR31" s="195">
        <v>-44.645317622460425</v>
      </c>
      <c r="BS31" s="195">
        <v>1736483</v>
      </c>
      <c r="BT31" s="195">
        <v>558359</v>
      </c>
      <c r="BU31" s="195">
        <v>1223351.0324556248</v>
      </c>
      <c r="BV31" s="195">
        <v>36326.02643451036</v>
      </c>
      <c r="BW31" s="195">
        <v>-13553.016595419416</v>
      </c>
      <c r="BX31" s="195">
        <v>554073.5128430926</v>
      </c>
      <c r="BY31" s="195">
        <v>1083021.0232353462</v>
      </c>
      <c r="BZ31" s="195">
        <v>1830343.4831230547</v>
      </c>
      <c r="CA31" s="195">
        <v>543562.051517727</v>
      </c>
      <c r="CB31" s="195">
        <v>2141.19</v>
      </c>
      <c r="CC31" s="195">
        <v>61503.497005647485</v>
      </c>
      <c r="CD31" s="195">
        <v>8177486.614701961</v>
      </c>
      <c r="CE31" s="195">
        <v>4489008.543927502</v>
      </c>
      <c r="CF31" s="195">
        <v>0</v>
      </c>
      <c r="CG31" s="229">
        <v>6457505.397691428</v>
      </c>
      <c r="CH31" s="195">
        <v>-4339618</v>
      </c>
      <c r="CI31" s="195">
        <v>-3036437.1577099995</v>
      </c>
      <c r="CJ31" s="195">
        <v>36267930.805601016</v>
      </c>
      <c r="CL31" s="195">
        <v>23915</v>
      </c>
    </row>
    <row r="32" spans="1:90" ht="9.75">
      <c r="A32" s="195">
        <v>99</v>
      </c>
      <c r="B32" s="195" t="s">
        <v>100</v>
      </c>
      <c r="C32" s="195">
        <v>1759</v>
      </c>
      <c r="D32" s="195">
        <v>6105971.85</v>
      </c>
      <c r="E32" s="195">
        <v>2161830.372772021</v>
      </c>
      <c r="F32" s="195">
        <v>730150.6465927021</v>
      </c>
      <c r="G32" s="195">
        <v>8997952.869364724</v>
      </c>
      <c r="H32" s="195">
        <v>3540.31</v>
      </c>
      <c r="I32" s="195">
        <v>6227405.29</v>
      </c>
      <c r="J32" s="195">
        <v>2770547.5793647235</v>
      </c>
      <c r="K32" s="195">
        <v>67924.67250917756</v>
      </c>
      <c r="L32" s="195">
        <v>843197.5857580805</v>
      </c>
      <c r="M32" s="195">
        <v>0</v>
      </c>
      <c r="N32" s="195">
        <v>3681669.837631982</v>
      </c>
      <c r="O32" s="195">
        <v>1174020.6293693024</v>
      </c>
      <c r="P32" s="195">
        <v>4855690.4670012845</v>
      </c>
      <c r="Q32" s="195">
        <v>96</v>
      </c>
      <c r="R32" s="195">
        <v>22</v>
      </c>
      <c r="S32" s="195">
        <v>96</v>
      </c>
      <c r="T32" s="195">
        <v>47</v>
      </c>
      <c r="U32" s="195">
        <v>44</v>
      </c>
      <c r="V32" s="195">
        <v>981</v>
      </c>
      <c r="W32" s="195">
        <v>249</v>
      </c>
      <c r="X32" s="195">
        <v>155</v>
      </c>
      <c r="Y32" s="195">
        <v>69</v>
      </c>
      <c r="Z32" s="195">
        <v>5</v>
      </c>
      <c r="AA32" s="195">
        <v>0</v>
      </c>
      <c r="AB32" s="195">
        <v>1627</v>
      </c>
      <c r="AC32" s="195">
        <v>127</v>
      </c>
      <c r="AD32" s="195">
        <v>473</v>
      </c>
      <c r="AE32" s="195">
        <v>1.0819901869163193</v>
      </c>
      <c r="AF32" s="195">
        <v>2161830.372772021</v>
      </c>
      <c r="AG32" s="195">
        <v>2936445.625269733</v>
      </c>
      <c r="AH32" s="195">
        <v>559371.8995140196</v>
      </c>
      <c r="AI32" s="195">
        <v>294331.6397938113</v>
      </c>
      <c r="AJ32" s="195">
        <v>97</v>
      </c>
      <c r="AK32" s="195">
        <v>838</v>
      </c>
      <c r="AL32" s="195">
        <v>0.8717787591240365</v>
      </c>
      <c r="AM32" s="195">
        <v>127</v>
      </c>
      <c r="AN32" s="195">
        <v>0.07220011370096646</v>
      </c>
      <c r="AO32" s="195">
        <v>0.0682318597327125</v>
      </c>
      <c r="AP32" s="195">
        <v>0</v>
      </c>
      <c r="AQ32" s="195">
        <v>5</v>
      </c>
      <c r="AR32" s="195">
        <v>0</v>
      </c>
      <c r="AS32" s="195">
        <v>0</v>
      </c>
      <c r="AT32" s="195">
        <v>0</v>
      </c>
      <c r="AU32" s="195">
        <v>331.37</v>
      </c>
      <c r="AV32" s="195">
        <v>5.308265684883967</v>
      </c>
      <c r="AW32" s="195">
        <v>3.410777866857339</v>
      </c>
      <c r="AX32" s="195">
        <v>125</v>
      </c>
      <c r="AY32" s="195">
        <v>479</v>
      </c>
      <c r="AZ32" s="195">
        <v>0.2609603340292276</v>
      </c>
      <c r="BA32" s="195">
        <v>0.1959375338265591</v>
      </c>
      <c r="BB32" s="195">
        <v>0</v>
      </c>
      <c r="BC32" s="195">
        <v>755</v>
      </c>
      <c r="BD32" s="195">
        <v>724</v>
      </c>
      <c r="BE32" s="195">
        <v>1.042817679558011</v>
      </c>
      <c r="BF32" s="195">
        <v>0.611876161515705</v>
      </c>
      <c r="BG32" s="195">
        <v>0</v>
      </c>
      <c r="BH32" s="195">
        <v>0</v>
      </c>
      <c r="BI32" s="195">
        <v>0</v>
      </c>
      <c r="BJ32" s="195">
        <v>-422.15999999999997</v>
      </c>
      <c r="BK32" s="195">
        <v>-7211.9</v>
      </c>
      <c r="BL32" s="195">
        <v>-492.52000000000004</v>
      </c>
      <c r="BM32" s="195">
        <v>-2515.37</v>
      </c>
      <c r="BN32" s="195">
        <v>-70.36</v>
      </c>
      <c r="BO32" s="195">
        <v>53239</v>
      </c>
      <c r="BP32" s="195">
        <v>-34514.50070757284</v>
      </c>
      <c r="BQ32" s="195">
        <v>-150341.73</v>
      </c>
      <c r="BR32" s="195">
        <v>83056.90863813274</v>
      </c>
      <c r="BS32" s="195">
        <v>201096</v>
      </c>
      <c r="BT32" s="195">
        <v>75004</v>
      </c>
      <c r="BU32" s="195">
        <v>202131.85211242025</v>
      </c>
      <c r="BV32" s="195">
        <v>12153.77722601064</v>
      </c>
      <c r="BW32" s="195">
        <v>33334.52188881473</v>
      </c>
      <c r="BX32" s="195">
        <v>79746.42832374311</v>
      </c>
      <c r="BY32" s="195">
        <v>132875.38595823853</v>
      </c>
      <c r="BZ32" s="195">
        <v>184969.65485741253</v>
      </c>
      <c r="CA32" s="195">
        <v>56882.40983060307</v>
      </c>
      <c r="CB32" s="195">
        <v>158.31</v>
      </c>
      <c r="CC32" s="195">
        <v>-24097.162369722362</v>
      </c>
      <c r="CD32" s="195">
        <v>1090656.6264656533</v>
      </c>
      <c r="CE32" s="195">
        <v>843197.5857580805</v>
      </c>
      <c r="CF32" s="195">
        <v>0</v>
      </c>
      <c r="CG32" s="229">
        <v>1174020.6293693024</v>
      </c>
      <c r="CH32" s="195">
        <v>-420566</v>
      </c>
      <c r="CI32" s="195">
        <v>-19619.631500000003</v>
      </c>
      <c r="CJ32" s="195">
        <v>4435124.4670012845</v>
      </c>
      <c r="CL32" s="195">
        <v>1793</v>
      </c>
    </row>
    <row r="33" spans="1:90" ht="9.75">
      <c r="A33" s="195">
        <v>102</v>
      </c>
      <c r="B33" s="195" t="s">
        <v>101</v>
      </c>
      <c r="C33" s="195">
        <v>10403</v>
      </c>
      <c r="D33" s="195">
        <v>37501293.87</v>
      </c>
      <c r="E33" s="195">
        <v>12588335.284240067</v>
      </c>
      <c r="F33" s="195">
        <v>1950911.6110543741</v>
      </c>
      <c r="G33" s="195">
        <v>52040540.76529444</v>
      </c>
      <c r="H33" s="195">
        <v>3540.31</v>
      </c>
      <c r="I33" s="195">
        <v>36829844.93</v>
      </c>
      <c r="J33" s="195">
        <v>15210695.83529444</v>
      </c>
      <c r="K33" s="195">
        <v>389141.4334798485</v>
      </c>
      <c r="L33" s="195">
        <v>2821826.542436187</v>
      </c>
      <c r="M33" s="195">
        <v>0</v>
      </c>
      <c r="N33" s="195">
        <v>18421663.811210476</v>
      </c>
      <c r="O33" s="195">
        <v>7077350.220714145</v>
      </c>
      <c r="P33" s="195">
        <v>25499014.03192462</v>
      </c>
      <c r="Q33" s="195">
        <v>601</v>
      </c>
      <c r="R33" s="195">
        <v>102</v>
      </c>
      <c r="S33" s="195">
        <v>624</v>
      </c>
      <c r="T33" s="195">
        <v>324</v>
      </c>
      <c r="U33" s="195">
        <v>345</v>
      </c>
      <c r="V33" s="195">
        <v>5625</v>
      </c>
      <c r="W33" s="195">
        <v>1433</v>
      </c>
      <c r="X33" s="195">
        <v>929</v>
      </c>
      <c r="Y33" s="195">
        <v>420</v>
      </c>
      <c r="Z33" s="195">
        <v>13</v>
      </c>
      <c r="AA33" s="195">
        <v>0</v>
      </c>
      <c r="AB33" s="195">
        <v>10044</v>
      </c>
      <c r="AC33" s="195">
        <v>346</v>
      </c>
      <c r="AD33" s="195">
        <v>2782</v>
      </c>
      <c r="AE33" s="195">
        <v>1.0653130579248755</v>
      </c>
      <c r="AF33" s="195">
        <v>12588335.284240067</v>
      </c>
      <c r="AG33" s="195">
        <v>15371232.447707117</v>
      </c>
      <c r="AH33" s="195">
        <v>3724391.1657988704</v>
      </c>
      <c r="AI33" s="195">
        <v>1810585.5417619303</v>
      </c>
      <c r="AJ33" s="195">
        <v>429</v>
      </c>
      <c r="AK33" s="195">
        <v>4706</v>
      </c>
      <c r="AL33" s="195">
        <v>0.6865685995561914</v>
      </c>
      <c r="AM33" s="195">
        <v>346</v>
      </c>
      <c r="AN33" s="195">
        <v>0.033259636643275976</v>
      </c>
      <c r="AO33" s="195">
        <v>0.029291382675022008</v>
      </c>
      <c r="AP33" s="195">
        <v>0</v>
      </c>
      <c r="AQ33" s="195">
        <v>13</v>
      </c>
      <c r="AR33" s="195">
        <v>0</v>
      </c>
      <c r="AS33" s="195">
        <v>0</v>
      </c>
      <c r="AT33" s="195">
        <v>0</v>
      </c>
      <c r="AU33" s="195">
        <v>532.63</v>
      </c>
      <c r="AV33" s="195">
        <v>19.531382010025723</v>
      </c>
      <c r="AW33" s="195">
        <v>0.9269858681841789</v>
      </c>
      <c r="AX33" s="195">
        <v>471</v>
      </c>
      <c r="AY33" s="195">
        <v>3032</v>
      </c>
      <c r="AZ33" s="195">
        <v>0.1553430079155673</v>
      </c>
      <c r="BA33" s="195">
        <v>0.09032020771289882</v>
      </c>
      <c r="BB33" s="195">
        <v>0</v>
      </c>
      <c r="BC33" s="195">
        <v>4326</v>
      </c>
      <c r="BD33" s="195">
        <v>4226</v>
      </c>
      <c r="BE33" s="195">
        <v>1.023663038334122</v>
      </c>
      <c r="BF33" s="195">
        <v>0.592721520291816</v>
      </c>
      <c r="BG33" s="195">
        <v>0</v>
      </c>
      <c r="BH33" s="195">
        <v>0</v>
      </c>
      <c r="BI33" s="195">
        <v>0</v>
      </c>
      <c r="BJ33" s="195">
        <v>-2496.72</v>
      </c>
      <c r="BK33" s="195">
        <v>-42652.299999999996</v>
      </c>
      <c r="BL33" s="195">
        <v>-2912.84</v>
      </c>
      <c r="BM33" s="195">
        <v>-14876.289999999999</v>
      </c>
      <c r="BN33" s="195">
        <v>-416.12</v>
      </c>
      <c r="BO33" s="195">
        <v>10018</v>
      </c>
      <c r="BP33" s="195">
        <v>-342143.74614463514</v>
      </c>
      <c r="BQ33" s="195">
        <v>-889144.41</v>
      </c>
      <c r="BR33" s="195">
        <v>66100.35522380471</v>
      </c>
      <c r="BS33" s="195">
        <v>957097</v>
      </c>
      <c r="BT33" s="195">
        <v>307625</v>
      </c>
      <c r="BU33" s="195">
        <v>775785.650171192</v>
      </c>
      <c r="BV33" s="195">
        <v>36395.60139388675</v>
      </c>
      <c r="BW33" s="195">
        <v>60999.028802497414</v>
      </c>
      <c r="BX33" s="195">
        <v>342628.85533858417</v>
      </c>
      <c r="BY33" s="195">
        <v>602833.9381420163</v>
      </c>
      <c r="BZ33" s="195">
        <v>951555.9253372285</v>
      </c>
      <c r="CA33" s="195">
        <v>314270.9060021146</v>
      </c>
      <c r="CB33" s="195">
        <v>936.27</v>
      </c>
      <c r="CC33" s="195">
        <v>-3513.2418305016763</v>
      </c>
      <c r="CD33" s="195">
        <v>4423357.468580822</v>
      </c>
      <c r="CE33" s="195">
        <v>2821826.542436187</v>
      </c>
      <c r="CF33" s="195">
        <v>0</v>
      </c>
      <c r="CG33" s="229">
        <v>7077350.220714145</v>
      </c>
      <c r="CH33" s="195">
        <v>349641</v>
      </c>
      <c r="CI33" s="195">
        <v>262655.3724</v>
      </c>
      <c r="CJ33" s="195">
        <v>25848655.03192462</v>
      </c>
      <c r="CL33" s="195">
        <v>10473</v>
      </c>
    </row>
    <row r="34" spans="1:90" ht="9.75">
      <c r="A34" s="195">
        <v>103</v>
      </c>
      <c r="B34" s="195" t="s">
        <v>102</v>
      </c>
      <c r="C34" s="195">
        <v>2345</v>
      </c>
      <c r="D34" s="195">
        <v>8398800.92</v>
      </c>
      <c r="E34" s="195">
        <v>2861196.3629335384</v>
      </c>
      <c r="F34" s="195">
        <v>438245.8343001071</v>
      </c>
      <c r="G34" s="195">
        <v>11698243.117233645</v>
      </c>
      <c r="H34" s="195">
        <v>3540.31</v>
      </c>
      <c r="I34" s="195">
        <v>8302026.95</v>
      </c>
      <c r="J34" s="195">
        <v>3396216.167233645</v>
      </c>
      <c r="K34" s="195">
        <v>35867.114252781226</v>
      </c>
      <c r="L34" s="195">
        <v>764266.151446589</v>
      </c>
      <c r="M34" s="195">
        <v>0</v>
      </c>
      <c r="N34" s="195">
        <v>4196349.432933015</v>
      </c>
      <c r="O34" s="195">
        <v>1918419.3797172087</v>
      </c>
      <c r="P34" s="195">
        <v>6114768.812650223</v>
      </c>
      <c r="Q34" s="195">
        <v>117</v>
      </c>
      <c r="R34" s="195">
        <v>14</v>
      </c>
      <c r="S34" s="195">
        <v>162</v>
      </c>
      <c r="T34" s="195">
        <v>89</v>
      </c>
      <c r="U34" s="195">
        <v>83</v>
      </c>
      <c r="V34" s="195">
        <v>1285</v>
      </c>
      <c r="W34" s="195">
        <v>328</v>
      </c>
      <c r="X34" s="195">
        <v>174</v>
      </c>
      <c r="Y34" s="195">
        <v>93</v>
      </c>
      <c r="Z34" s="195">
        <v>8</v>
      </c>
      <c r="AA34" s="195">
        <v>0</v>
      </c>
      <c r="AB34" s="195">
        <v>2301</v>
      </c>
      <c r="AC34" s="195">
        <v>36</v>
      </c>
      <c r="AD34" s="195">
        <v>595</v>
      </c>
      <c r="AE34" s="195">
        <v>1.0741683811510834</v>
      </c>
      <c r="AF34" s="195">
        <v>2861196.3629335384</v>
      </c>
      <c r="AG34" s="195">
        <v>3485131.477614597</v>
      </c>
      <c r="AH34" s="195">
        <v>817529.0313075437</v>
      </c>
      <c r="AI34" s="195">
        <v>392442.18639174855</v>
      </c>
      <c r="AJ34" s="195">
        <v>145</v>
      </c>
      <c r="AK34" s="195">
        <v>1121</v>
      </c>
      <c r="AL34" s="195">
        <v>0.9741839210311272</v>
      </c>
      <c r="AM34" s="195">
        <v>36</v>
      </c>
      <c r="AN34" s="195">
        <v>0.01535181236673774</v>
      </c>
      <c r="AO34" s="195">
        <v>0.011383558398483772</v>
      </c>
      <c r="AP34" s="195">
        <v>0</v>
      </c>
      <c r="AQ34" s="195">
        <v>8</v>
      </c>
      <c r="AR34" s="195">
        <v>0</v>
      </c>
      <c r="AS34" s="195">
        <v>0</v>
      </c>
      <c r="AT34" s="195">
        <v>0</v>
      </c>
      <c r="AU34" s="195">
        <v>147.96</v>
      </c>
      <c r="AV34" s="195">
        <v>15.848878075155447</v>
      </c>
      <c r="AW34" s="195">
        <v>1.1423720356447358</v>
      </c>
      <c r="AX34" s="195">
        <v>112</v>
      </c>
      <c r="AY34" s="195">
        <v>722</v>
      </c>
      <c r="AZ34" s="195">
        <v>0.15512465373961218</v>
      </c>
      <c r="BA34" s="195">
        <v>0.09010185353694371</v>
      </c>
      <c r="BB34" s="195">
        <v>0</v>
      </c>
      <c r="BC34" s="195">
        <v>643</v>
      </c>
      <c r="BD34" s="195">
        <v>955</v>
      </c>
      <c r="BE34" s="195">
        <v>0.6732984293193718</v>
      </c>
      <c r="BF34" s="195">
        <v>0.2423569112770657</v>
      </c>
      <c r="BG34" s="195">
        <v>0</v>
      </c>
      <c r="BH34" s="195">
        <v>0</v>
      </c>
      <c r="BI34" s="195">
        <v>0</v>
      </c>
      <c r="BJ34" s="195">
        <v>-562.8</v>
      </c>
      <c r="BK34" s="195">
        <v>-9614.5</v>
      </c>
      <c r="BL34" s="195">
        <v>-656.6</v>
      </c>
      <c r="BM34" s="195">
        <v>-3353.35</v>
      </c>
      <c r="BN34" s="195">
        <v>-93.8</v>
      </c>
      <c r="BO34" s="195">
        <v>-12271</v>
      </c>
      <c r="BP34" s="195">
        <v>-50021.01551822151</v>
      </c>
      <c r="BQ34" s="195">
        <v>-200427.15</v>
      </c>
      <c r="BR34" s="195">
        <v>46918.21716419887</v>
      </c>
      <c r="BS34" s="195">
        <v>237213</v>
      </c>
      <c r="BT34" s="195">
        <v>76959</v>
      </c>
      <c r="BU34" s="195">
        <v>185381.41894099</v>
      </c>
      <c r="BV34" s="195">
        <v>8896.713697212512</v>
      </c>
      <c r="BW34" s="195">
        <v>23020.65466639808</v>
      </c>
      <c r="BX34" s="195">
        <v>81482.30875896385</v>
      </c>
      <c r="BY34" s="195">
        <v>137785.34401540196</v>
      </c>
      <c r="BZ34" s="195">
        <v>228247.47389965283</v>
      </c>
      <c r="CA34" s="195">
        <v>70429.6451136742</v>
      </c>
      <c r="CB34" s="195">
        <v>211.04999999999998</v>
      </c>
      <c r="CC34" s="195">
        <v>13758.340708318348</v>
      </c>
      <c r="CD34" s="195">
        <v>1098172.8669648105</v>
      </c>
      <c r="CE34" s="195">
        <v>764266.151446589</v>
      </c>
      <c r="CF34" s="195">
        <v>0</v>
      </c>
      <c r="CG34" s="229">
        <v>1918419.3797172087</v>
      </c>
      <c r="CH34" s="195">
        <v>-410097</v>
      </c>
      <c r="CI34" s="195">
        <v>-16999.33520000001</v>
      </c>
      <c r="CJ34" s="195">
        <v>5704671.812650223</v>
      </c>
      <c r="CL34" s="195">
        <v>2388</v>
      </c>
    </row>
    <row r="35" spans="1:90" ht="9.75">
      <c r="A35" s="195">
        <v>105</v>
      </c>
      <c r="B35" s="195" t="s">
        <v>103</v>
      </c>
      <c r="C35" s="195">
        <v>2406</v>
      </c>
      <c r="D35" s="195">
        <v>8472840.639999999</v>
      </c>
      <c r="E35" s="195">
        <v>5033904.388058976</v>
      </c>
      <c r="F35" s="195">
        <v>1372832.006022488</v>
      </c>
      <c r="G35" s="195">
        <v>14879577.034081465</v>
      </c>
      <c r="H35" s="195">
        <v>3540.31</v>
      </c>
      <c r="I35" s="195">
        <v>8517985.86</v>
      </c>
      <c r="J35" s="195">
        <v>6361591.174081465</v>
      </c>
      <c r="K35" s="195">
        <v>2313412.951053684</v>
      </c>
      <c r="L35" s="195">
        <v>919088.7329325302</v>
      </c>
      <c r="M35" s="195">
        <v>0</v>
      </c>
      <c r="N35" s="195">
        <v>9594092.85806768</v>
      </c>
      <c r="O35" s="195">
        <v>2078217.8438105749</v>
      </c>
      <c r="P35" s="195">
        <v>11672310.701878255</v>
      </c>
      <c r="Q35" s="195">
        <v>89</v>
      </c>
      <c r="R35" s="195">
        <v>10</v>
      </c>
      <c r="S35" s="195">
        <v>93</v>
      </c>
      <c r="T35" s="195">
        <v>66</v>
      </c>
      <c r="U35" s="195">
        <v>51</v>
      </c>
      <c r="V35" s="195">
        <v>1240</v>
      </c>
      <c r="W35" s="195">
        <v>451</v>
      </c>
      <c r="X35" s="195">
        <v>292</v>
      </c>
      <c r="Y35" s="195">
        <v>114</v>
      </c>
      <c r="Z35" s="195">
        <v>2</v>
      </c>
      <c r="AA35" s="195">
        <v>0</v>
      </c>
      <c r="AB35" s="195">
        <v>2374</v>
      </c>
      <c r="AC35" s="195">
        <v>30</v>
      </c>
      <c r="AD35" s="195">
        <v>857</v>
      </c>
      <c r="AE35" s="195">
        <v>1.8419459693998794</v>
      </c>
      <c r="AF35" s="195">
        <v>5033904.388058976</v>
      </c>
      <c r="AG35" s="195">
        <v>6072911.973734254</v>
      </c>
      <c r="AH35" s="195">
        <v>1503583.2128608648</v>
      </c>
      <c r="AI35" s="195">
        <v>642178.1231864974</v>
      </c>
      <c r="AJ35" s="195">
        <v>176</v>
      </c>
      <c r="AK35" s="195">
        <v>994</v>
      </c>
      <c r="AL35" s="195">
        <v>1.3335363275082026</v>
      </c>
      <c r="AM35" s="195">
        <v>30</v>
      </c>
      <c r="AN35" s="195">
        <v>0.012468827930174564</v>
      </c>
      <c r="AO35" s="195">
        <v>0.008500573961920596</v>
      </c>
      <c r="AP35" s="195">
        <v>0</v>
      </c>
      <c r="AQ35" s="195">
        <v>2</v>
      </c>
      <c r="AR35" s="195">
        <v>0</v>
      </c>
      <c r="AS35" s="195">
        <v>0</v>
      </c>
      <c r="AT35" s="195">
        <v>0</v>
      </c>
      <c r="AU35" s="195">
        <v>1421.01</v>
      </c>
      <c r="AV35" s="195">
        <v>1.69316190596829</v>
      </c>
      <c r="AW35" s="195">
        <v>10.693197765423639</v>
      </c>
      <c r="AX35" s="195">
        <v>75</v>
      </c>
      <c r="AY35" s="195">
        <v>576</v>
      </c>
      <c r="AZ35" s="195">
        <v>0.13020833333333334</v>
      </c>
      <c r="BA35" s="195">
        <v>0.06518553313066487</v>
      </c>
      <c r="BB35" s="195">
        <v>1.503033</v>
      </c>
      <c r="BC35" s="195">
        <v>625</v>
      </c>
      <c r="BD35" s="195">
        <v>772</v>
      </c>
      <c r="BE35" s="195">
        <v>0.8095854922279793</v>
      </c>
      <c r="BF35" s="195">
        <v>0.3786439741856732</v>
      </c>
      <c r="BG35" s="195">
        <v>0</v>
      </c>
      <c r="BH35" s="195">
        <v>0</v>
      </c>
      <c r="BI35" s="195">
        <v>0</v>
      </c>
      <c r="BJ35" s="195">
        <v>-577.4399999999999</v>
      </c>
      <c r="BK35" s="195">
        <v>-9864.599999999999</v>
      </c>
      <c r="BL35" s="195">
        <v>-673.6800000000001</v>
      </c>
      <c r="BM35" s="195">
        <v>-3440.58</v>
      </c>
      <c r="BN35" s="195">
        <v>-96.24000000000001</v>
      </c>
      <c r="BO35" s="195">
        <v>22819</v>
      </c>
      <c r="BP35" s="195">
        <v>-75031.52327733226</v>
      </c>
      <c r="BQ35" s="195">
        <v>-205640.82</v>
      </c>
      <c r="BR35" s="195">
        <v>133478.1041463446</v>
      </c>
      <c r="BS35" s="195">
        <v>279305</v>
      </c>
      <c r="BT35" s="195">
        <v>81640</v>
      </c>
      <c r="BU35" s="195">
        <v>204901.33930158522</v>
      </c>
      <c r="BV35" s="195">
        <v>13280.894779769194</v>
      </c>
      <c r="BW35" s="195">
        <v>45938.39271567553</v>
      </c>
      <c r="BX35" s="195">
        <v>110928.5401283251</v>
      </c>
      <c r="BY35" s="195">
        <v>130583.63289368991</v>
      </c>
      <c r="BZ35" s="195">
        <v>213796.88144553293</v>
      </c>
      <c r="CA35" s="195">
        <v>63385.7070715081</v>
      </c>
      <c r="CB35" s="195">
        <v>216.54</v>
      </c>
      <c r="CC35" s="195">
        <v>-15027.77627256823</v>
      </c>
      <c r="CD35" s="195">
        <v>1285390.6162098625</v>
      </c>
      <c r="CE35" s="195">
        <v>919088.7329325302</v>
      </c>
      <c r="CF35" s="195">
        <v>0</v>
      </c>
      <c r="CG35" s="229">
        <v>2078217.8438105749</v>
      </c>
      <c r="CH35" s="195">
        <v>-449688</v>
      </c>
      <c r="CI35" s="195">
        <v>-7821.780000000006</v>
      </c>
      <c r="CJ35" s="195">
        <v>11222622.701878255</v>
      </c>
      <c r="CL35" s="195">
        <v>2422</v>
      </c>
    </row>
    <row r="36" spans="1:90" ht="9.75">
      <c r="A36" s="195">
        <v>106</v>
      </c>
      <c r="B36" s="195" t="s">
        <v>104</v>
      </c>
      <c r="C36" s="195">
        <v>46596</v>
      </c>
      <c r="D36" s="195">
        <v>153188661.65</v>
      </c>
      <c r="E36" s="195">
        <v>52378582.5274224</v>
      </c>
      <c r="F36" s="195">
        <v>9653910.25025274</v>
      </c>
      <c r="G36" s="195">
        <v>215221154.42767516</v>
      </c>
      <c r="H36" s="195">
        <v>3540.31</v>
      </c>
      <c r="I36" s="195">
        <v>164964284.76</v>
      </c>
      <c r="J36" s="195">
        <v>50256869.66767517</v>
      </c>
      <c r="K36" s="195">
        <v>1472154.0555964836</v>
      </c>
      <c r="L36" s="195">
        <v>5889518.121605339</v>
      </c>
      <c r="M36" s="195">
        <v>0</v>
      </c>
      <c r="N36" s="195">
        <v>57618541.84487699</v>
      </c>
      <c r="O36" s="195">
        <v>-4188355.35213584</v>
      </c>
      <c r="P36" s="195">
        <v>53430186.49274115</v>
      </c>
      <c r="Q36" s="195">
        <v>2779</v>
      </c>
      <c r="R36" s="195">
        <v>503</v>
      </c>
      <c r="S36" s="195">
        <v>3234</v>
      </c>
      <c r="T36" s="195">
        <v>1545</v>
      </c>
      <c r="U36" s="195">
        <v>1605</v>
      </c>
      <c r="V36" s="195">
        <v>27484</v>
      </c>
      <c r="W36" s="195">
        <v>5384</v>
      </c>
      <c r="X36" s="195">
        <v>2908</v>
      </c>
      <c r="Y36" s="195">
        <v>1154</v>
      </c>
      <c r="Z36" s="195">
        <v>389</v>
      </c>
      <c r="AA36" s="195">
        <v>0</v>
      </c>
      <c r="AB36" s="195">
        <v>43774</v>
      </c>
      <c r="AC36" s="195">
        <v>2433</v>
      </c>
      <c r="AD36" s="195">
        <v>9446</v>
      </c>
      <c r="AE36" s="195">
        <v>0.9896295437922401</v>
      </c>
      <c r="AF36" s="195">
        <v>52378582.5274224</v>
      </c>
      <c r="AG36" s="195">
        <v>64185969.460901186</v>
      </c>
      <c r="AH36" s="195">
        <v>15169495.710075196</v>
      </c>
      <c r="AI36" s="195">
        <v>6662598.028059912</v>
      </c>
      <c r="AJ36" s="195">
        <v>2573</v>
      </c>
      <c r="AK36" s="195">
        <v>23041</v>
      </c>
      <c r="AL36" s="195">
        <v>0.8410407329361825</v>
      </c>
      <c r="AM36" s="195">
        <v>2433</v>
      </c>
      <c r="AN36" s="195">
        <v>0.052214782384754056</v>
      </c>
      <c r="AO36" s="195">
        <v>0.04824652841650009</v>
      </c>
      <c r="AP36" s="195">
        <v>0</v>
      </c>
      <c r="AQ36" s="195">
        <v>389</v>
      </c>
      <c r="AR36" s="195">
        <v>0</v>
      </c>
      <c r="AS36" s="195">
        <v>0</v>
      </c>
      <c r="AT36" s="195">
        <v>0</v>
      </c>
      <c r="AU36" s="195">
        <v>322.66</v>
      </c>
      <c r="AV36" s="195">
        <v>144.4120746296411</v>
      </c>
      <c r="AW36" s="195">
        <v>0.12537258505449356</v>
      </c>
      <c r="AX36" s="195">
        <v>2368</v>
      </c>
      <c r="AY36" s="195">
        <v>15094</v>
      </c>
      <c r="AZ36" s="195">
        <v>0.15688352987942228</v>
      </c>
      <c r="BA36" s="195">
        <v>0.09186072967675381</v>
      </c>
      <c r="BB36" s="195">
        <v>0</v>
      </c>
      <c r="BC36" s="195">
        <v>18906</v>
      </c>
      <c r="BD36" s="195">
        <v>20295</v>
      </c>
      <c r="BE36" s="195">
        <v>0.9315594974131559</v>
      </c>
      <c r="BF36" s="195">
        <v>0.5006179793708498</v>
      </c>
      <c r="BG36" s="195">
        <v>0</v>
      </c>
      <c r="BH36" s="195">
        <v>0</v>
      </c>
      <c r="BI36" s="195">
        <v>0</v>
      </c>
      <c r="BJ36" s="195">
        <v>-11183.039999999999</v>
      </c>
      <c r="BK36" s="195">
        <v>-191043.59999999998</v>
      </c>
      <c r="BL36" s="195">
        <v>-13046.880000000001</v>
      </c>
      <c r="BM36" s="195">
        <v>-66632.28</v>
      </c>
      <c r="BN36" s="195">
        <v>-1863.8400000000001</v>
      </c>
      <c r="BO36" s="195">
        <v>763367</v>
      </c>
      <c r="BP36" s="195">
        <v>-2589087.7632231456</v>
      </c>
      <c r="BQ36" s="195">
        <v>-3982560.12</v>
      </c>
      <c r="BR36" s="195">
        <v>-44193.19768912345</v>
      </c>
      <c r="BS36" s="195">
        <v>2890456</v>
      </c>
      <c r="BT36" s="195">
        <v>981270</v>
      </c>
      <c r="BU36" s="195">
        <v>2082748.6046677604</v>
      </c>
      <c r="BV36" s="195">
        <v>51781.00130433286</v>
      </c>
      <c r="BW36" s="195">
        <v>167661.500230224</v>
      </c>
      <c r="BX36" s="195">
        <v>857276.2194981568</v>
      </c>
      <c r="BY36" s="195">
        <v>2081020.026385405</v>
      </c>
      <c r="BZ36" s="195">
        <v>3226311.8016826194</v>
      </c>
      <c r="CA36" s="195">
        <v>1118959.2222790888</v>
      </c>
      <c r="CB36" s="195">
        <v>4193.639999999999</v>
      </c>
      <c r="CC36" s="195">
        <v>-64129.93352997792</v>
      </c>
      <c r="CD36" s="195">
        <v>14119517.644828485</v>
      </c>
      <c r="CE36" s="195">
        <v>5889518.121605339</v>
      </c>
      <c r="CF36" s="195">
        <v>0</v>
      </c>
      <c r="CG36" s="229">
        <v>-4188355.35213584</v>
      </c>
      <c r="CH36" s="195">
        <v>-1755714</v>
      </c>
      <c r="CI36" s="195">
        <v>32121.443200000096</v>
      </c>
      <c r="CJ36" s="195">
        <v>51674472.49274115</v>
      </c>
      <c r="CL36" s="195">
        <v>46463</v>
      </c>
    </row>
    <row r="37" spans="1:90" ht="9.75">
      <c r="A37" s="195">
        <v>108</v>
      </c>
      <c r="B37" s="195" t="s">
        <v>105</v>
      </c>
      <c r="C37" s="195">
        <v>10681</v>
      </c>
      <c r="D37" s="195">
        <v>38308538.400000006</v>
      </c>
      <c r="E37" s="195">
        <v>12060114.085431727</v>
      </c>
      <c r="F37" s="195">
        <v>1775133.6143704178</v>
      </c>
      <c r="G37" s="195">
        <v>52143786.09980215</v>
      </c>
      <c r="H37" s="195">
        <v>3540.31</v>
      </c>
      <c r="I37" s="195">
        <v>37814051.11</v>
      </c>
      <c r="J37" s="195">
        <v>14329734.989802152</v>
      </c>
      <c r="K37" s="195">
        <v>177464.07852979776</v>
      </c>
      <c r="L37" s="195">
        <v>2188304.707327636</v>
      </c>
      <c r="M37" s="195">
        <v>0</v>
      </c>
      <c r="N37" s="195">
        <v>16695503.775659585</v>
      </c>
      <c r="O37" s="195">
        <v>5962451.783859048</v>
      </c>
      <c r="P37" s="195">
        <v>22657955.559518635</v>
      </c>
      <c r="Q37" s="195">
        <v>743</v>
      </c>
      <c r="R37" s="195">
        <v>117</v>
      </c>
      <c r="S37" s="195">
        <v>773</v>
      </c>
      <c r="T37" s="195">
        <v>421</v>
      </c>
      <c r="U37" s="195">
        <v>411</v>
      </c>
      <c r="V37" s="195">
        <v>5871</v>
      </c>
      <c r="W37" s="195">
        <v>1294</v>
      </c>
      <c r="X37" s="195">
        <v>733</v>
      </c>
      <c r="Y37" s="195">
        <v>318</v>
      </c>
      <c r="Z37" s="195">
        <v>15</v>
      </c>
      <c r="AA37" s="195">
        <v>0</v>
      </c>
      <c r="AB37" s="195">
        <v>10479</v>
      </c>
      <c r="AC37" s="195">
        <v>187</v>
      </c>
      <c r="AD37" s="195">
        <v>2345</v>
      </c>
      <c r="AE37" s="195">
        <v>0.9940472960189262</v>
      </c>
      <c r="AF37" s="195">
        <v>12060114.085431727</v>
      </c>
      <c r="AG37" s="195">
        <v>15554105.705533868</v>
      </c>
      <c r="AH37" s="195">
        <v>2839841.6599897477</v>
      </c>
      <c r="AI37" s="195">
        <v>1980049.213158367</v>
      </c>
      <c r="AJ37" s="195">
        <v>619</v>
      </c>
      <c r="AK37" s="195">
        <v>4900</v>
      </c>
      <c r="AL37" s="195">
        <v>0.9514218840528895</v>
      </c>
      <c r="AM37" s="195">
        <v>187</v>
      </c>
      <c r="AN37" s="195">
        <v>0.017507723995880537</v>
      </c>
      <c r="AO37" s="195">
        <v>0.013539470027626569</v>
      </c>
      <c r="AP37" s="195">
        <v>0</v>
      </c>
      <c r="AQ37" s="195">
        <v>15</v>
      </c>
      <c r="AR37" s="195">
        <v>0</v>
      </c>
      <c r="AS37" s="195">
        <v>0</v>
      </c>
      <c r="AT37" s="195">
        <v>0</v>
      </c>
      <c r="AU37" s="195">
        <v>463.84</v>
      </c>
      <c r="AV37" s="195">
        <v>23.027337012763024</v>
      </c>
      <c r="AW37" s="195">
        <v>0.786253099929253</v>
      </c>
      <c r="AX37" s="195">
        <v>457</v>
      </c>
      <c r="AY37" s="195">
        <v>3467</v>
      </c>
      <c r="AZ37" s="195">
        <v>0.13181424862993943</v>
      </c>
      <c r="BA37" s="195">
        <v>0.06679144842727096</v>
      </c>
      <c r="BB37" s="195">
        <v>0</v>
      </c>
      <c r="BC37" s="195">
        <v>2890</v>
      </c>
      <c r="BD37" s="195">
        <v>4163</v>
      </c>
      <c r="BE37" s="195">
        <v>0.6942109055969253</v>
      </c>
      <c r="BF37" s="195">
        <v>0.26326938755461926</v>
      </c>
      <c r="BG37" s="195">
        <v>0</v>
      </c>
      <c r="BH37" s="195">
        <v>0</v>
      </c>
      <c r="BI37" s="195">
        <v>0</v>
      </c>
      <c r="BJ37" s="195">
        <v>-2563.44</v>
      </c>
      <c r="BK37" s="195">
        <v>-43792.1</v>
      </c>
      <c r="BL37" s="195">
        <v>-2990.6800000000003</v>
      </c>
      <c r="BM37" s="195">
        <v>-15273.83</v>
      </c>
      <c r="BN37" s="195">
        <v>-427.24</v>
      </c>
      <c r="BO37" s="195">
        <v>-12046</v>
      </c>
      <c r="BP37" s="195">
        <v>-337141.644592813</v>
      </c>
      <c r="BQ37" s="195">
        <v>-912905.07</v>
      </c>
      <c r="BR37" s="195">
        <v>188528.23985093832</v>
      </c>
      <c r="BS37" s="195">
        <v>826508</v>
      </c>
      <c r="BT37" s="195">
        <v>260391</v>
      </c>
      <c r="BU37" s="195">
        <v>579739.51677479</v>
      </c>
      <c r="BV37" s="195">
        <v>24385.922358569595</v>
      </c>
      <c r="BW37" s="195">
        <v>9854.673982785083</v>
      </c>
      <c r="BX37" s="195">
        <v>253279.334823059</v>
      </c>
      <c r="BY37" s="195">
        <v>538688.7448554161</v>
      </c>
      <c r="BZ37" s="195">
        <v>854332.1991434924</v>
      </c>
      <c r="CA37" s="195">
        <v>264535.7467755722</v>
      </c>
      <c r="CB37" s="195">
        <v>961.29</v>
      </c>
      <c r="CC37" s="195">
        <v>28688.68335582692</v>
      </c>
      <c r="CD37" s="195">
        <v>3818488.211920449</v>
      </c>
      <c r="CE37" s="195">
        <v>2188304.707327636</v>
      </c>
      <c r="CF37" s="195">
        <v>0</v>
      </c>
      <c r="CG37" s="229">
        <v>5962451.783859048</v>
      </c>
      <c r="CH37" s="195">
        <v>-1127620</v>
      </c>
      <c r="CI37" s="195">
        <v>-75845.19339999993</v>
      </c>
      <c r="CJ37" s="195">
        <v>21530335.559518635</v>
      </c>
      <c r="CL37" s="195">
        <v>10667</v>
      </c>
    </row>
    <row r="38" spans="1:90" ht="9.75">
      <c r="A38" s="195">
        <v>109</v>
      </c>
      <c r="B38" s="195" t="s">
        <v>106</v>
      </c>
      <c r="C38" s="195">
        <v>67850</v>
      </c>
      <c r="D38" s="195">
        <v>231988451.68</v>
      </c>
      <c r="E38" s="195">
        <v>77103244.85436623</v>
      </c>
      <c r="F38" s="195">
        <v>14434828.448330214</v>
      </c>
      <c r="G38" s="195">
        <v>323526524.9826965</v>
      </c>
      <c r="H38" s="195">
        <v>3540.31</v>
      </c>
      <c r="I38" s="195">
        <v>240210033.5</v>
      </c>
      <c r="J38" s="195">
        <v>83316491.48269647</v>
      </c>
      <c r="K38" s="195">
        <v>2601356.0127638504</v>
      </c>
      <c r="L38" s="195">
        <v>8951267.122429274</v>
      </c>
      <c r="M38" s="195">
        <v>0</v>
      </c>
      <c r="N38" s="195">
        <v>94869114.61788961</v>
      </c>
      <c r="O38" s="195">
        <v>8118038.002013629</v>
      </c>
      <c r="P38" s="195">
        <v>102987152.61990324</v>
      </c>
      <c r="Q38" s="195">
        <v>3959</v>
      </c>
      <c r="R38" s="195">
        <v>681</v>
      </c>
      <c r="S38" s="195">
        <v>4287</v>
      </c>
      <c r="T38" s="195">
        <v>2041</v>
      </c>
      <c r="U38" s="195">
        <v>2233</v>
      </c>
      <c r="V38" s="195">
        <v>38323</v>
      </c>
      <c r="W38" s="195">
        <v>8978</v>
      </c>
      <c r="X38" s="195">
        <v>5096</v>
      </c>
      <c r="Y38" s="195">
        <v>2252</v>
      </c>
      <c r="Z38" s="195">
        <v>245</v>
      </c>
      <c r="AA38" s="195">
        <v>7</v>
      </c>
      <c r="AB38" s="195">
        <v>64321</v>
      </c>
      <c r="AC38" s="195">
        <v>3277</v>
      </c>
      <c r="AD38" s="195">
        <v>16326</v>
      </c>
      <c r="AE38" s="195">
        <v>1.0004383948615057</v>
      </c>
      <c r="AF38" s="195">
        <v>77103244.85436623</v>
      </c>
      <c r="AG38" s="195">
        <v>96167446.10731108</v>
      </c>
      <c r="AH38" s="195">
        <v>22480123.78652075</v>
      </c>
      <c r="AI38" s="195">
        <v>10221335.127385084</v>
      </c>
      <c r="AJ38" s="195">
        <v>3955</v>
      </c>
      <c r="AK38" s="195">
        <v>32105</v>
      </c>
      <c r="AL38" s="195">
        <v>0.927795755093934</v>
      </c>
      <c r="AM38" s="195">
        <v>3277</v>
      </c>
      <c r="AN38" s="195">
        <v>0.04829771554900516</v>
      </c>
      <c r="AO38" s="195">
        <v>0.04432946158075119</v>
      </c>
      <c r="AP38" s="195">
        <v>0</v>
      </c>
      <c r="AQ38" s="195">
        <v>245</v>
      </c>
      <c r="AR38" s="195">
        <v>7</v>
      </c>
      <c r="AS38" s="195">
        <v>0</v>
      </c>
      <c r="AT38" s="195">
        <v>0</v>
      </c>
      <c r="AU38" s="195">
        <v>1785.03</v>
      </c>
      <c r="AV38" s="195">
        <v>38.010565648756604</v>
      </c>
      <c r="AW38" s="195">
        <v>0.47632322225104295</v>
      </c>
      <c r="AX38" s="195">
        <v>2811</v>
      </c>
      <c r="AY38" s="195">
        <v>20646</v>
      </c>
      <c r="AZ38" s="195">
        <v>0.13615228131357163</v>
      </c>
      <c r="BA38" s="195">
        <v>0.07112948111090316</v>
      </c>
      <c r="BB38" s="195">
        <v>0</v>
      </c>
      <c r="BC38" s="195">
        <v>29088</v>
      </c>
      <c r="BD38" s="195">
        <v>28011</v>
      </c>
      <c r="BE38" s="195">
        <v>1.038449180679019</v>
      </c>
      <c r="BF38" s="195">
        <v>0.607507662636713</v>
      </c>
      <c r="BG38" s="195">
        <v>0</v>
      </c>
      <c r="BH38" s="195">
        <v>7</v>
      </c>
      <c r="BI38" s="195">
        <v>0</v>
      </c>
      <c r="BJ38" s="195">
        <v>-16284</v>
      </c>
      <c r="BK38" s="195">
        <v>-278185</v>
      </c>
      <c r="BL38" s="195">
        <v>-18998</v>
      </c>
      <c r="BM38" s="195">
        <v>-97025.5</v>
      </c>
      <c r="BN38" s="195">
        <v>-2714</v>
      </c>
      <c r="BO38" s="195">
        <v>56873</v>
      </c>
      <c r="BP38" s="195">
        <v>-3928650.5588011174</v>
      </c>
      <c r="BQ38" s="195">
        <v>-5799139.5</v>
      </c>
      <c r="BR38" s="195">
        <v>-768345.0770012736</v>
      </c>
      <c r="BS38" s="195">
        <v>4556748</v>
      </c>
      <c r="BT38" s="195">
        <v>1570984</v>
      </c>
      <c r="BU38" s="195">
        <v>3432285.8347071824</v>
      </c>
      <c r="BV38" s="195">
        <v>116664.23442693883</v>
      </c>
      <c r="BW38" s="195">
        <v>300048.3093346076</v>
      </c>
      <c r="BX38" s="195">
        <v>1539308.20603492</v>
      </c>
      <c r="BY38" s="195">
        <v>3208859.746508385</v>
      </c>
      <c r="BZ38" s="195">
        <v>5144768.049881162</v>
      </c>
      <c r="CA38" s="195">
        <v>1688280.0508578958</v>
      </c>
      <c r="CB38" s="195">
        <v>6106.5</v>
      </c>
      <c r="CC38" s="195">
        <v>237186.82648057723</v>
      </c>
      <c r="CD38" s="195">
        <v>21093838.681230392</v>
      </c>
      <c r="CE38" s="195">
        <v>8951267.122429274</v>
      </c>
      <c r="CF38" s="195">
        <v>0</v>
      </c>
      <c r="CG38" s="229">
        <v>8118038.002013629</v>
      </c>
      <c r="CH38" s="195">
        <v>-12184440</v>
      </c>
      <c r="CI38" s="195">
        <v>268721.16279000044</v>
      </c>
      <c r="CJ38" s="195">
        <v>90802712.61990324</v>
      </c>
      <c r="CL38" s="195">
        <v>68011</v>
      </c>
    </row>
    <row r="39" spans="1:90" ht="9.75">
      <c r="A39" s="195">
        <v>139</v>
      </c>
      <c r="B39" s="195" t="s">
        <v>107</v>
      </c>
      <c r="C39" s="195">
        <v>9628</v>
      </c>
      <c r="D39" s="195">
        <v>37063683.31</v>
      </c>
      <c r="E39" s="195">
        <v>11944772.454328852</v>
      </c>
      <c r="F39" s="195">
        <v>2411972.3847314287</v>
      </c>
      <c r="G39" s="195">
        <v>51420428.14906028</v>
      </c>
      <c r="H39" s="195">
        <v>3540.31</v>
      </c>
      <c r="I39" s="195">
        <v>34086104.68</v>
      </c>
      <c r="J39" s="195">
        <v>17334323.46906028</v>
      </c>
      <c r="K39" s="195">
        <v>183350.04070412778</v>
      </c>
      <c r="L39" s="195">
        <v>1742135.671632064</v>
      </c>
      <c r="M39" s="195">
        <v>0</v>
      </c>
      <c r="N39" s="195">
        <v>19259809.18139647</v>
      </c>
      <c r="O39" s="195">
        <v>7857379.224786822</v>
      </c>
      <c r="P39" s="195">
        <v>27117188.40618329</v>
      </c>
      <c r="Q39" s="195">
        <v>850</v>
      </c>
      <c r="R39" s="195">
        <v>144</v>
      </c>
      <c r="S39" s="195">
        <v>973</v>
      </c>
      <c r="T39" s="195">
        <v>432</v>
      </c>
      <c r="U39" s="195">
        <v>378</v>
      </c>
      <c r="V39" s="195">
        <v>5013</v>
      </c>
      <c r="W39" s="195">
        <v>992</v>
      </c>
      <c r="X39" s="195">
        <v>618</v>
      </c>
      <c r="Y39" s="195">
        <v>228</v>
      </c>
      <c r="Z39" s="195">
        <v>12</v>
      </c>
      <c r="AA39" s="195">
        <v>1</v>
      </c>
      <c r="AB39" s="195">
        <v>9559</v>
      </c>
      <c r="AC39" s="195">
        <v>56</v>
      </c>
      <c r="AD39" s="195">
        <v>1838</v>
      </c>
      <c r="AE39" s="195">
        <v>1.0922180428275887</v>
      </c>
      <c r="AF39" s="195">
        <v>11944772.454328852</v>
      </c>
      <c r="AG39" s="195">
        <v>14907094.502639335</v>
      </c>
      <c r="AH39" s="195">
        <v>3192642.5699645546</v>
      </c>
      <c r="AI39" s="195">
        <v>1774908.9793626803</v>
      </c>
      <c r="AJ39" s="195">
        <v>703</v>
      </c>
      <c r="AK39" s="195">
        <v>4141</v>
      </c>
      <c r="AL39" s="195">
        <v>1.2785822237832827</v>
      </c>
      <c r="AM39" s="195">
        <v>56</v>
      </c>
      <c r="AN39" s="195">
        <v>0.005816368923971749</v>
      </c>
      <c r="AO39" s="195">
        <v>0.0018481149557177806</v>
      </c>
      <c r="AP39" s="195">
        <v>0</v>
      </c>
      <c r="AQ39" s="195">
        <v>12</v>
      </c>
      <c r="AR39" s="195">
        <v>1</v>
      </c>
      <c r="AS39" s="195">
        <v>0</v>
      </c>
      <c r="AT39" s="195">
        <v>0</v>
      </c>
      <c r="AU39" s="195">
        <v>1553.18</v>
      </c>
      <c r="AV39" s="195">
        <v>6.198895169909476</v>
      </c>
      <c r="AW39" s="195">
        <v>2.9207325842977507</v>
      </c>
      <c r="AX39" s="195">
        <v>347</v>
      </c>
      <c r="AY39" s="195">
        <v>2871</v>
      </c>
      <c r="AZ39" s="195">
        <v>0.12086381051898293</v>
      </c>
      <c r="BA39" s="195">
        <v>0.05584101031631446</v>
      </c>
      <c r="BB39" s="195">
        <v>0</v>
      </c>
      <c r="BC39" s="195">
        <v>2434</v>
      </c>
      <c r="BD39" s="195">
        <v>3322</v>
      </c>
      <c r="BE39" s="195">
        <v>0.732691149909693</v>
      </c>
      <c r="BF39" s="195">
        <v>0.3017496318673869</v>
      </c>
      <c r="BG39" s="195">
        <v>0</v>
      </c>
      <c r="BH39" s="195">
        <v>1</v>
      </c>
      <c r="BI39" s="195">
        <v>0</v>
      </c>
      <c r="BJ39" s="195">
        <v>-2310.72</v>
      </c>
      <c r="BK39" s="195">
        <v>-39474.799999999996</v>
      </c>
      <c r="BL39" s="195">
        <v>-2695.84</v>
      </c>
      <c r="BM39" s="195">
        <v>-13768.039999999999</v>
      </c>
      <c r="BN39" s="195">
        <v>-385.12</v>
      </c>
      <c r="BO39" s="195">
        <v>132064</v>
      </c>
      <c r="BP39" s="195">
        <v>-260609.49084993408</v>
      </c>
      <c r="BQ39" s="195">
        <v>-822905.16</v>
      </c>
      <c r="BR39" s="195">
        <v>-103891.53774344549</v>
      </c>
      <c r="BS39" s="195">
        <v>723887</v>
      </c>
      <c r="BT39" s="195">
        <v>216091</v>
      </c>
      <c r="BU39" s="195">
        <v>530323.5174787409</v>
      </c>
      <c r="BV39" s="195">
        <v>16076.989392230093</v>
      </c>
      <c r="BW39" s="195">
        <v>9193.438746910622</v>
      </c>
      <c r="BX39" s="195">
        <v>255264.1904055092</v>
      </c>
      <c r="BY39" s="195">
        <v>465197.09824793745</v>
      </c>
      <c r="BZ39" s="195">
        <v>685611.4068228325</v>
      </c>
      <c r="CA39" s="195">
        <v>190136.74303383127</v>
      </c>
      <c r="CB39" s="195">
        <v>866.52</v>
      </c>
      <c r="CC39" s="195">
        <v>46912.796097451865</v>
      </c>
      <c r="CD39" s="195">
        <v>3168310.8424819983</v>
      </c>
      <c r="CE39" s="195">
        <v>1742135.671632064</v>
      </c>
      <c r="CF39" s="195">
        <v>0</v>
      </c>
      <c r="CG39" s="229">
        <v>7857379.224786822</v>
      </c>
      <c r="CH39" s="195">
        <v>-275224</v>
      </c>
      <c r="CI39" s="195">
        <v>-20675.571800000005</v>
      </c>
      <c r="CJ39" s="195">
        <v>26841964.40618329</v>
      </c>
      <c r="CL39" s="195">
        <v>9663</v>
      </c>
    </row>
    <row r="40" spans="1:90" ht="9.75">
      <c r="A40" s="195">
        <v>140</v>
      </c>
      <c r="B40" s="195" t="s">
        <v>108</v>
      </c>
      <c r="C40" s="195">
        <v>21767</v>
      </c>
      <c r="D40" s="195">
        <v>73870274.72</v>
      </c>
      <c r="E40" s="195">
        <v>36903462.92855478</v>
      </c>
      <c r="F40" s="195">
        <v>4043768.653507419</v>
      </c>
      <c r="G40" s="195">
        <v>114817506.30206218</v>
      </c>
      <c r="H40" s="195">
        <v>3540.31</v>
      </c>
      <c r="I40" s="195">
        <v>77061927.77</v>
      </c>
      <c r="J40" s="195">
        <v>37755578.53206219</v>
      </c>
      <c r="K40" s="195">
        <v>1147641.6636834187</v>
      </c>
      <c r="L40" s="195">
        <v>4287799.741696028</v>
      </c>
      <c r="M40" s="195">
        <v>0</v>
      </c>
      <c r="N40" s="195">
        <v>43191019.93744164</v>
      </c>
      <c r="O40" s="195">
        <v>11385473.61947707</v>
      </c>
      <c r="P40" s="195">
        <v>54576493.55691871</v>
      </c>
      <c r="Q40" s="195">
        <v>1330</v>
      </c>
      <c r="R40" s="195">
        <v>240</v>
      </c>
      <c r="S40" s="195">
        <v>1384</v>
      </c>
      <c r="T40" s="195">
        <v>638</v>
      </c>
      <c r="U40" s="195">
        <v>700</v>
      </c>
      <c r="V40" s="195">
        <v>12328</v>
      </c>
      <c r="W40" s="195">
        <v>2868</v>
      </c>
      <c r="X40" s="195">
        <v>1601</v>
      </c>
      <c r="Y40" s="195">
        <v>678</v>
      </c>
      <c r="Z40" s="195">
        <v>5</v>
      </c>
      <c r="AA40" s="195">
        <v>2</v>
      </c>
      <c r="AB40" s="195">
        <v>21241</v>
      </c>
      <c r="AC40" s="195">
        <v>519</v>
      </c>
      <c r="AD40" s="195">
        <v>5147</v>
      </c>
      <c r="AE40" s="195">
        <v>1.4925747527071216</v>
      </c>
      <c r="AF40" s="195">
        <v>36903462.92855478</v>
      </c>
      <c r="AG40" s="195">
        <v>40201390.04983803</v>
      </c>
      <c r="AH40" s="195">
        <v>13571683.823323319</v>
      </c>
      <c r="AI40" s="195">
        <v>4138481.2383129844</v>
      </c>
      <c r="AJ40" s="195">
        <v>1512</v>
      </c>
      <c r="AK40" s="195">
        <v>10249</v>
      </c>
      <c r="AL40" s="195">
        <v>1.1110890450671729</v>
      </c>
      <c r="AM40" s="195">
        <v>519</v>
      </c>
      <c r="AN40" s="195">
        <v>0.023843432719253918</v>
      </c>
      <c r="AO40" s="195">
        <v>0.01987517875099995</v>
      </c>
      <c r="AP40" s="195">
        <v>0</v>
      </c>
      <c r="AQ40" s="195">
        <v>5</v>
      </c>
      <c r="AR40" s="195">
        <v>2</v>
      </c>
      <c r="AS40" s="195">
        <v>0</v>
      </c>
      <c r="AT40" s="195">
        <v>0</v>
      </c>
      <c r="AU40" s="195">
        <v>762.97</v>
      </c>
      <c r="AV40" s="195">
        <v>28.529299972475982</v>
      </c>
      <c r="AW40" s="195">
        <v>0.6346217792538861</v>
      </c>
      <c r="AX40" s="195">
        <v>818</v>
      </c>
      <c r="AY40" s="195">
        <v>6303</v>
      </c>
      <c r="AZ40" s="195">
        <v>0.12977947009360621</v>
      </c>
      <c r="BA40" s="195">
        <v>0.06475666989093774</v>
      </c>
      <c r="BB40" s="195">
        <v>0.061933</v>
      </c>
      <c r="BC40" s="195">
        <v>9019</v>
      </c>
      <c r="BD40" s="195">
        <v>8490</v>
      </c>
      <c r="BE40" s="195">
        <v>1.0623085983510012</v>
      </c>
      <c r="BF40" s="195">
        <v>0.6313670803086951</v>
      </c>
      <c r="BG40" s="195">
        <v>0</v>
      </c>
      <c r="BH40" s="195">
        <v>2</v>
      </c>
      <c r="BI40" s="195">
        <v>0</v>
      </c>
      <c r="BJ40" s="195">
        <v>-5224.08</v>
      </c>
      <c r="BK40" s="195">
        <v>-89244.7</v>
      </c>
      <c r="BL40" s="195">
        <v>-6094.76</v>
      </c>
      <c r="BM40" s="195">
        <v>-31126.809999999998</v>
      </c>
      <c r="BN40" s="195">
        <v>-870.6800000000001</v>
      </c>
      <c r="BO40" s="195">
        <v>2846</v>
      </c>
      <c r="BP40" s="195">
        <v>-1029432.4993649988</v>
      </c>
      <c r="BQ40" s="195">
        <v>-1860425.49</v>
      </c>
      <c r="BR40" s="195">
        <v>-103509.28852503002</v>
      </c>
      <c r="BS40" s="195">
        <v>1719855</v>
      </c>
      <c r="BT40" s="195">
        <v>554062</v>
      </c>
      <c r="BU40" s="195">
        <v>1309102.96830591</v>
      </c>
      <c r="BV40" s="195">
        <v>55085.89497350688</v>
      </c>
      <c r="BW40" s="195">
        <v>227371.5223683299</v>
      </c>
      <c r="BX40" s="195">
        <v>674080.996412253</v>
      </c>
      <c r="BY40" s="195">
        <v>1126700.6565302126</v>
      </c>
      <c r="BZ40" s="195">
        <v>1783562.8830082873</v>
      </c>
      <c r="CA40" s="195">
        <v>626875.2902519787</v>
      </c>
      <c r="CB40" s="195">
        <v>1959.03</v>
      </c>
      <c r="CC40" s="195">
        <v>-26953.712264420174</v>
      </c>
      <c r="CD40" s="195">
        <v>7952345.261061028</v>
      </c>
      <c r="CE40" s="195">
        <v>4287799.741696028</v>
      </c>
      <c r="CF40" s="195">
        <v>0</v>
      </c>
      <c r="CG40" s="229">
        <v>11385473.61947707</v>
      </c>
      <c r="CH40" s="195">
        <v>-1479633</v>
      </c>
      <c r="CI40" s="195">
        <v>-156213.9829</v>
      </c>
      <c r="CJ40" s="195">
        <v>53096860.55691871</v>
      </c>
      <c r="CL40" s="195">
        <v>21945</v>
      </c>
    </row>
    <row r="41" spans="1:90" ht="9.75">
      <c r="A41" s="195">
        <v>142</v>
      </c>
      <c r="B41" s="195" t="s">
        <v>109</v>
      </c>
      <c r="C41" s="195">
        <v>6889</v>
      </c>
      <c r="D41" s="195">
        <v>24487579.43</v>
      </c>
      <c r="E41" s="195">
        <v>8434260.213839998</v>
      </c>
      <c r="F41" s="195">
        <v>1391806.1885605578</v>
      </c>
      <c r="G41" s="195">
        <v>34313645.83240056</v>
      </c>
      <c r="H41" s="195">
        <v>3540.31</v>
      </c>
      <c r="I41" s="195">
        <v>24389195.59</v>
      </c>
      <c r="J41" s="195">
        <v>9924450.24240056</v>
      </c>
      <c r="K41" s="195">
        <v>174757.44342982088</v>
      </c>
      <c r="L41" s="195">
        <v>1556909.5857820043</v>
      </c>
      <c r="M41" s="195">
        <v>0</v>
      </c>
      <c r="N41" s="195">
        <v>11656117.271612385</v>
      </c>
      <c r="O41" s="195">
        <v>3762968.8617560472</v>
      </c>
      <c r="P41" s="195">
        <v>15419086.133368433</v>
      </c>
      <c r="Q41" s="195">
        <v>382</v>
      </c>
      <c r="R41" s="195">
        <v>62</v>
      </c>
      <c r="S41" s="195">
        <v>420</v>
      </c>
      <c r="T41" s="195">
        <v>205</v>
      </c>
      <c r="U41" s="195">
        <v>215</v>
      </c>
      <c r="V41" s="195">
        <v>3689</v>
      </c>
      <c r="W41" s="195">
        <v>1055</v>
      </c>
      <c r="X41" s="195">
        <v>586</v>
      </c>
      <c r="Y41" s="195">
        <v>275</v>
      </c>
      <c r="Z41" s="195">
        <v>20</v>
      </c>
      <c r="AA41" s="195">
        <v>1</v>
      </c>
      <c r="AB41" s="195">
        <v>6742</v>
      </c>
      <c r="AC41" s="195">
        <v>126</v>
      </c>
      <c r="AD41" s="195">
        <v>1916</v>
      </c>
      <c r="AE41" s="195">
        <v>1.0778500798047064</v>
      </c>
      <c r="AF41" s="195">
        <v>8434260.213839998</v>
      </c>
      <c r="AG41" s="195">
        <v>10579986.132078603</v>
      </c>
      <c r="AH41" s="195">
        <v>2526739.8148661004</v>
      </c>
      <c r="AI41" s="195">
        <v>1016782.0283786211</v>
      </c>
      <c r="AJ41" s="195">
        <v>374</v>
      </c>
      <c r="AK41" s="195">
        <v>3163</v>
      </c>
      <c r="AL41" s="195">
        <v>0.890534969263105</v>
      </c>
      <c r="AM41" s="195">
        <v>126</v>
      </c>
      <c r="AN41" s="195">
        <v>0.01829002758020032</v>
      </c>
      <c r="AO41" s="195">
        <v>0.01432177361194635</v>
      </c>
      <c r="AP41" s="195">
        <v>0</v>
      </c>
      <c r="AQ41" s="195">
        <v>20</v>
      </c>
      <c r="AR41" s="195">
        <v>1</v>
      </c>
      <c r="AS41" s="195">
        <v>0</v>
      </c>
      <c r="AT41" s="195">
        <v>0</v>
      </c>
      <c r="AU41" s="195">
        <v>589.78</v>
      </c>
      <c r="AV41" s="195">
        <v>11.68062667435315</v>
      </c>
      <c r="AW41" s="195">
        <v>1.5500294302833875</v>
      </c>
      <c r="AX41" s="195">
        <v>309</v>
      </c>
      <c r="AY41" s="195">
        <v>1952</v>
      </c>
      <c r="AZ41" s="195">
        <v>0.15829918032786885</v>
      </c>
      <c r="BA41" s="195">
        <v>0.09327638012520038</v>
      </c>
      <c r="BB41" s="195">
        <v>0</v>
      </c>
      <c r="BC41" s="195">
        <v>2243</v>
      </c>
      <c r="BD41" s="195">
        <v>2693</v>
      </c>
      <c r="BE41" s="195">
        <v>0.8329001113999257</v>
      </c>
      <c r="BF41" s="195">
        <v>0.40195859335761963</v>
      </c>
      <c r="BG41" s="195">
        <v>0</v>
      </c>
      <c r="BH41" s="195">
        <v>1</v>
      </c>
      <c r="BI41" s="195">
        <v>0</v>
      </c>
      <c r="BJ41" s="195">
        <v>-1653.36</v>
      </c>
      <c r="BK41" s="195">
        <v>-28244.899999999998</v>
      </c>
      <c r="BL41" s="195">
        <v>-1928.92</v>
      </c>
      <c r="BM41" s="195">
        <v>-9851.27</v>
      </c>
      <c r="BN41" s="195">
        <v>-275.56</v>
      </c>
      <c r="BO41" s="195">
        <v>36498</v>
      </c>
      <c r="BP41" s="195">
        <v>-234098.35262527666</v>
      </c>
      <c r="BQ41" s="195">
        <v>-588802.83</v>
      </c>
      <c r="BR41" s="195">
        <v>7043.986740678549</v>
      </c>
      <c r="BS41" s="195">
        <v>561007</v>
      </c>
      <c r="BT41" s="195">
        <v>186515</v>
      </c>
      <c r="BU41" s="195">
        <v>430490.72209921485</v>
      </c>
      <c r="BV41" s="195">
        <v>23482.037625590612</v>
      </c>
      <c r="BW41" s="195">
        <v>26031.39221942881</v>
      </c>
      <c r="BX41" s="195">
        <v>198577.07449350462</v>
      </c>
      <c r="BY41" s="195">
        <v>350563.5538984399</v>
      </c>
      <c r="BZ41" s="195">
        <v>587899.073939636</v>
      </c>
      <c r="CA41" s="195">
        <v>184026.88881112696</v>
      </c>
      <c r="CB41" s="195">
        <v>620.01</v>
      </c>
      <c r="CC41" s="195">
        <v>31822.198579660995</v>
      </c>
      <c r="CD41" s="195">
        <v>2624990.278407281</v>
      </c>
      <c r="CE41" s="195">
        <v>1556909.5857820043</v>
      </c>
      <c r="CF41" s="195">
        <v>0</v>
      </c>
      <c r="CG41" s="229">
        <v>3762968.8617560472</v>
      </c>
      <c r="CH41" s="195">
        <v>-358278</v>
      </c>
      <c r="CI41" s="195">
        <v>266504.99178999994</v>
      </c>
      <c r="CJ41" s="195">
        <v>15060808.133368433</v>
      </c>
      <c r="CL41" s="195">
        <v>6910</v>
      </c>
    </row>
    <row r="42" spans="1:90" ht="9.75">
      <c r="A42" s="195">
        <v>143</v>
      </c>
      <c r="B42" s="195" t="s">
        <v>110</v>
      </c>
      <c r="C42" s="195">
        <v>7128</v>
      </c>
      <c r="D42" s="195">
        <v>25356025.71</v>
      </c>
      <c r="E42" s="195">
        <v>9035230.409837479</v>
      </c>
      <c r="F42" s="195">
        <v>1590464.918346708</v>
      </c>
      <c r="G42" s="195">
        <v>35981721.03818419</v>
      </c>
      <c r="H42" s="195">
        <v>3540.31</v>
      </c>
      <c r="I42" s="195">
        <v>25235329.68</v>
      </c>
      <c r="J42" s="195">
        <v>10746391.358184189</v>
      </c>
      <c r="K42" s="195">
        <v>226480.3804820583</v>
      </c>
      <c r="L42" s="195">
        <v>1966593.174706508</v>
      </c>
      <c r="M42" s="195">
        <v>0</v>
      </c>
      <c r="N42" s="195">
        <v>12939464.913372755</v>
      </c>
      <c r="O42" s="195">
        <v>4666375.910791529</v>
      </c>
      <c r="P42" s="195">
        <v>17605840.824164286</v>
      </c>
      <c r="Q42" s="195">
        <v>405</v>
      </c>
      <c r="R42" s="195">
        <v>85</v>
      </c>
      <c r="S42" s="195">
        <v>407</v>
      </c>
      <c r="T42" s="195">
        <v>196</v>
      </c>
      <c r="U42" s="195">
        <v>216</v>
      </c>
      <c r="V42" s="195">
        <v>3749</v>
      </c>
      <c r="W42" s="195">
        <v>1159</v>
      </c>
      <c r="X42" s="195">
        <v>626</v>
      </c>
      <c r="Y42" s="195">
        <v>285</v>
      </c>
      <c r="Z42" s="195">
        <v>11</v>
      </c>
      <c r="AA42" s="195">
        <v>0</v>
      </c>
      <c r="AB42" s="195">
        <v>6999</v>
      </c>
      <c r="AC42" s="195">
        <v>118</v>
      </c>
      <c r="AD42" s="195">
        <v>2070</v>
      </c>
      <c r="AE42" s="195">
        <v>1.115935486567463</v>
      </c>
      <c r="AF42" s="195">
        <v>9035230.409837479</v>
      </c>
      <c r="AG42" s="195">
        <v>11215631.77025906</v>
      </c>
      <c r="AH42" s="195">
        <v>2701498.721069259</v>
      </c>
      <c r="AI42" s="195">
        <v>990024.6065791837</v>
      </c>
      <c r="AJ42" s="195">
        <v>452</v>
      </c>
      <c r="AK42" s="195">
        <v>3160</v>
      </c>
      <c r="AL42" s="195">
        <v>1.0772832809146746</v>
      </c>
      <c r="AM42" s="195">
        <v>118</v>
      </c>
      <c r="AN42" s="195">
        <v>0.01655443322109989</v>
      </c>
      <c r="AO42" s="195">
        <v>0.01258617925284592</v>
      </c>
      <c r="AP42" s="195">
        <v>0</v>
      </c>
      <c r="AQ42" s="195">
        <v>11</v>
      </c>
      <c r="AR42" s="195">
        <v>0</v>
      </c>
      <c r="AS42" s="195">
        <v>0</v>
      </c>
      <c r="AT42" s="195">
        <v>0</v>
      </c>
      <c r="AU42" s="195">
        <v>750.37</v>
      </c>
      <c r="AV42" s="195">
        <v>9.499313671921852</v>
      </c>
      <c r="AW42" s="195">
        <v>1.905960339315501</v>
      </c>
      <c r="AX42" s="195">
        <v>288</v>
      </c>
      <c r="AY42" s="195">
        <v>2006</v>
      </c>
      <c r="AZ42" s="195">
        <v>0.14356929212362912</v>
      </c>
      <c r="BA42" s="195">
        <v>0.07854649192096065</v>
      </c>
      <c r="BB42" s="195">
        <v>0</v>
      </c>
      <c r="BC42" s="195">
        <v>2450</v>
      </c>
      <c r="BD42" s="195">
        <v>2622</v>
      </c>
      <c r="BE42" s="195">
        <v>0.9344012204424104</v>
      </c>
      <c r="BF42" s="195">
        <v>0.5034597024001043</v>
      </c>
      <c r="BG42" s="195">
        <v>0</v>
      </c>
      <c r="BH42" s="195">
        <v>0</v>
      </c>
      <c r="BI42" s="195">
        <v>0</v>
      </c>
      <c r="BJ42" s="195">
        <v>-1710.72</v>
      </c>
      <c r="BK42" s="195">
        <v>-29224.8</v>
      </c>
      <c r="BL42" s="195">
        <v>-1995.8400000000001</v>
      </c>
      <c r="BM42" s="195">
        <v>-10193.039999999999</v>
      </c>
      <c r="BN42" s="195">
        <v>-285.12</v>
      </c>
      <c r="BO42" s="195">
        <v>138175</v>
      </c>
      <c r="BP42" s="195">
        <v>-299625.8829541469</v>
      </c>
      <c r="BQ42" s="195">
        <v>-609230.16</v>
      </c>
      <c r="BR42" s="195">
        <v>79890.6480099801</v>
      </c>
      <c r="BS42" s="195">
        <v>680777</v>
      </c>
      <c r="BT42" s="195">
        <v>207953</v>
      </c>
      <c r="BU42" s="195">
        <v>496189.18011094985</v>
      </c>
      <c r="BV42" s="195">
        <v>24908.36419060258</v>
      </c>
      <c r="BW42" s="195">
        <v>82317.76892538632</v>
      </c>
      <c r="BX42" s="195">
        <v>232829.75872488532</v>
      </c>
      <c r="BY42" s="195">
        <v>404587.17992137617</v>
      </c>
      <c r="BZ42" s="195">
        <v>614150.253396735</v>
      </c>
      <c r="CA42" s="195">
        <v>192354.9969642396</v>
      </c>
      <c r="CB42" s="195">
        <v>641.52</v>
      </c>
      <c r="CC42" s="195">
        <v>-26067.61258350042</v>
      </c>
      <c r="CD42" s="195">
        <v>3129134.737660655</v>
      </c>
      <c r="CE42" s="195">
        <v>1966593.174706508</v>
      </c>
      <c r="CF42" s="195">
        <v>0</v>
      </c>
      <c r="CG42" s="229">
        <v>4666375.910791529</v>
      </c>
      <c r="CH42" s="195">
        <v>-49559</v>
      </c>
      <c r="CI42" s="195">
        <v>221617.09999999998</v>
      </c>
      <c r="CJ42" s="195">
        <v>17556281.824164286</v>
      </c>
      <c r="CL42" s="195">
        <v>7207</v>
      </c>
    </row>
    <row r="43" spans="1:90" ht="9.75">
      <c r="A43" s="195">
        <v>145</v>
      </c>
      <c r="B43" s="195" t="s">
        <v>111</v>
      </c>
      <c r="C43" s="195">
        <v>12167</v>
      </c>
      <c r="D43" s="195">
        <v>44932202.15</v>
      </c>
      <c r="E43" s="195">
        <v>15189082.883497886</v>
      </c>
      <c r="F43" s="195">
        <v>1446161.2024826729</v>
      </c>
      <c r="G43" s="195">
        <v>61567446.235980555</v>
      </c>
      <c r="H43" s="195">
        <v>3540.31</v>
      </c>
      <c r="I43" s="195">
        <v>43074951.769999996</v>
      </c>
      <c r="J43" s="195">
        <v>18492494.46598056</v>
      </c>
      <c r="K43" s="195">
        <v>165760.01854337408</v>
      </c>
      <c r="L43" s="195">
        <v>2658610.5325311148</v>
      </c>
      <c r="M43" s="195">
        <v>0</v>
      </c>
      <c r="N43" s="195">
        <v>21316865.01705505</v>
      </c>
      <c r="O43" s="195">
        <v>7765137.057963457</v>
      </c>
      <c r="P43" s="195">
        <v>29082002.075018506</v>
      </c>
      <c r="Q43" s="195">
        <v>929</v>
      </c>
      <c r="R43" s="195">
        <v>176</v>
      </c>
      <c r="S43" s="195">
        <v>1011</v>
      </c>
      <c r="T43" s="195">
        <v>478</v>
      </c>
      <c r="U43" s="195">
        <v>468</v>
      </c>
      <c r="V43" s="195">
        <v>6661</v>
      </c>
      <c r="W43" s="195">
        <v>1332</v>
      </c>
      <c r="X43" s="195">
        <v>742</v>
      </c>
      <c r="Y43" s="195">
        <v>370</v>
      </c>
      <c r="Z43" s="195">
        <v>29</v>
      </c>
      <c r="AA43" s="195">
        <v>0</v>
      </c>
      <c r="AB43" s="195">
        <v>12026</v>
      </c>
      <c r="AC43" s="195">
        <v>112</v>
      </c>
      <c r="AD43" s="195">
        <v>2444</v>
      </c>
      <c r="AE43" s="195">
        <v>1.0990452943592994</v>
      </c>
      <c r="AF43" s="195">
        <v>15189082.883497886</v>
      </c>
      <c r="AG43" s="195">
        <v>17803397.21765442</v>
      </c>
      <c r="AH43" s="195">
        <v>5201332.23057521</v>
      </c>
      <c r="AI43" s="195">
        <v>1757070.6981630556</v>
      </c>
      <c r="AJ43" s="195">
        <v>542</v>
      </c>
      <c r="AK43" s="195">
        <v>5683</v>
      </c>
      <c r="AL43" s="195">
        <v>0.7182906249224054</v>
      </c>
      <c r="AM43" s="195">
        <v>112</v>
      </c>
      <c r="AN43" s="195">
        <v>0.009205227254047835</v>
      </c>
      <c r="AO43" s="195">
        <v>0.005236973285793867</v>
      </c>
      <c r="AP43" s="195">
        <v>0</v>
      </c>
      <c r="AQ43" s="195">
        <v>29</v>
      </c>
      <c r="AR43" s="195">
        <v>0</v>
      </c>
      <c r="AS43" s="195">
        <v>0</v>
      </c>
      <c r="AT43" s="195">
        <v>0</v>
      </c>
      <c r="AU43" s="195">
        <v>576.78</v>
      </c>
      <c r="AV43" s="195">
        <v>21.094698151808316</v>
      </c>
      <c r="AW43" s="195">
        <v>0.8582874701076723</v>
      </c>
      <c r="AX43" s="195">
        <v>371</v>
      </c>
      <c r="AY43" s="195">
        <v>3830</v>
      </c>
      <c r="AZ43" s="195">
        <v>0.09686684073107049</v>
      </c>
      <c r="BA43" s="195">
        <v>0.03184404052840202</v>
      </c>
      <c r="BB43" s="195">
        <v>0</v>
      </c>
      <c r="BC43" s="195">
        <v>3269</v>
      </c>
      <c r="BD43" s="195">
        <v>5054</v>
      </c>
      <c r="BE43" s="195">
        <v>0.646814404432133</v>
      </c>
      <c r="BF43" s="195">
        <v>0.21587288638982693</v>
      </c>
      <c r="BG43" s="195">
        <v>0</v>
      </c>
      <c r="BH43" s="195">
        <v>0</v>
      </c>
      <c r="BI43" s="195">
        <v>0</v>
      </c>
      <c r="BJ43" s="195">
        <v>-2920.08</v>
      </c>
      <c r="BK43" s="195">
        <v>-49884.7</v>
      </c>
      <c r="BL43" s="195">
        <v>-3406.76</v>
      </c>
      <c r="BM43" s="195">
        <v>-17398.809999999998</v>
      </c>
      <c r="BN43" s="195">
        <v>-486.68</v>
      </c>
      <c r="BO43" s="195">
        <v>-123623</v>
      </c>
      <c r="BP43" s="195">
        <v>-235098.77293564111</v>
      </c>
      <c r="BQ43" s="195">
        <v>-1039913.49</v>
      </c>
      <c r="BR43" s="195">
        <v>-102255.52143593878</v>
      </c>
      <c r="BS43" s="195">
        <v>954161</v>
      </c>
      <c r="BT43" s="195">
        <v>316612</v>
      </c>
      <c r="BU43" s="195">
        <v>781526.9520805622</v>
      </c>
      <c r="BV43" s="195">
        <v>32131.733519318583</v>
      </c>
      <c r="BW43" s="195">
        <v>106781.91588868524</v>
      </c>
      <c r="BX43" s="195">
        <v>326338.1356481641</v>
      </c>
      <c r="BY43" s="195">
        <v>655891.4552160897</v>
      </c>
      <c r="BZ43" s="195">
        <v>1043521.9136273402</v>
      </c>
      <c r="CA43" s="195">
        <v>331870.11914551095</v>
      </c>
      <c r="CB43" s="195">
        <v>1095.03</v>
      </c>
      <c r="CC43" s="195">
        <v>41864.57177702403</v>
      </c>
      <c r="CD43" s="195">
        <v>4366646.325466756</v>
      </c>
      <c r="CE43" s="195">
        <v>2658610.5325311148</v>
      </c>
      <c r="CF43" s="195">
        <v>0</v>
      </c>
      <c r="CG43" s="229">
        <v>7765137.057963457</v>
      </c>
      <c r="CH43" s="195">
        <v>-574220</v>
      </c>
      <c r="CI43" s="195">
        <v>32929.69379999998</v>
      </c>
      <c r="CJ43" s="195">
        <v>28507782.075018506</v>
      </c>
      <c r="CL43" s="195">
        <v>12159</v>
      </c>
    </row>
    <row r="44" spans="1:90" ht="9.75">
      <c r="A44" s="195">
        <v>146</v>
      </c>
      <c r="B44" s="195" t="s">
        <v>112</v>
      </c>
      <c r="C44" s="195">
        <v>5237</v>
      </c>
      <c r="D44" s="195">
        <v>18856450.759999998</v>
      </c>
      <c r="E44" s="195">
        <v>11080966.552068437</v>
      </c>
      <c r="F44" s="195">
        <v>3043237.2053088173</v>
      </c>
      <c r="G44" s="195">
        <v>32980654.51737725</v>
      </c>
      <c r="H44" s="195">
        <v>3540.31</v>
      </c>
      <c r="I44" s="195">
        <v>18540603.47</v>
      </c>
      <c r="J44" s="195">
        <v>14440051.047377251</v>
      </c>
      <c r="K44" s="195">
        <v>2385275.913051894</v>
      </c>
      <c r="L44" s="195">
        <v>1749433.481775695</v>
      </c>
      <c r="M44" s="195">
        <v>0</v>
      </c>
      <c r="N44" s="195">
        <v>18574760.44220484</v>
      </c>
      <c r="O44" s="195">
        <v>2752857.9403180713</v>
      </c>
      <c r="P44" s="195">
        <v>21327618.38252291</v>
      </c>
      <c r="Q44" s="195">
        <v>187</v>
      </c>
      <c r="R44" s="195">
        <v>28</v>
      </c>
      <c r="S44" s="195">
        <v>221</v>
      </c>
      <c r="T44" s="195">
        <v>116</v>
      </c>
      <c r="U44" s="195">
        <v>133</v>
      </c>
      <c r="V44" s="195">
        <v>2659</v>
      </c>
      <c r="W44" s="195">
        <v>997</v>
      </c>
      <c r="X44" s="195">
        <v>612</v>
      </c>
      <c r="Y44" s="195">
        <v>284</v>
      </c>
      <c r="Z44" s="195">
        <v>4</v>
      </c>
      <c r="AA44" s="195">
        <v>0</v>
      </c>
      <c r="AB44" s="195">
        <v>5097</v>
      </c>
      <c r="AC44" s="195">
        <v>136</v>
      </c>
      <c r="AD44" s="195">
        <v>1893</v>
      </c>
      <c r="AE44" s="195">
        <v>1.862784507372422</v>
      </c>
      <c r="AF44" s="195">
        <v>11080966.552068437</v>
      </c>
      <c r="AG44" s="195">
        <v>14489277.841667872</v>
      </c>
      <c r="AH44" s="195">
        <v>3265625.4515445395</v>
      </c>
      <c r="AI44" s="195">
        <v>1132730.856176183</v>
      </c>
      <c r="AJ44" s="195">
        <v>410</v>
      </c>
      <c r="AK44" s="195">
        <v>2170</v>
      </c>
      <c r="AL44" s="195">
        <v>1.4229927600353292</v>
      </c>
      <c r="AM44" s="195">
        <v>136</v>
      </c>
      <c r="AN44" s="195">
        <v>0.025969066259308764</v>
      </c>
      <c r="AO44" s="195">
        <v>0.022000812291054796</v>
      </c>
      <c r="AP44" s="195">
        <v>0</v>
      </c>
      <c r="AQ44" s="195">
        <v>4</v>
      </c>
      <c r="AR44" s="195">
        <v>0</v>
      </c>
      <c r="AS44" s="195">
        <v>0</v>
      </c>
      <c r="AT44" s="195">
        <v>0</v>
      </c>
      <c r="AU44" s="195">
        <v>2763.48</v>
      </c>
      <c r="AV44" s="195">
        <v>1.8950743265737404</v>
      </c>
      <c r="AW44" s="195">
        <v>9.553881267620055</v>
      </c>
      <c r="AX44" s="195">
        <v>230</v>
      </c>
      <c r="AY44" s="195">
        <v>1257</v>
      </c>
      <c r="AZ44" s="195">
        <v>0.18297533810660302</v>
      </c>
      <c r="BA44" s="195">
        <v>0.11795253790393455</v>
      </c>
      <c r="BB44" s="195">
        <v>1.346949</v>
      </c>
      <c r="BC44" s="195">
        <v>1743</v>
      </c>
      <c r="BD44" s="195">
        <v>1759</v>
      </c>
      <c r="BE44" s="195">
        <v>0.9909039226833428</v>
      </c>
      <c r="BF44" s="195">
        <v>0.5599624046410367</v>
      </c>
      <c r="BG44" s="195">
        <v>0</v>
      </c>
      <c r="BH44" s="195">
        <v>0</v>
      </c>
      <c r="BI44" s="195">
        <v>0</v>
      </c>
      <c r="BJ44" s="195">
        <v>-1256.8799999999999</v>
      </c>
      <c r="BK44" s="195">
        <v>-21471.699999999997</v>
      </c>
      <c r="BL44" s="195">
        <v>-1466.3600000000001</v>
      </c>
      <c r="BM44" s="195">
        <v>-7488.91</v>
      </c>
      <c r="BN44" s="195">
        <v>-209.48000000000002</v>
      </c>
      <c r="BO44" s="195">
        <v>258987</v>
      </c>
      <c r="BP44" s="195">
        <v>-180575.86602077965</v>
      </c>
      <c r="BQ44" s="195">
        <v>-447606.39</v>
      </c>
      <c r="BR44" s="195">
        <v>-5688.993367061019</v>
      </c>
      <c r="BS44" s="195">
        <v>556296</v>
      </c>
      <c r="BT44" s="195">
        <v>167159</v>
      </c>
      <c r="BU44" s="195">
        <v>465718.1358928919</v>
      </c>
      <c r="BV44" s="195">
        <v>25047.13882048292</v>
      </c>
      <c r="BW44" s="195">
        <v>58430.7978963757</v>
      </c>
      <c r="BX44" s="195">
        <v>227888.47789942884</v>
      </c>
      <c r="BY44" s="195">
        <v>280256.68627585017</v>
      </c>
      <c r="BZ44" s="195">
        <v>457311.2021084907</v>
      </c>
      <c r="CA44" s="195">
        <v>154949.28460610862</v>
      </c>
      <c r="CB44" s="195">
        <v>471.33</v>
      </c>
      <c r="CC44" s="195">
        <v>-83139.71233609298</v>
      </c>
      <c r="CD44" s="195">
        <v>2564000.567796475</v>
      </c>
      <c r="CE44" s="195">
        <v>1749433.481775695</v>
      </c>
      <c r="CF44" s="195">
        <v>0</v>
      </c>
      <c r="CG44" s="229">
        <v>2752857.9403180713</v>
      </c>
      <c r="CH44" s="195">
        <v>30923</v>
      </c>
      <c r="CI44" s="195">
        <v>60788.266899999995</v>
      </c>
      <c r="CJ44" s="195">
        <v>21358541.38252291</v>
      </c>
      <c r="CL44" s="195">
        <v>5336</v>
      </c>
    </row>
    <row r="45" spans="1:90" ht="9.75">
      <c r="A45" s="195">
        <v>153</v>
      </c>
      <c r="B45" s="195" t="s">
        <v>113</v>
      </c>
      <c r="C45" s="195">
        <v>27517</v>
      </c>
      <c r="D45" s="195">
        <v>92840067.38999999</v>
      </c>
      <c r="E45" s="195">
        <v>43103941.06600223</v>
      </c>
      <c r="F45" s="195">
        <v>6973458.7084209</v>
      </c>
      <c r="G45" s="195">
        <v>142917467.1644231</v>
      </c>
      <c r="H45" s="195">
        <v>3540.31</v>
      </c>
      <c r="I45" s="195">
        <v>97418710.27</v>
      </c>
      <c r="J45" s="195">
        <v>45498756.89442311</v>
      </c>
      <c r="K45" s="195">
        <v>1063626.1659973296</v>
      </c>
      <c r="L45" s="195">
        <v>4441015.97628704</v>
      </c>
      <c r="M45" s="195">
        <v>0</v>
      </c>
      <c r="N45" s="195">
        <v>51003399.036707476</v>
      </c>
      <c r="O45" s="195">
        <v>6308084.781311986</v>
      </c>
      <c r="P45" s="195">
        <v>57311483.818019465</v>
      </c>
      <c r="Q45" s="195">
        <v>1264</v>
      </c>
      <c r="R45" s="195">
        <v>235</v>
      </c>
      <c r="S45" s="195">
        <v>1520</v>
      </c>
      <c r="T45" s="195">
        <v>753</v>
      </c>
      <c r="U45" s="195">
        <v>778</v>
      </c>
      <c r="V45" s="195">
        <v>15218</v>
      </c>
      <c r="W45" s="195">
        <v>4166</v>
      </c>
      <c r="X45" s="195">
        <v>2605</v>
      </c>
      <c r="Y45" s="195">
        <v>978</v>
      </c>
      <c r="Z45" s="195">
        <v>45</v>
      </c>
      <c r="AA45" s="195">
        <v>1</v>
      </c>
      <c r="AB45" s="195">
        <v>25897</v>
      </c>
      <c r="AC45" s="195">
        <v>1574</v>
      </c>
      <c r="AD45" s="195">
        <v>7749</v>
      </c>
      <c r="AE45" s="195">
        <v>1.3790608948859646</v>
      </c>
      <c r="AF45" s="195">
        <v>43103941.06600223</v>
      </c>
      <c r="AG45" s="195">
        <v>48798481.61249835</v>
      </c>
      <c r="AH45" s="195">
        <v>15156325.58304758</v>
      </c>
      <c r="AI45" s="195">
        <v>5378241.781686916</v>
      </c>
      <c r="AJ45" s="195">
        <v>2190</v>
      </c>
      <c r="AK45" s="195">
        <v>12424</v>
      </c>
      <c r="AL45" s="195">
        <v>1.3275816463642154</v>
      </c>
      <c r="AM45" s="195">
        <v>1574</v>
      </c>
      <c r="AN45" s="195">
        <v>0.057201003016317184</v>
      </c>
      <c r="AO45" s="195">
        <v>0.053232749048063216</v>
      </c>
      <c r="AP45" s="195">
        <v>0</v>
      </c>
      <c r="AQ45" s="195">
        <v>45</v>
      </c>
      <c r="AR45" s="195">
        <v>1</v>
      </c>
      <c r="AS45" s="195">
        <v>0</v>
      </c>
      <c r="AT45" s="195">
        <v>0</v>
      </c>
      <c r="AU45" s="195">
        <v>155.01</v>
      </c>
      <c r="AV45" s="195">
        <v>177.5175795109993</v>
      </c>
      <c r="AW45" s="195">
        <v>0.10199167405996944</v>
      </c>
      <c r="AX45" s="195">
        <v>1183</v>
      </c>
      <c r="AY45" s="195">
        <v>8260</v>
      </c>
      <c r="AZ45" s="195">
        <v>0.14322033898305084</v>
      </c>
      <c r="BA45" s="195">
        <v>0.07819753878038237</v>
      </c>
      <c r="BB45" s="195">
        <v>0</v>
      </c>
      <c r="BC45" s="195">
        <v>10622</v>
      </c>
      <c r="BD45" s="195">
        <v>10180</v>
      </c>
      <c r="BE45" s="195">
        <v>1.043418467583497</v>
      </c>
      <c r="BF45" s="195">
        <v>0.6124769495411909</v>
      </c>
      <c r="BG45" s="195">
        <v>0</v>
      </c>
      <c r="BH45" s="195">
        <v>1</v>
      </c>
      <c r="BI45" s="195">
        <v>0</v>
      </c>
      <c r="BJ45" s="195">
        <v>-6604.08</v>
      </c>
      <c r="BK45" s="195">
        <v>-112819.7</v>
      </c>
      <c r="BL45" s="195">
        <v>-7704.760000000001</v>
      </c>
      <c r="BM45" s="195">
        <v>-39349.31</v>
      </c>
      <c r="BN45" s="195">
        <v>-1100.68</v>
      </c>
      <c r="BO45" s="195">
        <v>230653</v>
      </c>
      <c r="BP45" s="195">
        <v>-1020428.7165717189</v>
      </c>
      <c r="BQ45" s="195">
        <v>-2351877.9899999998</v>
      </c>
      <c r="BR45" s="195">
        <v>-294628.57903369516</v>
      </c>
      <c r="BS45" s="195">
        <v>1915973</v>
      </c>
      <c r="BT45" s="195">
        <v>590926</v>
      </c>
      <c r="BU45" s="195">
        <v>1235447.8154237953</v>
      </c>
      <c r="BV45" s="195">
        <v>58300.03887859348</v>
      </c>
      <c r="BW45" s="195">
        <v>191082.24648750428</v>
      </c>
      <c r="BX45" s="195">
        <v>765331.2197312817</v>
      </c>
      <c r="BY45" s="195">
        <v>1205978.6973517747</v>
      </c>
      <c r="BZ45" s="195">
        <v>2041330.1325758654</v>
      </c>
      <c r="CA45" s="195">
        <v>634389.2668022254</v>
      </c>
      <c r="CB45" s="195">
        <v>2476.5299999999997</v>
      </c>
      <c r="CC45" s="195">
        <v>213742.32464141358</v>
      </c>
      <c r="CD45" s="195">
        <v>8792652.712858759</v>
      </c>
      <c r="CE45" s="195">
        <v>4441015.97628704</v>
      </c>
      <c r="CF45" s="195">
        <v>0</v>
      </c>
      <c r="CG45" s="229">
        <v>6308084.781311986</v>
      </c>
      <c r="CH45" s="195">
        <v>-1288540</v>
      </c>
      <c r="CI45" s="195">
        <v>-1183254.1094299997</v>
      </c>
      <c r="CJ45" s="195">
        <v>56022943.818019465</v>
      </c>
      <c r="CL45" s="195">
        <v>27835</v>
      </c>
    </row>
    <row r="46" spans="1:90" ht="9.75">
      <c r="A46" s="195">
        <v>148</v>
      </c>
      <c r="B46" s="195" t="s">
        <v>114</v>
      </c>
      <c r="C46" s="195">
        <v>6825</v>
      </c>
      <c r="D46" s="195">
        <v>20881650.73</v>
      </c>
      <c r="E46" s="195">
        <v>8125737.822749063</v>
      </c>
      <c r="F46" s="195">
        <v>6425501.092633123</v>
      </c>
      <c r="G46" s="195">
        <v>35432889.64538219</v>
      </c>
      <c r="H46" s="195">
        <v>3540.31</v>
      </c>
      <c r="I46" s="195">
        <v>24162615.75</v>
      </c>
      <c r="J46" s="195">
        <v>11270273.895382188</v>
      </c>
      <c r="K46" s="195">
        <v>8131985.333386433</v>
      </c>
      <c r="L46" s="195">
        <v>2082711.2827829334</v>
      </c>
      <c r="M46" s="195">
        <v>0</v>
      </c>
      <c r="N46" s="195">
        <v>21484970.511551555</v>
      </c>
      <c r="O46" s="195">
        <v>2023690.943629475</v>
      </c>
      <c r="P46" s="195">
        <v>23508661.45518103</v>
      </c>
      <c r="Q46" s="195">
        <v>312</v>
      </c>
      <c r="R46" s="195">
        <v>60</v>
      </c>
      <c r="S46" s="195">
        <v>367</v>
      </c>
      <c r="T46" s="195">
        <v>189</v>
      </c>
      <c r="U46" s="195">
        <v>182</v>
      </c>
      <c r="V46" s="195">
        <v>4069</v>
      </c>
      <c r="W46" s="195">
        <v>999</v>
      </c>
      <c r="X46" s="195">
        <v>475</v>
      </c>
      <c r="Y46" s="195">
        <v>172</v>
      </c>
      <c r="Z46" s="195">
        <v>23</v>
      </c>
      <c r="AA46" s="195">
        <v>452</v>
      </c>
      <c r="AB46" s="195">
        <v>6201</v>
      </c>
      <c r="AC46" s="195">
        <v>149</v>
      </c>
      <c r="AD46" s="195">
        <v>1646</v>
      </c>
      <c r="AE46" s="195">
        <v>1.0481602778229118</v>
      </c>
      <c r="AF46" s="195">
        <v>8125737.822749063</v>
      </c>
      <c r="AG46" s="195">
        <v>10593763.575351184</v>
      </c>
      <c r="AH46" s="195">
        <v>1893554.8251915586</v>
      </c>
      <c r="AI46" s="195">
        <v>1132730.856176183</v>
      </c>
      <c r="AJ46" s="195">
        <v>516</v>
      </c>
      <c r="AK46" s="195">
        <v>3341</v>
      </c>
      <c r="AL46" s="195">
        <v>1.1631930364552447</v>
      </c>
      <c r="AM46" s="195">
        <v>149</v>
      </c>
      <c r="AN46" s="195">
        <v>0.021831501831501832</v>
      </c>
      <c r="AO46" s="195">
        <v>0.017863247863247864</v>
      </c>
      <c r="AP46" s="195">
        <v>0</v>
      </c>
      <c r="AQ46" s="195">
        <v>23</v>
      </c>
      <c r="AR46" s="195">
        <v>452</v>
      </c>
      <c r="AS46" s="195">
        <v>0</v>
      </c>
      <c r="AT46" s="195">
        <v>0</v>
      </c>
      <c r="AU46" s="195">
        <v>15055.1</v>
      </c>
      <c r="AV46" s="195">
        <v>0.45333475035037957</v>
      </c>
      <c r="AW46" s="195">
        <v>39.938070256928384</v>
      </c>
      <c r="AX46" s="195">
        <v>332</v>
      </c>
      <c r="AY46" s="195">
        <v>2125</v>
      </c>
      <c r="AZ46" s="195">
        <v>0.15623529411764706</v>
      </c>
      <c r="BA46" s="195">
        <v>0.09121249391497858</v>
      </c>
      <c r="BB46" s="195">
        <v>1.573383</v>
      </c>
      <c r="BC46" s="195">
        <v>2768</v>
      </c>
      <c r="BD46" s="195">
        <v>2805</v>
      </c>
      <c r="BE46" s="195">
        <v>0.9868092691622103</v>
      </c>
      <c r="BF46" s="195">
        <v>0.5558677511199043</v>
      </c>
      <c r="BG46" s="195">
        <v>1</v>
      </c>
      <c r="BH46" s="195">
        <v>452</v>
      </c>
      <c r="BI46" s="195">
        <v>0</v>
      </c>
      <c r="BJ46" s="195">
        <v>-1638</v>
      </c>
      <c r="BK46" s="195">
        <v>-27982.499999999996</v>
      </c>
      <c r="BL46" s="195">
        <v>-1911.0000000000002</v>
      </c>
      <c r="BM46" s="195">
        <v>-9759.75</v>
      </c>
      <c r="BN46" s="195">
        <v>-273</v>
      </c>
      <c r="BO46" s="195">
        <v>479107</v>
      </c>
      <c r="BP46" s="195">
        <v>-229596.46122863676</v>
      </c>
      <c r="BQ46" s="195">
        <v>-583332.75</v>
      </c>
      <c r="BR46" s="195">
        <v>241319.49110893905</v>
      </c>
      <c r="BS46" s="195">
        <v>499986</v>
      </c>
      <c r="BT46" s="195">
        <v>180627</v>
      </c>
      <c r="BU46" s="195">
        <v>479629.9454780115</v>
      </c>
      <c r="BV46" s="195">
        <v>24832.544674204702</v>
      </c>
      <c r="BW46" s="195">
        <v>29639.119052726277</v>
      </c>
      <c r="BX46" s="195">
        <v>168703.85073378746</v>
      </c>
      <c r="BY46" s="195">
        <v>363400.90967335243</v>
      </c>
      <c r="BZ46" s="195">
        <v>488515.4997240312</v>
      </c>
      <c r="CA46" s="195">
        <v>176859.94175690963</v>
      </c>
      <c r="CB46" s="195">
        <v>614.25</v>
      </c>
      <c r="CC46" s="195">
        <v>4897.191809608004</v>
      </c>
      <c r="CD46" s="195">
        <v>3138542.2440115702</v>
      </c>
      <c r="CE46" s="195">
        <v>2082711.2827829334</v>
      </c>
      <c r="CF46" s="195">
        <v>0</v>
      </c>
      <c r="CG46" s="229">
        <v>2023690.943629475</v>
      </c>
      <c r="CH46" s="195">
        <v>-179732</v>
      </c>
      <c r="CI46" s="195">
        <v>-22292.073000000004</v>
      </c>
      <c r="CJ46" s="195">
        <v>23328929.45518103</v>
      </c>
      <c r="CL46" s="195">
        <v>6804</v>
      </c>
    </row>
    <row r="47" spans="1:90" ht="9.75">
      <c r="A47" s="195">
        <v>149</v>
      </c>
      <c r="B47" s="195" t="s">
        <v>115</v>
      </c>
      <c r="C47" s="195">
        <v>5585</v>
      </c>
      <c r="D47" s="195">
        <v>19930998.810000002</v>
      </c>
      <c r="E47" s="195">
        <v>5279604.835858627</v>
      </c>
      <c r="F47" s="195">
        <v>2056638.7772696896</v>
      </c>
      <c r="G47" s="195">
        <v>27267242.42312832</v>
      </c>
      <c r="H47" s="195">
        <v>3540.31</v>
      </c>
      <c r="I47" s="195">
        <v>19772631.35</v>
      </c>
      <c r="J47" s="195">
        <v>7494611.07312832</v>
      </c>
      <c r="K47" s="195">
        <v>36852.587750657694</v>
      </c>
      <c r="L47" s="195">
        <v>719111.6759228572</v>
      </c>
      <c r="M47" s="195">
        <v>0</v>
      </c>
      <c r="N47" s="195">
        <v>8250575.336801835</v>
      </c>
      <c r="O47" s="195">
        <v>-380528.663766946</v>
      </c>
      <c r="P47" s="195">
        <v>7870046.67303489</v>
      </c>
      <c r="Q47" s="195">
        <v>323</v>
      </c>
      <c r="R47" s="195">
        <v>85</v>
      </c>
      <c r="S47" s="195">
        <v>434</v>
      </c>
      <c r="T47" s="195">
        <v>224</v>
      </c>
      <c r="U47" s="195">
        <v>218</v>
      </c>
      <c r="V47" s="195">
        <v>3025</v>
      </c>
      <c r="W47" s="195">
        <v>736</v>
      </c>
      <c r="X47" s="195">
        <v>379</v>
      </c>
      <c r="Y47" s="195">
        <v>161</v>
      </c>
      <c r="Z47" s="195">
        <v>2965</v>
      </c>
      <c r="AA47" s="195">
        <v>0</v>
      </c>
      <c r="AB47" s="195">
        <v>2386</v>
      </c>
      <c r="AC47" s="195">
        <v>234</v>
      </c>
      <c r="AD47" s="195">
        <v>1276</v>
      </c>
      <c r="AE47" s="195">
        <v>0.8322346387320011</v>
      </c>
      <c r="AF47" s="195">
        <v>5279604.835858627</v>
      </c>
      <c r="AG47" s="195">
        <v>6721938.581999593</v>
      </c>
      <c r="AH47" s="195">
        <v>1407543.174794132</v>
      </c>
      <c r="AI47" s="195">
        <v>508391.01418931055</v>
      </c>
      <c r="AJ47" s="195">
        <v>222</v>
      </c>
      <c r="AK47" s="195">
        <v>2676</v>
      </c>
      <c r="AL47" s="195">
        <v>0.6248063474966454</v>
      </c>
      <c r="AM47" s="195">
        <v>234</v>
      </c>
      <c r="AN47" s="195">
        <v>0.04189794091316025</v>
      </c>
      <c r="AO47" s="195">
        <v>0.03792968694490628</v>
      </c>
      <c r="AP47" s="195">
        <v>3</v>
      </c>
      <c r="AQ47" s="195">
        <v>2965</v>
      </c>
      <c r="AR47" s="195">
        <v>0</v>
      </c>
      <c r="AS47" s="195">
        <v>3</v>
      </c>
      <c r="AT47" s="195">
        <v>238</v>
      </c>
      <c r="AU47" s="195">
        <v>349.89</v>
      </c>
      <c r="AV47" s="195">
        <v>15.962159535854127</v>
      </c>
      <c r="AW47" s="195">
        <v>1.1342647634070113</v>
      </c>
      <c r="AX47" s="195">
        <v>274</v>
      </c>
      <c r="AY47" s="195">
        <v>1869</v>
      </c>
      <c r="AZ47" s="195">
        <v>0.14660246120920278</v>
      </c>
      <c r="BA47" s="195">
        <v>0.08157966100653431</v>
      </c>
      <c r="BB47" s="195">
        <v>0</v>
      </c>
      <c r="BC47" s="195">
        <v>1320</v>
      </c>
      <c r="BD47" s="195">
        <v>2465</v>
      </c>
      <c r="BE47" s="195">
        <v>0.5354969574036511</v>
      </c>
      <c r="BF47" s="195">
        <v>0.10455543936134504</v>
      </c>
      <c r="BG47" s="195">
        <v>0</v>
      </c>
      <c r="BH47" s="195">
        <v>0</v>
      </c>
      <c r="BI47" s="195">
        <v>0</v>
      </c>
      <c r="BJ47" s="195">
        <v>-1340.3999999999999</v>
      </c>
      <c r="BK47" s="195">
        <v>-22898.499999999996</v>
      </c>
      <c r="BL47" s="195">
        <v>-1563.8000000000002</v>
      </c>
      <c r="BM47" s="195">
        <v>-7986.549999999999</v>
      </c>
      <c r="BN47" s="195">
        <v>-223.4</v>
      </c>
      <c r="BO47" s="195">
        <v>2429</v>
      </c>
      <c r="BP47" s="195">
        <v>-152063.88717539338</v>
      </c>
      <c r="BQ47" s="195">
        <v>-477349.95</v>
      </c>
      <c r="BR47" s="195">
        <v>-139329.01962335035</v>
      </c>
      <c r="BS47" s="195">
        <v>462664</v>
      </c>
      <c r="BT47" s="195">
        <v>145911</v>
      </c>
      <c r="BU47" s="195">
        <v>289533.9898365389</v>
      </c>
      <c r="BV47" s="195">
        <v>4845.642708322306</v>
      </c>
      <c r="BW47" s="195">
        <v>-30972.378801288753</v>
      </c>
      <c r="BX47" s="195">
        <v>67000.9340491973</v>
      </c>
      <c r="BY47" s="195">
        <v>256786.39362548</v>
      </c>
      <c r="BZ47" s="195">
        <v>420191.7238836958</v>
      </c>
      <c r="CA47" s="195">
        <v>117756.34451943666</v>
      </c>
      <c r="CB47" s="195">
        <v>502.65</v>
      </c>
      <c r="CC47" s="195">
        <v>-50359.717099781425</v>
      </c>
      <c r="CD47" s="195">
        <v>1547295.6630982505</v>
      </c>
      <c r="CE47" s="195">
        <v>719111.6759228572</v>
      </c>
      <c r="CF47" s="195">
        <v>0</v>
      </c>
      <c r="CG47" s="229">
        <v>-380528.663766946</v>
      </c>
      <c r="CH47" s="195">
        <v>-1032473</v>
      </c>
      <c r="CI47" s="195">
        <v>-2305491.8167100004</v>
      </c>
      <c r="CJ47" s="195">
        <v>6837573.67303489</v>
      </c>
      <c r="CL47" s="195">
        <v>5541</v>
      </c>
    </row>
    <row r="48" spans="1:90" ht="9.75">
      <c r="A48" s="195">
        <v>151</v>
      </c>
      <c r="B48" s="195" t="s">
        <v>116</v>
      </c>
      <c r="C48" s="195">
        <v>2079</v>
      </c>
      <c r="D48" s="195">
        <v>8028460.719999999</v>
      </c>
      <c r="E48" s="195">
        <v>3814105.9672468742</v>
      </c>
      <c r="F48" s="195">
        <v>802475.1605736883</v>
      </c>
      <c r="G48" s="195">
        <v>12645041.847820561</v>
      </c>
      <c r="H48" s="195">
        <v>3540.31</v>
      </c>
      <c r="I48" s="195">
        <v>7360304.49</v>
      </c>
      <c r="J48" s="195">
        <v>5284737.357820561</v>
      </c>
      <c r="K48" s="195">
        <v>261802.63537831014</v>
      </c>
      <c r="L48" s="195">
        <v>820639.6242442145</v>
      </c>
      <c r="M48" s="195">
        <v>0</v>
      </c>
      <c r="N48" s="195">
        <v>6367179.617443087</v>
      </c>
      <c r="O48" s="195">
        <v>1983570.2909781807</v>
      </c>
      <c r="P48" s="195">
        <v>8350749.908421267</v>
      </c>
      <c r="Q48" s="195">
        <v>84</v>
      </c>
      <c r="R48" s="195">
        <v>22</v>
      </c>
      <c r="S48" s="195">
        <v>101</v>
      </c>
      <c r="T48" s="195">
        <v>71</v>
      </c>
      <c r="U48" s="195">
        <v>71</v>
      </c>
      <c r="V48" s="195">
        <v>1077</v>
      </c>
      <c r="W48" s="195">
        <v>333</v>
      </c>
      <c r="X48" s="195">
        <v>193</v>
      </c>
      <c r="Y48" s="195">
        <v>127</v>
      </c>
      <c r="Z48" s="195">
        <v>21</v>
      </c>
      <c r="AA48" s="195">
        <v>0</v>
      </c>
      <c r="AB48" s="195">
        <v>1997</v>
      </c>
      <c r="AC48" s="195">
        <v>61</v>
      </c>
      <c r="AD48" s="195">
        <v>653</v>
      </c>
      <c r="AE48" s="195">
        <v>1.6151237849355138</v>
      </c>
      <c r="AF48" s="195">
        <v>3814105.9672468742</v>
      </c>
      <c r="AG48" s="195">
        <v>4388561.714654277</v>
      </c>
      <c r="AH48" s="195">
        <v>1415090.5255262917</v>
      </c>
      <c r="AI48" s="195">
        <v>401361.326991561</v>
      </c>
      <c r="AJ48" s="195">
        <v>83</v>
      </c>
      <c r="AK48" s="195">
        <v>941</v>
      </c>
      <c r="AL48" s="195">
        <v>0.6643042585986967</v>
      </c>
      <c r="AM48" s="195">
        <v>61</v>
      </c>
      <c r="AN48" s="195">
        <v>0.02934102934102934</v>
      </c>
      <c r="AO48" s="195">
        <v>0.025372775372775373</v>
      </c>
      <c r="AP48" s="195">
        <v>0</v>
      </c>
      <c r="AQ48" s="195">
        <v>21</v>
      </c>
      <c r="AR48" s="195">
        <v>0</v>
      </c>
      <c r="AS48" s="195">
        <v>0</v>
      </c>
      <c r="AT48" s="195">
        <v>0</v>
      </c>
      <c r="AU48" s="195">
        <v>642.38</v>
      </c>
      <c r="AV48" s="195">
        <v>3.2364021295806222</v>
      </c>
      <c r="AW48" s="195">
        <v>5.594272400181205</v>
      </c>
      <c r="AX48" s="195">
        <v>128</v>
      </c>
      <c r="AY48" s="195">
        <v>561</v>
      </c>
      <c r="AZ48" s="195">
        <v>0.2281639928698752</v>
      </c>
      <c r="BA48" s="195">
        <v>0.16314119266720672</v>
      </c>
      <c r="BB48" s="195">
        <v>0.468083</v>
      </c>
      <c r="BC48" s="195">
        <v>747</v>
      </c>
      <c r="BD48" s="195">
        <v>845</v>
      </c>
      <c r="BE48" s="195">
        <v>0.8840236686390532</v>
      </c>
      <c r="BF48" s="195">
        <v>0.45308215059674717</v>
      </c>
      <c r="BG48" s="195">
        <v>0</v>
      </c>
      <c r="BH48" s="195">
        <v>0</v>
      </c>
      <c r="BI48" s="195">
        <v>0</v>
      </c>
      <c r="BJ48" s="195">
        <v>-498.96</v>
      </c>
      <c r="BK48" s="195">
        <v>-8523.9</v>
      </c>
      <c r="BL48" s="195">
        <v>-582.12</v>
      </c>
      <c r="BM48" s="195">
        <v>-2972.97</v>
      </c>
      <c r="BN48" s="195">
        <v>-83.16</v>
      </c>
      <c r="BO48" s="195">
        <v>14391</v>
      </c>
      <c r="BP48" s="195">
        <v>-38516.181949030564</v>
      </c>
      <c r="BQ48" s="195">
        <v>-177692.13</v>
      </c>
      <c r="BR48" s="195">
        <v>-10711.074828449637</v>
      </c>
      <c r="BS48" s="195">
        <v>269740</v>
      </c>
      <c r="BT48" s="195">
        <v>77472</v>
      </c>
      <c r="BU48" s="195">
        <v>213295.79956305336</v>
      </c>
      <c r="BV48" s="195">
        <v>12038.590237768842</v>
      </c>
      <c r="BW48" s="195">
        <v>34652.234374850144</v>
      </c>
      <c r="BX48" s="195">
        <v>98865.7058690814</v>
      </c>
      <c r="BY48" s="195">
        <v>137259.29576889312</v>
      </c>
      <c r="BZ48" s="195">
        <v>215846.0136425003</v>
      </c>
      <c r="CA48" s="195">
        <v>59384.963310295956</v>
      </c>
      <c r="CB48" s="195">
        <v>187.10999999999999</v>
      </c>
      <c r="CC48" s="195">
        <v>-11706.83174474837</v>
      </c>
      <c r="CD48" s="195">
        <v>1110839.546193245</v>
      </c>
      <c r="CE48" s="195">
        <v>820639.6242442145</v>
      </c>
      <c r="CF48" s="195">
        <v>0</v>
      </c>
      <c r="CG48" s="229">
        <v>1983570.2909781807</v>
      </c>
      <c r="CH48" s="195">
        <v>-453490</v>
      </c>
      <c r="CI48" s="195">
        <v>-12410.557599999996</v>
      </c>
      <c r="CJ48" s="195">
        <v>7897259.908421267</v>
      </c>
      <c r="CL48" s="195">
        <v>2123</v>
      </c>
    </row>
    <row r="49" spans="1:90" ht="9.75">
      <c r="A49" s="195">
        <v>152</v>
      </c>
      <c r="B49" s="195" t="s">
        <v>117</v>
      </c>
      <c r="C49" s="195">
        <v>4712</v>
      </c>
      <c r="D49" s="195">
        <v>17578223.12</v>
      </c>
      <c r="E49" s="195">
        <v>6490731.714536592</v>
      </c>
      <c r="F49" s="195">
        <v>704056.248840147</v>
      </c>
      <c r="G49" s="195">
        <v>24773011.08337674</v>
      </c>
      <c r="H49" s="195">
        <v>3540.31</v>
      </c>
      <c r="I49" s="195">
        <v>16681940.72</v>
      </c>
      <c r="J49" s="195">
        <v>8091070.3633767385</v>
      </c>
      <c r="K49" s="195">
        <v>63500.517151617176</v>
      </c>
      <c r="L49" s="195">
        <v>1276825.7630331186</v>
      </c>
      <c r="M49" s="195">
        <v>0</v>
      </c>
      <c r="N49" s="195">
        <v>9431396.643561475</v>
      </c>
      <c r="O49" s="195">
        <v>3587218.1774623245</v>
      </c>
      <c r="P49" s="195">
        <v>13018614.8210238</v>
      </c>
      <c r="Q49" s="195">
        <v>302</v>
      </c>
      <c r="R49" s="195">
        <v>48</v>
      </c>
      <c r="S49" s="195">
        <v>353</v>
      </c>
      <c r="T49" s="195">
        <v>172</v>
      </c>
      <c r="U49" s="195">
        <v>162</v>
      </c>
      <c r="V49" s="195">
        <v>2458</v>
      </c>
      <c r="W49" s="195">
        <v>630</v>
      </c>
      <c r="X49" s="195">
        <v>416</v>
      </c>
      <c r="Y49" s="195">
        <v>171</v>
      </c>
      <c r="Z49" s="195">
        <v>34</v>
      </c>
      <c r="AA49" s="195">
        <v>0</v>
      </c>
      <c r="AB49" s="195">
        <v>4643</v>
      </c>
      <c r="AC49" s="195">
        <v>35</v>
      </c>
      <c r="AD49" s="195">
        <v>1217</v>
      </c>
      <c r="AE49" s="195">
        <v>1.2127071104875224</v>
      </c>
      <c r="AF49" s="195">
        <v>6490731.714536592</v>
      </c>
      <c r="AG49" s="195">
        <v>7998152.733774451</v>
      </c>
      <c r="AH49" s="195">
        <v>2308319.484677397</v>
      </c>
      <c r="AI49" s="195">
        <v>722450.3885848097</v>
      </c>
      <c r="AJ49" s="195">
        <v>228</v>
      </c>
      <c r="AK49" s="195">
        <v>2172</v>
      </c>
      <c r="AL49" s="195">
        <v>0.7905941449434931</v>
      </c>
      <c r="AM49" s="195">
        <v>35</v>
      </c>
      <c r="AN49" s="195">
        <v>0.007427843803056027</v>
      </c>
      <c r="AO49" s="195">
        <v>0.003459589834802059</v>
      </c>
      <c r="AP49" s="195">
        <v>0</v>
      </c>
      <c r="AQ49" s="195">
        <v>34</v>
      </c>
      <c r="AR49" s="195">
        <v>0</v>
      </c>
      <c r="AS49" s="195">
        <v>0</v>
      </c>
      <c r="AT49" s="195">
        <v>0</v>
      </c>
      <c r="AU49" s="195">
        <v>354.13</v>
      </c>
      <c r="AV49" s="195">
        <v>13.305848134865727</v>
      </c>
      <c r="AW49" s="195">
        <v>1.3607035737886284</v>
      </c>
      <c r="AX49" s="195">
        <v>160</v>
      </c>
      <c r="AY49" s="195">
        <v>1356</v>
      </c>
      <c r="AZ49" s="195">
        <v>0.11799410029498525</v>
      </c>
      <c r="BA49" s="195">
        <v>0.05297130009231678</v>
      </c>
      <c r="BB49" s="195">
        <v>0</v>
      </c>
      <c r="BC49" s="195">
        <v>1249</v>
      </c>
      <c r="BD49" s="195">
        <v>1938</v>
      </c>
      <c r="BE49" s="195">
        <v>0.6444788441692466</v>
      </c>
      <c r="BF49" s="195">
        <v>0.21353732612694054</v>
      </c>
      <c r="BG49" s="195">
        <v>0</v>
      </c>
      <c r="BH49" s="195">
        <v>0</v>
      </c>
      <c r="BI49" s="195">
        <v>0</v>
      </c>
      <c r="BJ49" s="195">
        <v>-1130.8799999999999</v>
      </c>
      <c r="BK49" s="195">
        <v>-19319.199999999997</v>
      </c>
      <c r="BL49" s="195">
        <v>-1319.3600000000001</v>
      </c>
      <c r="BM49" s="195">
        <v>-6738.16</v>
      </c>
      <c r="BN49" s="195">
        <v>-188.48</v>
      </c>
      <c r="BO49" s="195">
        <v>-42666</v>
      </c>
      <c r="BP49" s="195">
        <v>-129054.22003701152</v>
      </c>
      <c r="BQ49" s="195">
        <v>-402734.64</v>
      </c>
      <c r="BR49" s="195">
        <v>-4805.183234481141</v>
      </c>
      <c r="BS49" s="195">
        <v>453574</v>
      </c>
      <c r="BT49" s="195">
        <v>149113</v>
      </c>
      <c r="BU49" s="195">
        <v>365093.086581899</v>
      </c>
      <c r="BV49" s="195">
        <v>18504.183119397294</v>
      </c>
      <c r="BW49" s="195">
        <v>39985.40308242453</v>
      </c>
      <c r="BX49" s="195">
        <v>140431.9440813769</v>
      </c>
      <c r="BY49" s="195">
        <v>268667.9662523781</v>
      </c>
      <c r="BZ49" s="195">
        <v>453481.51872165385</v>
      </c>
      <c r="CA49" s="195">
        <v>129663.84291719738</v>
      </c>
      <c r="CB49" s="195">
        <v>424.08</v>
      </c>
      <c r="CC49" s="195">
        <v>4564.141548284166</v>
      </c>
      <c r="CD49" s="195">
        <v>1976314.70307013</v>
      </c>
      <c r="CE49" s="195">
        <v>1276825.7630331186</v>
      </c>
      <c r="CF49" s="195">
        <v>0</v>
      </c>
      <c r="CG49" s="229">
        <v>3587218.1774623245</v>
      </c>
      <c r="CH49" s="195">
        <v>-168421</v>
      </c>
      <c r="CI49" s="195">
        <v>-21405.604599999962</v>
      </c>
      <c r="CJ49" s="195">
        <v>12850193.8210238</v>
      </c>
      <c r="CL49" s="195">
        <v>4785</v>
      </c>
    </row>
    <row r="50" spans="1:90" ht="9.75">
      <c r="A50" s="195">
        <v>165</v>
      </c>
      <c r="B50" s="195" t="s">
        <v>118</v>
      </c>
      <c r="C50" s="195">
        <v>16709</v>
      </c>
      <c r="D50" s="195">
        <v>58053136.13</v>
      </c>
      <c r="E50" s="195">
        <v>17192010.712064866</v>
      </c>
      <c r="F50" s="195">
        <v>2730967.831767494</v>
      </c>
      <c r="G50" s="195">
        <v>77976114.67383237</v>
      </c>
      <c r="H50" s="195">
        <v>3540.31</v>
      </c>
      <c r="I50" s="195">
        <v>59155039.79</v>
      </c>
      <c r="J50" s="195">
        <v>18821074.883832373</v>
      </c>
      <c r="K50" s="195">
        <v>330896.77392303303</v>
      </c>
      <c r="L50" s="195">
        <v>2117511.83219159</v>
      </c>
      <c r="M50" s="195">
        <v>0</v>
      </c>
      <c r="N50" s="195">
        <v>21269483.489946995</v>
      </c>
      <c r="O50" s="195">
        <v>3990474.5156956064</v>
      </c>
      <c r="P50" s="195">
        <v>25259958.0056426</v>
      </c>
      <c r="Q50" s="195">
        <v>974</v>
      </c>
      <c r="R50" s="195">
        <v>200</v>
      </c>
      <c r="S50" s="195">
        <v>1282</v>
      </c>
      <c r="T50" s="195">
        <v>655</v>
      </c>
      <c r="U50" s="195">
        <v>600</v>
      </c>
      <c r="V50" s="195">
        <v>9261</v>
      </c>
      <c r="W50" s="195">
        <v>2097</v>
      </c>
      <c r="X50" s="195">
        <v>1217</v>
      </c>
      <c r="Y50" s="195">
        <v>423</v>
      </c>
      <c r="Z50" s="195">
        <v>58</v>
      </c>
      <c r="AA50" s="195">
        <v>0</v>
      </c>
      <c r="AB50" s="195">
        <v>16203</v>
      </c>
      <c r="AC50" s="195">
        <v>448</v>
      </c>
      <c r="AD50" s="195">
        <v>3737</v>
      </c>
      <c r="AE50" s="195">
        <v>0.9058238708219031</v>
      </c>
      <c r="AF50" s="195">
        <v>17192010.712064866</v>
      </c>
      <c r="AG50" s="195">
        <v>22288334.95635217</v>
      </c>
      <c r="AH50" s="195">
        <v>4568864.239220224</v>
      </c>
      <c r="AI50" s="195">
        <v>2283299.993551991</v>
      </c>
      <c r="AJ50" s="195">
        <v>819</v>
      </c>
      <c r="AK50" s="195">
        <v>7917</v>
      </c>
      <c r="AL50" s="195">
        <v>0.7791154640731701</v>
      </c>
      <c r="AM50" s="195">
        <v>448</v>
      </c>
      <c r="AN50" s="195">
        <v>0.026811897779639715</v>
      </c>
      <c r="AO50" s="195">
        <v>0.022843643811385747</v>
      </c>
      <c r="AP50" s="195">
        <v>0</v>
      </c>
      <c r="AQ50" s="195">
        <v>58</v>
      </c>
      <c r="AR50" s="195">
        <v>0</v>
      </c>
      <c r="AS50" s="195">
        <v>0</v>
      </c>
      <c r="AT50" s="195">
        <v>0</v>
      </c>
      <c r="AU50" s="195">
        <v>547.46</v>
      </c>
      <c r="AV50" s="195">
        <v>30.520951302378254</v>
      </c>
      <c r="AW50" s="195">
        <v>0.593209396719877</v>
      </c>
      <c r="AX50" s="195">
        <v>748</v>
      </c>
      <c r="AY50" s="195">
        <v>5453</v>
      </c>
      <c r="AZ50" s="195">
        <v>0.13717219878965706</v>
      </c>
      <c r="BA50" s="195">
        <v>0.07214939858698859</v>
      </c>
      <c r="BB50" s="195">
        <v>0</v>
      </c>
      <c r="BC50" s="195">
        <v>5269</v>
      </c>
      <c r="BD50" s="195">
        <v>7075</v>
      </c>
      <c r="BE50" s="195">
        <v>0.7447349823321555</v>
      </c>
      <c r="BF50" s="195">
        <v>0.31379346428984944</v>
      </c>
      <c r="BG50" s="195">
        <v>0</v>
      </c>
      <c r="BH50" s="195">
        <v>0</v>
      </c>
      <c r="BI50" s="195">
        <v>0</v>
      </c>
      <c r="BJ50" s="195">
        <v>-4010.16</v>
      </c>
      <c r="BK50" s="195">
        <v>-68506.9</v>
      </c>
      <c r="BL50" s="195">
        <v>-4678.52</v>
      </c>
      <c r="BM50" s="195">
        <v>-23893.87</v>
      </c>
      <c r="BN50" s="195">
        <v>-668.36</v>
      </c>
      <c r="BO50" s="195">
        <v>-107529</v>
      </c>
      <c r="BP50" s="195">
        <v>-974909.5924501373</v>
      </c>
      <c r="BQ50" s="195">
        <v>-1428118.23</v>
      </c>
      <c r="BR50" s="195">
        <v>-98206.12784617394</v>
      </c>
      <c r="BS50" s="195">
        <v>1200523</v>
      </c>
      <c r="BT50" s="195">
        <v>390977</v>
      </c>
      <c r="BU50" s="195">
        <v>770002.6127360079</v>
      </c>
      <c r="BV50" s="195">
        <v>16847.511053475086</v>
      </c>
      <c r="BW50" s="195">
        <v>79300.42876373355</v>
      </c>
      <c r="BX50" s="195">
        <v>347639.4998992068</v>
      </c>
      <c r="BY50" s="195">
        <v>766328.7059845112</v>
      </c>
      <c r="BZ50" s="195">
        <v>1292371.9047316522</v>
      </c>
      <c r="CA50" s="195">
        <v>412507.3187612654</v>
      </c>
      <c r="CB50" s="195">
        <v>1503.81</v>
      </c>
      <c r="CC50" s="195">
        <v>41943.760558050475</v>
      </c>
      <c r="CD50" s="195">
        <v>5115212.9646417275</v>
      </c>
      <c r="CE50" s="195">
        <v>2117511.83219159</v>
      </c>
      <c r="CF50" s="195">
        <v>0</v>
      </c>
      <c r="CG50" s="229">
        <v>3990474.5156956064</v>
      </c>
      <c r="CH50" s="195">
        <v>-2192869</v>
      </c>
      <c r="CI50" s="195">
        <v>-24273.590599999938</v>
      </c>
      <c r="CJ50" s="195">
        <v>23067089.0056426</v>
      </c>
      <c r="CL50" s="195">
        <v>16853</v>
      </c>
    </row>
    <row r="51" spans="1:90" ht="9.75">
      <c r="A51" s="195">
        <v>167</v>
      </c>
      <c r="B51" s="195" t="s">
        <v>119</v>
      </c>
      <c r="C51" s="195">
        <v>75848</v>
      </c>
      <c r="D51" s="195">
        <v>238548748.95999998</v>
      </c>
      <c r="E51" s="195">
        <v>100252428.02284333</v>
      </c>
      <c r="F51" s="195">
        <v>17772075.87712857</v>
      </c>
      <c r="G51" s="195">
        <v>356573252.8599719</v>
      </c>
      <c r="H51" s="195">
        <v>3540.31</v>
      </c>
      <c r="I51" s="195">
        <v>268525432.88</v>
      </c>
      <c r="J51" s="195">
        <v>88047819.97997189</v>
      </c>
      <c r="K51" s="195">
        <v>3438039.6053946395</v>
      </c>
      <c r="L51" s="195">
        <v>13520585.211868268</v>
      </c>
      <c r="M51" s="195">
        <v>0</v>
      </c>
      <c r="N51" s="195">
        <v>105006444.7972348</v>
      </c>
      <c r="O51" s="195">
        <v>38857332.74288392</v>
      </c>
      <c r="P51" s="195">
        <v>143863777.54011872</v>
      </c>
      <c r="Q51" s="195">
        <v>4378</v>
      </c>
      <c r="R51" s="195">
        <v>723</v>
      </c>
      <c r="S51" s="195">
        <v>4266</v>
      </c>
      <c r="T51" s="195">
        <v>2181</v>
      </c>
      <c r="U51" s="195">
        <v>2453</v>
      </c>
      <c r="V51" s="195">
        <v>46456</v>
      </c>
      <c r="W51" s="195">
        <v>8636</v>
      </c>
      <c r="X51" s="195">
        <v>4798</v>
      </c>
      <c r="Y51" s="195">
        <v>1957</v>
      </c>
      <c r="Z51" s="195">
        <v>61</v>
      </c>
      <c r="AA51" s="195">
        <v>1</v>
      </c>
      <c r="AB51" s="195">
        <v>72359</v>
      </c>
      <c r="AC51" s="195">
        <v>3427</v>
      </c>
      <c r="AD51" s="195">
        <v>15391</v>
      </c>
      <c r="AE51" s="195">
        <v>1.1636391201932443</v>
      </c>
      <c r="AF51" s="195">
        <v>100252428.02284333</v>
      </c>
      <c r="AG51" s="195">
        <v>124088409.56245634</v>
      </c>
      <c r="AH51" s="195">
        <v>30258763.081867535</v>
      </c>
      <c r="AI51" s="195">
        <v>11559206.217356954</v>
      </c>
      <c r="AJ51" s="195">
        <v>6369</v>
      </c>
      <c r="AK51" s="195">
        <v>35248</v>
      </c>
      <c r="AL51" s="195">
        <v>1.3608659151325713</v>
      </c>
      <c r="AM51" s="195">
        <v>3427</v>
      </c>
      <c r="AN51" s="195">
        <v>0.04518247020356502</v>
      </c>
      <c r="AO51" s="195">
        <v>0.04121421623531105</v>
      </c>
      <c r="AP51" s="195">
        <v>0</v>
      </c>
      <c r="AQ51" s="195">
        <v>61</v>
      </c>
      <c r="AR51" s="195">
        <v>1</v>
      </c>
      <c r="AS51" s="195">
        <v>0</v>
      </c>
      <c r="AT51" s="195">
        <v>0</v>
      </c>
      <c r="AU51" s="195">
        <v>2381.69</v>
      </c>
      <c r="AV51" s="195">
        <v>31.846294018113188</v>
      </c>
      <c r="AW51" s="195">
        <v>0.5685218851243038</v>
      </c>
      <c r="AX51" s="195">
        <v>2131</v>
      </c>
      <c r="AY51" s="195">
        <v>21378</v>
      </c>
      <c r="AZ51" s="195">
        <v>0.09968191598839929</v>
      </c>
      <c r="BA51" s="195">
        <v>0.03465911578573082</v>
      </c>
      <c r="BB51" s="195">
        <v>0</v>
      </c>
      <c r="BC51" s="195">
        <v>33417</v>
      </c>
      <c r="BD51" s="195">
        <v>29079</v>
      </c>
      <c r="BE51" s="195">
        <v>1.1491798204890127</v>
      </c>
      <c r="BF51" s="195">
        <v>0.7182383024467066</v>
      </c>
      <c r="BG51" s="195">
        <v>0</v>
      </c>
      <c r="BH51" s="195">
        <v>1</v>
      </c>
      <c r="BI51" s="195">
        <v>0</v>
      </c>
      <c r="BJ51" s="195">
        <v>-18203.52</v>
      </c>
      <c r="BK51" s="195">
        <v>-310976.8</v>
      </c>
      <c r="BL51" s="195">
        <v>-21237.440000000002</v>
      </c>
      <c r="BM51" s="195">
        <v>-108462.64</v>
      </c>
      <c r="BN51" s="195">
        <v>-3033.92</v>
      </c>
      <c r="BO51" s="195">
        <v>1312533</v>
      </c>
      <c r="BP51" s="195">
        <v>-5226695.911498966</v>
      </c>
      <c r="BQ51" s="195">
        <v>-6482728.56</v>
      </c>
      <c r="BR51" s="195">
        <v>12210.197223514318</v>
      </c>
      <c r="BS51" s="195">
        <v>5466814</v>
      </c>
      <c r="BT51" s="195">
        <v>1850095</v>
      </c>
      <c r="BU51" s="195">
        <v>4594015.07155131</v>
      </c>
      <c r="BV51" s="195">
        <v>215631.76150351088</v>
      </c>
      <c r="BW51" s="195">
        <v>465003.0000221078</v>
      </c>
      <c r="BX51" s="195">
        <v>2009551.502761441</v>
      </c>
      <c r="BY51" s="195">
        <v>3964396.5649567964</v>
      </c>
      <c r="BZ51" s="195">
        <v>5401227.402479835</v>
      </c>
      <c r="CA51" s="195">
        <v>1924574.6828458277</v>
      </c>
      <c r="CB51" s="195">
        <v>6826.32</v>
      </c>
      <c r="CC51" s="195">
        <v>702010.620022894</v>
      </c>
      <c r="CD51" s="195">
        <v>27929440.003367234</v>
      </c>
      <c r="CE51" s="195">
        <v>13520585.211868268</v>
      </c>
      <c r="CF51" s="195">
        <v>0</v>
      </c>
      <c r="CG51" s="229">
        <v>38857332.74288392</v>
      </c>
      <c r="CH51" s="195">
        <v>-2222943</v>
      </c>
      <c r="CI51" s="195">
        <v>-6775233.657779999</v>
      </c>
      <c r="CJ51" s="195">
        <v>141640834.54011872</v>
      </c>
      <c r="CL51" s="195">
        <v>75514</v>
      </c>
    </row>
    <row r="52" spans="1:90" ht="9.75">
      <c r="A52" s="195">
        <v>169</v>
      </c>
      <c r="B52" s="195" t="s">
        <v>120</v>
      </c>
      <c r="C52" s="195">
        <v>5341</v>
      </c>
      <c r="D52" s="195">
        <v>18974620.6</v>
      </c>
      <c r="E52" s="195">
        <v>5512283.593585266</v>
      </c>
      <c r="F52" s="195">
        <v>830686.0052405328</v>
      </c>
      <c r="G52" s="195">
        <v>25317590.198825803</v>
      </c>
      <c r="H52" s="195">
        <v>3540.31</v>
      </c>
      <c r="I52" s="195">
        <v>18908795.71</v>
      </c>
      <c r="J52" s="195">
        <v>6408794.488825802</v>
      </c>
      <c r="K52" s="195">
        <v>124101.7523103982</v>
      </c>
      <c r="L52" s="195">
        <v>1380315.6294748608</v>
      </c>
      <c r="M52" s="195">
        <v>0</v>
      </c>
      <c r="N52" s="195">
        <v>7913211.87061106</v>
      </c>
      <c r="O52" s="195">
        <v>2423859.7963356073</v>
      </c>
      <c r="P52" s="195">
        <v>10337071.666946668</v>
      </c>
      <c r="Q52" s="195">
        <v>294</v>
      </c>
      <c r="R52" s="195">
        <v>67</v>
      </c>
      <c r="S52" s="195">
        <v>379</v>
      </c>
      <c r="T52" s="195">
        <v>221</v>
      </c>
      <c r="U52" s="195">
        <v>214</v>
      </c>
      <c r="V52" s="195">
        <v>2921</v>
      </c>
      <c r="W52" s="195">
        <v>703</v>
      </c>
      <c r="X52" s="195">
        <v>377</v>
      </c>
      <c r="Y52" s="195">
        <v>165</v>
      </c>
      <c r="Z52" s="195">
        <v>26</v>
      </c>
      <c r="AA52" s="195">
        <v>0</v>
      </c>
      <c r="AB52" s="195">
        <v>5218</v>
      </c>
      <c r="AC52" s="195">
        <v>97</v>
      </c>
      <c r="AD52" s="195">
        <v>1245</v>
      </c>
      <c r="AE52" s="195">
        <v>0.9086079284650855</v>
      </c>
      <c r="AF52" s="195">
        <v>5512283.593585266</v>
      </c>
      <c r="AG52" s="195">
        <v>6996198.909591254</v>
      </c>
      <c r="AH52" s="195">
        <v>1489847.034528334</v>
      </c>
      <c r="AI52" s="195">
        <v>570824.9983879977</v>
      </c>
      <c r="AJ52" s="195">
        <v>284</v>
      </c>
      <c r="AK52" s="195">
        <v>2587</v>
      </c>
      <c r="AL52" s="195">
        <v>0.826800020887338</v>
      </c>
      <c r="AM52" s="195">
        <v>97</v>
      </c>
      <c r="AN52" s="195">
        <v>0.018161392997566</v>
      </c>
      <c r="AO52" s="195">
        <v>0.014193139029312032</v>
      </c>
      <c r="AP52" s="195">
        <v>0</v>
      </c>
      <c r="AQ52" s="195">
        <v>26</v>
      </c>
      <c r="AR52" s="195">
        <v>0</v>
      </c>
      <c r="AS52" s="195">
        <v>0</v>
      </c>
      <c r="AT52" s="195">
        <v>0</v>
      </c>
      <c r="AU52" s="195">
        <v>180.42</v>
      </c>
      <c r="AV52" s="195">
        <v>29.603148209732847</v>
      </c>
      <c r="AW52" s="195">
        <v>0.611601002066663</v>
      </c>
      <c r="AX52" s="195">
        <v>248</v>
      </c>
      <c r="AY52" s="195">
        <v>1691</v>
      </c>
      <c r="AZ52" s="195">
        <v>0.14665878178592548</v>
      </c>
      <c r="BA52" s="195">
        <v>0.08163598158325701</v>
      </c>
      <c r="BB52" s="195">
        <v>0</v>
      </c>
      <c r="BC52" s="195">
        <v>1814</v>
      </c>
      <c r="BD52" s="195">
        <v>2270</v>
      </c>
      <c r="BE52" s="195">
        <v>0.7991189427312775</v>
      </c>
      <c r="BF52" s="195">
        <v>0.3681774246889714</v>
      </c>
      <c r="BG52" s="195">
        <v>0</v>
      </c>
      <c r="BH52" s="195">
        <v>0</v>
      </c>
      <c r="BI52" s="195">
        <v>0</v>
      </c>
      <c r="BJ52" s="195">
        <v>-1281.84</v>
      </c>
      <c r="BK52" s="195">
        <v>-21898.1</v>
      </c>
      <c r="BL52" s="195">
        <v>-1495.4800000000002</v>
      </c>
      <c r="BM52" s="195">
        <v>-7637.63</v>
      </c>
      <c r="BN52" s="195">
        <v>-213.64000000000001</v>
      </c>
      <c r="BO52" s="195">
        <v>-15340</v>
      </c>
      <c r="BP52" s="195">
        <v>-175073.5543137753</v>
      </c>
      <c r="BQ52" s="195">
        <v>-456495.27</v>
      </c>
      <c r="BR52" s="195">
        <v>222840.09286955744</v>
      </c>
      <c r="BS52" s="195">
        <v>431133</v>
      </c>
      <c r="BT52" s="195">
        <v>139452</v>
      </c>
      <c r="BU52" s="195">
        <v>326940.78055129474</v>
      </c>
      <c r="BV52" s="195">
        <v>12066.66858147358</v>
      </c>
      <c r="BW52" s="195">
        <v>33921.12678390197</v>
      </c>
      <c r="BX52" s="195">
        <v>152770.26811155965</v>
      </c>
      <c r="BY52" s="195">
        <v>274456.85582012346</v>
      </c>
      <c r="BZ52" s="195">
        <v>465128.85788012884</v>
      </c>
      <c r="CA52" s="195">
        <v>145160.69737056782</v>
      </c>
      <c r="CB52" s="195">
        <v>480.69</v>
      </c>
      <c r="CC52" s="195">
        <v>12639.145820028927</v>
      </c>
      <c r="CD52" s="195">
        <v>2201970.643788636</v>
      </c>
      <c r="CE52" s="195">
        <v>1380315.6294748608</v>
      </c>
      <c r="CF52" s="195">
        <v>0</v>
      </c>
      <c r="CG52" s="229">
        <v>2423859.7963356073</v>
      </c>
      <c r="CH52" s="195">
        <v>-976778</v>
      </c>
      <c r="CI52" s="195">
        <v>-61270.610000000015</v>
      </c>
      <c r="CJ52" s="195">
        <v>9360293.666946668</v>
      </c>
      <c r="CL52" s="195">
        <v>5425</v>
      </c>
    </row>
    <row r="53" spans="1:90" ht="9.75">
      <c r="A53" s="195">
        <v>171</v>
      </c>
      <c r="B53" s="195" t="s">
        <v>121</v>
      </c>
      <c r="C53" s="195">
        <v>5039</v>
      </c>
      <c r="D53" s="195">
        <v>17214953.12</v>
      </c>
      <c r="E53" s="195">
        <v>7759117.200133672</v>
      </c>
      <c r="F53" s="195">
        <v>1207293.760576572</v>
      </c>
      <c r="G53" s="195">
        <v>26181364.080710243</v>
      </c>
      <c r="H53" s="195">
        <v>3540.31</v>
      </c>
      <c r="I53" s="195">
        <v>17839622.09</v>
      </c>
      <c r="J53" s="195">
        <v>8341741.990710244</v>
      </c>
      <c r="K53" s="195">
        <v>114784.4826546204</v>
      </c>
      <c r="L53" s="195">
        <v>1242870.2857226122</v>
      </c>
      <c r="M53" s="195">
        <v>0</v>
      </c>
      <c r="N53" s="195">
        <v>9699396.759087475</v>
      </c>
      <c r="O53" s="195">
        <v>2724746.5853234567</v>
      </c>
      <c r="P53" s="195">
        <v>12424143.344410932</v>
      </c>
      <c r="Q53" s="195">
        <v>254</v>
      </c>
      <c r="R53" s="195">
        <v>61</v>
      </c>
      <c r="S53" s="195">
        <v>311</v>
      </c>
      <c r="T53" s="195">
        <v>169</v>
      </c>
      <c r="U53" s="195">
        <v>153</v>
      </c>
      <c r="V53" s="195">
        <v>2710</v>
      </c>
      <c r="W53" s="195">
        <v>793</v>
      </c>
      <c r="X53" s="195">
        <v>439</v>
      </c>
      <c r="Y53" s="195">
        <v>149</v>
      </c>
      <c r="Z53" s="195">
        <v>19</v>
      </c>
      <c r="AA53" s="195">
        <v>0</v>
      </c>
      <c r="AB53" s="195">
        <v>4898</v>
      </c>
      <c r="AC53" s="195">
        <v>122</v>
      </c>
      <c r="AD53" s="195">
        <v>1381</v>
      </c>
      <c r="AE53" s="195">
        <v>1.3556123000768796</v>
      </c>
      <c r="AF53" s="195">
        <v>7759117.200133672</v>
      </c>
      <c r="AG53" s="195">
        <v>9252593.899658103</v>
      </c>
      <c r="AH53" s="195">
        <v>2688517.2778099445</v>
      </c>
      <c r="AI53" s="195">
        <v>909752.3411808714</v>
      </c>
      <c r="AJ53" s="195">
        <v>284</v>
      </c>
      <c r="AK53" s="195">
        <v>2212</v>
      </c>
      <c r="AL53" s="195">
        <v>0.9669672938677862</v>
      </c>
      <c r="AM53" s="195">
        <v>122</v>
      </c>
      <c r="AN53" s="195">
        <v>0.024211153006548917</v>
      </c>
      <c r="AO53" s="195">
        <v>0.02024289903829495</v>
      </c>
      <c r="AP53" s="195">
        <v>0</v>
      </c>
      <c r="AQ53" s="195">
        <v>19</v>
      </c>
      <c r="AR53" s="195">
        <v>0</v>
      </c>
      <c r="AS53" s="195">
        <v>0</v>
      </c>
      <c r="AT53" s="195">
        <v>0</v>
      </c>
      <c r="AU53" s="195">
        <v>575.13</v>
      </c>
      <c r="AV53" s="195">
        <v>8.761497400587693</v>
      </c>
      <c r="AW53" s="195">
        <v>2.066463560005862</v>
      </c>
      <c r="AX53" s="195">
        <v>234</v>
      </c>
      <c r="AY53" s="195">
        <v>1487</v>
      </c>
      <c r="AZ53" s="195">
        <v>0.15736381977135172</v>
      </c>
      <c r="BA53" s="195">
        <v>0.09234101956868325</v>
      </c>
      <c r="BB53" s="195">
        <v>0</v>
      </c>
      <c r="BC53" s="195">
        <v>1503</v>
      </c>
      <c r="BD53" s="195">
        <v>1898</v>
      </c>
      <c r="BE53" s="195">
        <v>0.791886195995785</v>
      </c>
      <c r="BF53" s="195">
        <v>0.36094467795347895</v>
      </c>
      <c r="BG53" s="195">
        <v>0</v>
      </c>
      <c r="BH53" s="195">
        <v>0</v>
      </c>
      <c r="BI53" s="195">
        <v>0</v>
      </c>
      <c r="BJ53" s="195">
        <v>-1209.36</v>
      </c>
      <c r="BK53" s="195">
        <v>-20659.899999999998</v>
      </c>
      <c r="BL53" s="195">
        <v>-1410.92</v>
      </c>
      <c r="BM53" s="195">
        <v>-7205.7699999999995</v>
      </c>
      <c r="BN53" s="195">
        <v>-201.56</v>
      </c>
      <c r="BO53" s="195">
        <v>-25108</v>
      </c>
      <c r="BP53" s="195">
        <v>-131055.06065774037</v>
      </c>
      <c r="BQ53" s="195">
        <v>-430683.33</v>
      </c>
      <c r="BR53" s="195">
        <v>-48409.14895039052</v>
      </c>
      <c r="BS53" s="195">
        <v>458018</v>
      </c>
      <c r="BT53" s="195">
        <v>146662</v>
      </c>
      <c r="BU53" s="195">
        <v>360067.20291200245</v>
      </c>
      <c r="BV53" s="195">
        <v>19282.32906391698</v>
      </c>
      <c r="BW53" s="195">
        <v>64627.10886705624</v>
      </c>
      <c r="BX53" s="195">
        <v>183244.2423845158</v>
      </c>
      <c r="BY53" s="195">
        <v>271733.55857463356</v>
      </c>
      <c r="BZ53" s="195">
        <v>427994.98927957815</v>
      </c>
      <c r="CA53" s="195">
        <v>126591.82804576923</v>
      </c>
      <c r="CB53" s="195">
        <v>453.51</v>
      </c>
      <c r="CC53" s="195">
        <v>-1513.2737967293433</v>
      </c>
      <c r="CD53" s="195">
        <v>1983946.6863803526</v>
      </c>
      <c r="CE53" s="195">
        <v>1242870.2857226122</v>
      </c>
      <c r="CF53" s="195">
        <v>0</v>
      </c>
      <c r="CG53" s="229">
        <v>2724746.5853234567</v>
      </c>
      <c r="CH53" s="195">
        <v>-343775</v>
      </c>
      <c r="CI53" s="195">
        <v>-68205.92159999999</v>
      </c>
      <c r="CJ53" s="195">
        <v>12080368.344410932</v>
      </c>
      <c r="CL53" s="195">
        <v>5110</v>
      </c>
    </row>
    <row r="54" spans="1:90" ht="9.75">
      <c r="A54" s="195">
        <v>172</v>
      </c>
      <c r="B54" s="195" t="s">
        <v>122</v>
      </c>
      <c r="C54" s="195">
        <v>4673</v>
      </c>
      <c r="D54" s="195">
        <v>16825416.83</v>
      </c>
      <c r="E54" s="195">
        <v>7647194.034131621</v>
      </c>
      <c r="F54" s="195">
        <v>1578085.278278683</v>
      </c>
      <c r="G54" s="195">
        <v>26050696.1424103</v>
      </c>
      <c r="H54" s="195">
        <v>3540.31</v>
      </c>
      <c r="I54" s="195">
        <v>16543868.629999999</v>
      </c>
      <c r="J54" s="195">
        <v>9506827.512410302</v>
      </c>
      <c r="K54" s="195">
        <v>599476.4783814226</v>
      </c>
      <c r="L54" s="195">
        <v>1398999.1398368771</v>
      </c>
      <c r="M54" s="195">
        <v>0</v>
      </c>
      <c r="N54" s="195">
        <v>11505303.130628603</v>
      </c>
      <c r="O54" s="195">
        <v>3658305.4826552374</v>
      </c>
      <c r="P54" s="195">
        <v>15163608.61328384</v>
      </c>
      <c r="Q54" s="195">
        <v>173</v>
      </c>
      <c r="R54" s="195">
        <v>46</v>
      </c>
      <c r="S54" s="195">
        <v>244</v>
      </c>
      <c r="T54" s="195">
        <v>117</v>
      </c>
      <c r="U54" s="195">
        <v>99</v>
      </c>
      <c r="V54" s="195">
        <v>2350</v>
      </c>
      <c r="W54" s="195">
        <v>874</v>
      </c>
      <c r="X54" s="195">
        <v>550</v>
      </c>
      <c r="Y54" s="195">
        <v>220</v>
      </c>
      <c r="Z54" s="195">
        <v>11</v>
      </c>
      <c r="AA54" s="195">
        <v>0</v>
      </c>
      <c r="AB54" s="195">
        <v>4568</v>
      </c>
      <c r="AC54" s="195">
        <v>94</v>
      </c>
      <c r="AD54" s="195">
        <v>1644</v>
      </c>
      <c r="AE54" s="195">
        <v>1.4407010609454365</v>
      </c>
      <c r="AF54" s="195">
        <v>7647194.034131621</v>
      </c>
      <c r="AG54" s="195">
        <v>9428429.758403173</v>
      </c>
      <c r="AH54" s="195">
        <v>2516211.260594738</v>
      </c>
      <c r="AI54" s="195">
        <v>606501.5607872477</v>
      </c>
      <c r="AJ54" s="195">
        <v>325</v>
      </c>
      <c r="AK54" s="195">
        <v>1960</v>
      </c>
      <c r="AL54" s="195">
        <v>1.2488372872261273</v>
      </c>
      <c r="AM54" s="195">
        <v>94</v>
      </c>
      <c r="AN54" s="195">
        <v>0.020115557457735928</v>
      </c>
      <c r="AO54" s="195">
        <v>0.01614730348948196</v>
      </c>
      <c r="AP54" s="195">
        <v>0</v>
      </c>
      <c r="AQ54" s="195">
        <v>11</v>
      </c>
      <c r="AR54" s="195">
        <v>0</v>
      </c>
      <c r="AS54" s="195">
        <v>3</v>
      </c>
      <c r="AT54" s="195">
        <v>293</v>
      </c>
      <c r="AU54" s="195">
        <v>867.11</v>
      </c>
      <c r="AV54" s="195">
        <v>5.389166311079332</v>
      </c>
      <c r="AW54" s="195">
        <v>3.359576243208284</v>
      </c>
      <c r="AX54" s="195">
        <v>236</v>
      </c>
      <c r="AY54" s="195">
        <v>1219</v>
      </c>
      <c r="AZ54" s="195">
        <v>0.19360131255127153</v>
      </c>
      <c r="BA54" s="195">
        <v>0.12857851234860307</v>
      </c>
      <c r="BB54" s="195">
        <v>0.477716</v>
      </c>
      <c r="BC54" s="195">
        <v>1435</v>
      </c>
      <c r="BD54" s="195">
        <v>1613</v>
      </c>
      <c r="BE54" s="195">
        <v>0.8896466212027279</v>
      </c>
      <c r="BF54" s="195">
        <v>0.4587051031604218</v>
      </c>
      <c r="BG54" s="195">
        <v>0</v>
      </c>
      <c r="BH54" s="195">
        <v>0</v>
      </c>
      <c r="BI54" s="195">
        <v>0</v>
      </c>
      <c r="BJ54" s="195">
        <v>-1121.52</v>
      </c>
      <c r="BK54" s="195">
        <v>-19159.3</v>
      </c>
      <c r="BL54" s="195">
        <v>-1308.44</v>
      </c>
      <c r="BM54" s="195">
        <v>-6682.389999999999</v>
      </c>
      <c r="BN54" s="195">
        <v>-186.92000000000002</v>
      </c>
      <c r="BO54" s="195">
        <v>46067</v>
      </c>
      <c r="BP54" s="195">
        <v>-164569.1410549488</v>
      </c>
      <c r="BQ54" s="195">
        <v>-399401.31</v>
      </c>
      <c r="BR54" s="195">
        <v>-40989.04836730845</v>
      </c>
      <c r="BS54" s="195">
        <v>509443</v>
      </c>
      <c r="BT54" s="195">
        <v>157472</v>
      </c>
      <c r="BU54" s="195">
        <v>386498.84245449177</v>
      </c>
      <c r="BV54" s="195">
        <v>20618.110462585326</v>
      </c>
      <c r="BW54" s="195">
        <v>40447.19861348784</v>
      </c>
      <c r="BX54" s="195">
        <v>194577.63640664515</v>
      </c>
      <c r="BY54" s="195">
        <v>270506.83662957774</v>
      </c>
      <c r="BZ54" s="195">
        <v>404843.30322021345</v>
      </c>
      <c r="CA54" s="195">
        <v>120474.01686827208</v>
      </c>
      <c r="CB54" s="195">
        <v>420.57</v>
      </c>
      <c r="CC54" s="195">
        <v>18621.81460386124</v>
      </c>
      <c r="CD54" s="195">
        <v>2129281.660891826</v>
      </c>
      <c r="CE54" s="195">
        <v>1398999.1398368771</v>
      </c>
      <c r="CF54" s="195">
        <v>0</v>
      </c>
      <c r="CG54" s="229">
        <v>3658305.4826552374</v>
      </c>
      <c r="CH54" s="195">
        <v>9338</v>
      </c>
      <c r="CI54" s="195">
        <v>4406.26939999999</v>
      </c>
      <c r="CJ54" s="195">
        <v>15172946.61328384</v>
      </c>
      <c r="CL54" s="195">
        <v>4688</v>
      </c>
    </row>
    <row r="55" spans="1:90" ht="9.75">
      <c r="A55" s="195">
        <v>176</v>
      </c>
      <c r="B55" s="195" t="s">
        <v>123</v>
      </c>
      <c r="C55" s="195">
        <v>4938</v>
      </c>
      <c r="D55" s="195">
        <v>17134491.259999998</v>
      </c>
      <c r="E55" s="195">
        <v>10184361.311644737</v>
      </c>
      <c r="F55" s="195">
        <v>2065584.2788318547</v>
      </c>
      <c r="G55" s="195">
        <v>29384436.85047659</v>
      </c>
      <c r="H55" s="195">
        <v>3540.31</v>
      </c>
      <c r="I55" s="195">
        <v>17482050.78</v>
      </c>
      <c r="J55" s="195">
        <v>11902386.070476588</v>
      </c>
      <c r="K55" s="195">
        <v>1840326.4865141995</v>
      </c>
      <c r="L55" s="195">
        <v>1978913.823612339</v>
      </c>
      <c r="M55" s="195">
        <v>0</v>
      </c>
      <c r="N55" s="195">
        <v>15721626.380603127</v>
      </c>
      <c r="O55" s="195">
        <v>4501093.017376386</v>
      </c>
      <c r="P55" s="195">
        <v>20222719.397979513</v>
      </c>
      <c r="Q55" s="195">
        <v>156</v>
      </c>
      <c r="R55" s="195">
        <v>40</v>
      </c>
      <c r="S55" s="195">
        <v>252</v>
      </c>
      <c r="T55" s="195">
        <v>128</v>
      </c>
      <c r="U55" s="195">
        <v>136</v>
      </c>
      <c r="V55" s="195">
        <v>2588</v>
      </c>
      <c r="W55" s="195">
        <v>877</v>
      </c>
      <c r="X55" s="195">
        <v>544</v>
      </c>
      <c r="Y55" s="195">
        <v>217</v>
      </c>
      <c r="Z55" s="195">
        <v>3</v>
      </c>
      <c r="AA55" s="195">
        <v>0</v>
      </c>
      <c r="AB55" s="195">
        <v>4834</v>
      </c>
      <c r="AC55" s="195">
        <v>101</v>
      </c>
      <c r="AD55" s="195">
        <v>1638</v>
      </c>
      <c r="AE55" s="195">
        <v>1.8157257810429521</v>
      </c>
      <c r="AF55" s="195">
        <v>10184361.311644737</v>
      </c>
      <c r="AG55" s="195">
        <v>12449125.936059212</v>
      </c>
      <c r="AH55" s="195">
        <v>2861427.0830837246</v>
      </c>
      <c r="AI55" s="195">
        <v>1114892.5749765583</v>
      </c>
      <c r="AJ55" s="195">
        <v>352</v>
      </c>
      <c r="AK55" s="195">
        <v>2030</v>
      </c>
      <c r="AL55" s="195">
        <v>1.3059459207321709</v>
      </c>
      <c r="AM55" s="195">
        <v>101</v>
      </c>
      <c r="AN55" s="195">
        <v>0.020453624949372216</v>
      </c>
      <c r="AO55" s="195">
        <v>0.01648537098111825</v>
      </c>
      <c r="AP55" s="195">
        <v>0</v>
      </c>
      <c r="AQ55" s="195">
        <v>3</v>
      </c>
      <c r="AR55" s="195">
        <v>0</v>
      </c>
      <c r="AS55" s="195">
        <v>3</v>
      </c>
      <c r="AT55" s="195">
        <v>217</v>
      </c>
      <c r="AU55" s="195">
        <v>1501.7</v>
      </c>
      <c r="AV55" s="195">
        <v>3.288273290271026</v>
      </c>
      <c r="AW55" s="195">
        <v>5.5060250505846104</v>
      </c>
      <c r="AX55" s="195">
        <v>244</v>
      </c>
      <c r="AY55" s="195">
        <v>1303</v>
      </c>
      <c r="AZ55" s="195">
        <v>0.18726016884113583</v>
      </c>
      <c r="BA55" s="195">
        <v>0.12223736863846736</v>
      </c>
      <c r="BB55" s="195">
        <v>1.082666</v>
      </c>
      <c r="BC55" s="195">
        <v>1553</v>
      </c>
      <c r="BD55" s="195">
        <v>1576</v>
      </c>
      <c r="BE55" s="195">
        <v>0.9854060913705583</v>
      </c>
      <c r="BF55" s="195">
        <v>0.5544645733282523</v>
      </c>
      <c r="BG55" s="195">
        <v>0</v>
      </c>
      <c r="BH55" s="195">
        <v>0</v>
      </c>
      <c r="BI55" s="195">
        <v>0</v>
      </c>
      <c r="BJ55" s="195">
        <v>-1185.12</v>
      </c>
      <c r="BK55" s="195">
        <v>-20245.8</v>
      </c>
      <c r="BL55" s="195">
        <v>-1382.64</v>
      </c>
      <c r="BM55" s="195">
        <v>-7061.34</v>
      </c>
      <c r="BN55" s="195">
        <v>-197.52</v>
      </c>
      <c r="BO55" s="195">
        <v>323163</v>
      </c>
      <c r="BP55" s="195">
        <v>-202084.90269361492</v>
      </c>
      <c r="BQ55" s="195">
        <v>-422050.86</v>
      </c>
      <c r="BR55" s="195">
        <v>155506.09383029118</v>
      </c>
      <c r="BS55" s="195">
        <v>547362</v>
      </c>
      <c r="BT55" s="195">
        <v>154414</v>
      </c>
      <c r="BU55" s="195">
        <v>415752.7127668068</v>
      </c>
      <c r="BV55" s="195">
        <v>24771.699430695844</v>
      </c>
      <c r="BW55" s="195">
        <v>66604.4829469826</v>
      </c>
      <c r="BX55" s="195">
        <v>225061.96261168466</v>
      </c>
      <c r="BY55" s="195">
        <v>273299.08005427447</v>
      </c>
      <c r="BZ55" s="195">
        <v>416617.9246992255</v>
      </c>
      <c r="CA55" s="195">
        <v>136677.20806758024</v>
      </c>
      <c r="CB55" s="195">
        <v>444.41999999999996</v>
      </c>
      <c r="CC55" s="195">
        <v>38822.141898413305</v>
      </c>
      <c r="CD55" s="195">
        <v>2778793.006305954</v>
      </c>
      <c r="CE55" s="195">
        <v>1978913.823612339</v>
      </c>
      <c r="CF55" s="195">
        <v>0</v>
      </c>
      <c r="CG55" s="229">
        <v>4501093.017376386</v>
      </c>
      <c r="CH55" s="195">
        <v>-194390</v>
      </c>
      <c r="CI55" s="195">
        <v>44323.42</v>
      </c>
      <c r="CJ55" s="195">
        <v>20028329.397979513</v>
      </c>
      <c r="CL55" s="195">
        <v>5034</v>
      </c>
    </row>
    <row r="56" spans="1:90" ht="9.75">
      <c r="A56" s="195">
        <v>177</v>
      </c>
      <c r="B56" s="195" t="s">
        <v>124</v>
      </c>
      <c r="C56" s="195">
        <v>1957</v>
      </c>
      <c r="D56" s="195">
        <v>7187495.4399999995</v>
      </c>
      <c r="E56" s="195">
        <v>2273171.957070634</v>
      </c>
      <c r="F56" s="195">
        <v>455152.98369351565</v>
      </c>
      <c r="G56" s="195">
        <v>9915820.38076415</v>
      </c>
      <c r="H56" s="195">
        <v>3540.31</v>
      </c>
      <c r="I56" s="195">
        <v>6928386.67</v>
      </c>
      <c r="J56" s="195">
        <v>2987433.710764149</v>
      </c>
      <c r="K56" s="195">
        <v>69952.05985000788</v>
      </c>
      <c r="L56" s="195">
        <v>608605.2641025535</v>
      </c>
      <c r="M56" s="195">
        <v>0</v>
      </c>
      <c r="N56" s="195">
        <v>3665991.0347167104</v>
      </c>
      <c r="O56" s="195">
        <v>903792.6125295236</v>
      </c>
      <c r="P56" s="195">
        <v>4569783.647246234</v>
      </c>
      <c r="Q56" s="195">
        <v>111</v>
      </c>
      <c r="R56" s="195">
        <v>18</v>
      </c>
      <c r="S56" s="195">
        <v>128</v>
      </c>
      <c r="T56" s="195">
        <v>76</v>
      </c>
      <c r="U56" s="195">
        <v>55</v>
      </c>
      <c r="V56" s="195">
        <v>1016</v>
      </c>
      <c r="W56" s="195">
        <v>304</v>
      </c>
      <c r="X56" s="195">
        <v>175</v>
      </c>
      <c r="Y56" s="195">
        <v>74</v>
      </c>
      <c r="Z56" s="195">
        <v>2</v>
      </c>
      <c r="AA56" s="195">
        <v>0</v>
      </c>
      <c r="AB56" s="195">
        <v>1940</v>
      </c>
      <c r="AC56" s="195">
        <v>15</v>
      </c>
      <c r="AD56" s="195">
        <v>553</v>
      </c>
      <c r="AE56" s="195">
        <v>1.022607588791403</v>
      </c>
      <c r="AF56" s="195">
        <v>2273171.957070634</v>
      </c>
      <c r="AG56" s="195">
        <v>12837207.10795316</v>
      </c>
      <c r="AH56" s="195">
        <v>3150188.722096157</v>
      </c>
      <c r="AI56" s="195">
        <v>1168407.4185754329</v>
      </c>
      <c r="AJ56" s="195">
        <v>113</v>
      </c>
      <c r="AK56" s="195">
        <v>878</v>
      </c>
      <c r="AL56" s="195">
        <v>0.9693095579983975</v>
      </c>
      <c r="AM56" s="195">
        <v>15</v>
      </c>
      <c r="AN56" s="195">
        <v>0.007664793050587634</v>
      </c>
      <c r="AO56" s="195">
        <v>0.0036965390823336663</v>
      </c>
      <c r="AP56" s="195">
        <v>0</v>
      </c>
      <c r="AQ56" s="195">
        <v>2</v>
      </c>
      <c r="AR56" s="195">
        <v>0</v>
      </c>
      <c r="AS56" s="195">
        <v>0</v>
      </c>
      <c r="AT56" s="195">
        <v>0</v>
      </c>
      <c r="AU56" s="195">
        <v>258.5</v>
      </c>
      <c r="AV56" s="195">
        <v>7.570599613152805</v>
      </c>
      <c r="AW56" s="195">
        <v>2.391529870097109</v>
      </c>
      <c r="AX56" s="195">
        <v>102</v>
      </c>
      <c r="AY56" s="195">
        <v>543</v>
      </c>
      <c r="AZ56" s="195">
        <v>0.1878453038674033</v>
      </c>
      <c r="BA56" s="195">
        <v>0.12282250366473484</v>
      </c>
      <c r="BB56" s="195">
        <v>0</v>
      </c>
      <c r="BC56" s="195">
        <v>746</v>
      </c>
      <c r="BD56" s="195">
        <v>748</v>
      </c>
      <c r="BE56" s="195">
        <v>0.9973262032085561</v>
      </c>
      <c r="BF56" s="195">
        <v>0.5663846851662501</v>
      </c>
      <c r="BG56" s="195">
        <v>0</v>
      </c>
      <c r="BH56" s="195">
        <v>0</v>
      </c>
      <c r="BI56" s="195">
        <v>0</v>
      </c>
      <c r="BJ56" s="195">
        <v>-469.68</v>
      </c>
      <c r="BK56" s="195">
        <v>-8023.699999999999</v>
      </c>
      <c r="BL56" s="195">
        <v>-547.96</v>
      </c>
      <c r="BM56" s="195">
        <v>-2798.5099999999998</v>
      </c>
      <c r="BN56" s="195">
        <v>-78.28</v>
      </c>
      <c r="BO56" s="195">
        <v>74543</v>
      </c>
      <c r="BP56" s="195">
        <v>-100542.24119162525</v>
      </c>
      <c r="BQ56" s="195">
        <v>-167264.79</v>
      </c>
      <c r="BR56" s="195">
        <v>63092.34340299107</v>
      </c>
      <c r="BS56" s="195">
        <v>184962</v>
      </c>
      <c r="BT56" s="195">
        <v>59201</v>
      </c>
      <c r="BU56" s="195">
        <v>142388.02164284655</v>
      </c>
      <c r="BV56" s="195">
        <v>7441.130700675454</v>
      </c>
      <c r="BW56" s="195">
        <v>16358.817618945292</v>
      </c>
      <c r="BX56" s="195">
        <v>62158.934686852546</v>
      </c>
      <c r="BY56" s="195">
        <v>102466.6999239395</v>
      </c>
      <c r="BZ56" s="195">
        <v>189943.87181631447</v>
      </c>
      <c r="CA56" s="195">
        <v>48490.43162298258</v>
      </c>
      <c r="CB56" s="195">
        <v>176.13</v>
      </c>
      <c r="CC56" s="195">
        <v>-5277.876121368623</v>
      </c>
      <c r="CD56" s="195">
        <v>946061.9252941788</v>
      </c>
      <c r="CE56" s="195">
        <v>608605.2641025535</v>
      </c>
      <c r="CF56" s="195">
        <v>0</v>
      </c>
      <c r="CG56" s="229">
        <v>903792.6125295236</v>
      </c>
      <c r="CH56" s="195">
        <v>-466610</v>
      </c>
      <c r="CI56" s="195">
        <v>6518.149999999994</v>
      </c>
      <c r="CJ56" s="195">
        <v>4103173.647246234</v>
      </c>
      <c r="CL56" s="195">
        <v>1988</v>
      </c>
    </row>
    <row r="57" spans="1:90" ht="9.75">
      <c r="A57" s="195">
        <v>178</v>
      </c>
      <c r="B57" s="195" t="s">
        <v>125</v>
      </c>
      <c r="C57" s="195">
        <v>6421</v>
      </c>
      <c r="D57" s="195">
        <v>23326282.369999997</v>
      </c>
      <c r="E57" s="195">
        <v>11658452.82390354</v>
      </c>
      <c r="F57" s="195">
        <v>1743381.9137966542</v>
      </c>
      <c r="G57" s="195">
        <v>36728117.10770019</v>
      </c>
      <c r="H57" s="195">
        <v>3540.31</v>
      </c>
      <c r="I57" s="195">
        <v>22732330.509999998</v>
      </c>
      <c r="J57" s="195">
        <v>13995786.597700194</v>
      </c>
      <c r="K57" s="195">
        <v>767695.9254258343</v>
      </c>
      <c r="L57" s="195">
        <v>1939703.8087055474</v>
      </c>
      <c r="M57" s="195">
        <v>0</v>
      </c>
      <c r="N57" s="195">
        <v>16703186.331831576</v>
      </c>
      <c r="O57" s="195">
        <v>5084369.689174683</v>
      </c>
      <c r="P57" s="195">
        <v>21787556.02100626</v>
      </c>
      <c r="Q57" s="195">
        <v>279</v>
      </c>
      <c r="R57" s="195">
        <v>39</v>
      </c>
      <c r="S57" s="195">
        <v>342</v>
      </c>
      <c r="T57" s="195">
        <v>193</v>
      </c>
      <c r="U57" s="195">
        <v>204</v>
      </c>
      <c r="V57" s="195">
        <v>3310</v>
      </c>
      <c r="W57" s="195">
        <v>1068</v>
      </c>
      <c r="X57" s="195">
        <v>688</v>
      </c>
      <c r="Y57" s="195">
        <v>298</v>
      </c>
      <c r="Z57" s="195">
        <v>18</v>
      </c>
      <c r="AA57" s="195">
        <v>0</v>
      </c>
      <c r="AB57" s="195">
        <v>6239</v>
      </c>
      <c r="AC57" s="195">
        <v>164</v>
      </c>
      <c r="AD57" s="195">
        <v>2054</v>
      </c>
      <c r="AE57" s="195">
        <v>1.598474810962884</v>
      </c>
      <c r="AF57" s="195">
        <v>11658452.82390354</v>
      </c>
      <c r="AG57" s="195">
        <v>3084924.8340634834</v>
      </c>
      <c r="AH57" s="195">
        <v>596542.6018699063</v>
      </c>
      <c r="AI57" s="195">
        <v>205140.2337956867</v>
      </c>
      <c r="AJ57" s="195">
        <v>323</v>
      </c>
      <c r="AK57" s="195">
        <v>2791</v>
      </c>
      <c r="AL57" s="195">
        <v>0.8716080917202179</v>
      </c>
      <c r="AM57" s="195">
        <v>164</v>
      </c>
      <c r="AN57" s="195">
        <v>0.02554119296059804</v>
      </c>
      <c r="AO57" s="195">
        <v>0.02157293899234407</v>
      </c>
      <c r="AP57" s="195">
        <v>0</v>
      </c>
      <c r="AQ57" s="195">
        <v>18</v>
      </c>
      <c r="AR57" s="195">
        <v>0</v>
      </c>
      <c r="AS57" s="195">
        <v>0</v>
      </c>
      <c r="AT57" s="195">
        <v>0</v>
      </c>
      <c r="AU57" s="195">
        <v>1162.92</v>
      </c>
      <c r="AV57" s="195">
        <v>5.521446015203109</v>
      </c>
      <c r="AW57" s="195">
        <v>3.2790894014988456</v>
      </c>
      <c r="AX57" s="195">
        <v>231</v>
      </c>
      <c r="AY57" s="195">
        <v>1714</v>
      </c>
      <c r="AZ57" s="195">
        <v>0.13477246207701282</v>
      </c>
      <c r="BA57" s="195">
        <v>0.06974966187434435</v>
      </c>
      <c r="BB57" s="195">
        <v>0.4344</v>
      </c>
      <c r="BC57" s="195">
        <v>2204</v>
      </c>
      <c r="BD57" s="195">
        <v>2465</v>
      </c>
      <c r="BE57" s="195">
        <v>0.8941176470588236</v>
      </c>
      <c r="BF57" s="195">
        <v>0.4631761290165175</v>
      </c>
      <c r="BG57" s="195">
        <v>0</v>
      </c>
      <c r="BH57" s="195">
        <v>0</v>
      </c>
      <c r="BI57" s="195">
        <v>0</v>
      </c>
      <c r="BJ57" s="195">
        <v>-1541.04</v>
      </c>
      <c r="BK57" s="195">
        <v>-26326.1</v>
      </c>
      <c r="BL57" s="195">
        <v>-1797.88</v>
      </c>
      <c r="BM57" s="195">
        <v>-9182.029999999999</v>
      </c>
      <c r="BN57" s="195">
        <v>-256.84000000000003</v>
      </c>
      <c r="BO57" s="195">
        <v>-95379</v>
      </c>
      <c r="BP57" s="195">
        <v>-244602.7658841032</v>
      </c>
      <c r="BQ57" s="195">
        <v>-548802.87</v>
      </c>
      <c r="BR57" s="195">
        <v>90682.62796044722</v>
      </c>
      <c r="BS57" s="195">
        <v>705473</v>
      </c>
      <c r="BT57" s="195">
        <v>224298</v>
      </c>
      <c r="BU57" s="195">
        <v>573341.1841903866</v>
      </c>
      <c r="BV57" s="195">
        <v>29992.922592651285</v>
      </c>
      <c r="BW57" s="195">
        <v>63985.8973245744</v>
      </c>
      <c r="BX57" s="195">
        <v>254616.91607701505</v>
      </c>
      <c r="BY57" s="195">
        <v>373516.89299610566</v>
      </c>
      <c r="BZ57" s="195">
        <v>589182.0301147826</v>
      </c>
      <c r="CA57" s="195">
        <v>197016.1032720153</v>
      </c>
      <c r="CB57" s="195">
        <v>577.89</v>
      </c>
      <c r="CC57" s="195">
        <v>-46056.889938327506</v>
      </c>
      <c r="CD57" s="195">
        <v>2961632.8345896504</v>
      </c>
      <c r="CE57" s="195">
        <v>1939703.8087055474</v>
      </c>
      <c r="CF57" s="195">
        <v>0</v>
      </c>
      <c r="CG57" s="229">
        <v>5084369.689174683</v>
      </c>
      <c r="CH57" s="195">
        <v>-539213</v>
      </c>
      <c r="CI57" s="195">
        <v>13662.042400000006</v>
      </c>
      <c r="CJ57" s="195">
        <v>21248343.02100626</v>
      </c>
      <c r="CL57" s="195">
        <v>6548</v>
      </c>
    </row>
    <row r="58" spans="1:90" ht="9.75">
      <c r="A58" s="195">
        <v>179</v>
      </c>
      <c r="B58" s="195" t="s">
        <v>126</v>
      </c>
      <c r="C58" s="195">
        <v>138850</v>
      </c>
      <c r="D58" s="195">
        <v>431142377.35999995</v>
      </c>
      <c r="E58" s="195">
        <v>152415588.15800425</v>
      </c>
      <c r="F58" s="195">
        <v>29845677.186304867</v>
      </c>
      <c r="G58" s="195">
        <v>613403642.704309</v>
      </c>
      <c r="H58" s="195">
        <v>3540.31</v>
      </c>
      <c r="I58" s="195">
        <v>491572043.5</v>
      </c>
      <c r="J58" s="195">
        <v>121831599.20430899</v>
      </c>
      <c r="K58" s="195">
        <v>5618833.535678408</v>
      </c>
      <c r="L58" s="195">
        <v>20148515.511526994</v>
      </c>
      <c r="M58" s="195">
        <v>0</v>
      </c>
      <c r="N58" s="195">
        <v>147598948.25151438</v>
      </c>
      <c r="O58" s="195">
        <v>46126887.511368</v>
      </c>
      <c r="P58" s="195">
        <v>193725835.76288238</v>
      </c>
      <c r="Q58" s="195">
        <v>9042</v>
      </c>
      <c r="R58" s="195">
        <v>1554</v>
      </c>
      <c r="S58" s="195">
        <v>8922</v>
      </c>
      <c r="T58" s="195">
        <v>4019</v>
      </c>
      <c r="U58" s="195">
        <v>4260</v>
      </c>
      <c r="V58" s="195">
        <v>86978</v>
      </c>
      <c r="W58" s="195">
        <v>13846</v>
      </c>
      <c r="X58" s="195">
        <v>7364</v>
      </c>
      <c r="Y58" s="195">
        <v>2865</v>
      </c>
      <c r="Z58" s="195">
        <v>304</v>
      </c>
      <c r="AA58" s="195">
        <v>12</v>
      </c>
      <c r="AB58" s="195">
        <v>131958</v>
      </c>
      <c r="AC58" s="195">
        <v>6576</v>
      </c>
      <c r="AD58" s="195">
        <v>24075</v>
      </c>
      <c r="AE58" s="195">
        <v>0.9663869340273663</v>
      </c>
      <c r="AF58" s="195">
        <v>152415588.15800425</v>
      </c>
      <c r="AG58" s="195">
        <v>13210189.259282188</v>
      </c>
      <c r="AH58" s="195">
        <v>4799171.646812079</v>
      </c>
      <c r="AI58" s="195">
        <v>1025701.1689784334</v>
      </c>
      <c r="AJ58" s="195">
        <v>11499</v>
      </c>
      <c r="AK58" s="195">
        <v>67420</v>
      </c>
      <c r="AL58" s="195">
        <v>1.2845466870362114</v>
      </c>
      <c r="AM58" s="195">
        <v>6576</v>
      </c>
      <c r="AN58" s="195">
        <v>0.047360460929060134</v>
      </c>
      <c r="AO58" s="195">
        <v>0.043392206960806166</v>
      </c>
      <c r="AP58" s="195">
        <v>0</v>
      </c>
      <c r="AQ58" s="195">
        <v>304</v>
      </c>
      <c r="AR58" s="195">
        <v>12</v>
      </c>
      <c r="AS58" s="195">
        <v>3</v>
      </c>
      <c r="AT58" s="195">
        <v>489</v>
      </c>
      <c r="AU58" s="195">
        <v>1170.93</v>
      </c>
      <c r="AV58" s="195">
        <v>118.5809570170719</v>
      </c>
      <c r="AW58" s="195">
        <v>0.15268315895607049</v>
      </c>
      <c r="AX58" s="195">
        <v>4046</v>
      </c>
      <c r="AY58" s="195">
        <v>42516</v>
      </c>
      <c r="AZ58" s="195">
        <v>0.09516417348762819</v>
      </c>
      <c r="BA58" s="195">
        <v>0.03014137328495972</v>
      </c>
      <c r="BB58" s="195">
        <v>0</v>
      </c>
      <c r="BC58" s="195">
        <v>59630</v>
      </c>
      <c r="BD58" s="195">
        <v>55617</v>
      </c>
      <c r="BE58" s="195">
        <v>1.0721541974576119</v>
      </c>
      <c r="BF58" s="195">
        <v>0.6412126794153058</v>
      </c>
      <c r="BG58" s="195">
        <v>0</v>
      </c>
      <c r="BH58" s="195">
        <v>12</v>
      </c>
      <c r="BI58" s="195">
        <v>0</v>
      </c>
      <c r="BJ58" s="195">
        <v>-33324</v>
      </c>
      <c r="BK58" s="195">
        <v>-569285</v>
      </c>
      <c r="BL58" s="195">
        <v>-38878.00000000001</v>
      </c>
      <c r="BM58" s="195">
        <v>-198555.5</v>
      </c>
      <c r="BN58" s="195">
        <v>-5554</v>
      </c>
      <c r="BO58" s="195">
        <v>802550</v>
      </c>
      <c r="BP58" s="195">
        <v>-9375939.148735441</v>
      </c>
      <c r="BQ58" s="195">
        <v>-11867509.5</v>
      </c>
      <c r="BR58" s="195">
        <v>1194022.427228272</v>
      </c>
      <c r="BS58" s="195">
        <v>8785583</v>
      </c>
      <c r="BT58" s="195">
        <v>3161859</v>
      </c>
      <c r="BU58" s="195">
        <v>7430869.090428259</v>
      </c>
      <c r="BV58" s="195">
        <v>300591.73226042686</v>
      </c>
      <c r="BW58" s="195">
        <v>289311.7897391442</v>
      </c>
      <c r="BX58" s="195">
        <v>3241992.4344182685</v>
      </c>
      <c r="BY58" s="195">
        <v>6842359.596594489</v>
      </c>
      <c r="BZ58" s="195">
        <v>9234603.101677883</v>
      </c>
      <c r="CA58" s="195">
        <v>3286413.184387777</v>
      </c>
      <c r="CB58" s="195">
        <v>12496.5</v>
      </c>
      <c r="CC58" s="195">
        <v>1742652.803527923</v>
      </c>
      <c r="CD58" s="195">
        <v>46333635.660262436</v>
      </c>
      <c r="CE58" s="195">
        <v>20148515.511526994</v>
      </c>
      <c r="CF58" s="195">
        <v>0</v>
      </c>
      <c r="CG58" s="229">
        <v>46126887.511368</v>
      </c>
      <c r="CH58" s="195">
        <v>-21287066</v>
      </c>
      <c r="CI58" s="195">
        <v>-9140868.44454</v>
      </c>
      <c r="CJ58" s="195">
        <v>172438769.76288238</v>
      </c>
      <c r="CL58" s="195">
        <v>137368</v>
      </c>
    </row>
    <row r="59" spans="1:90" ht="9.75">
      <c r="A59" s="195">
        <v>181</v>
      </c>
      <c r="B59" s="195" t="s">
        <v>127</v>
      </c>
      <c r="C59" s="195">
        <v>1915</v>
      </c>
      <c r="D59" s="195">
        <v>7288519.539999999</v>
      </c>
      <c r="E59" s="195">
        <v>2221416.265473886</v>
      </c>
      <c r="F59" s="195">
        <v>408925.3272057887</v>
      </c>
      <c r="G59" s="195">
        <v>9918861.132679673</v>
      </c>
      <c r="H59" s="195">
        <v>3540.31</v>
      </c>
      <c r="I59" s="195">
        <v>6779693.649999999</v>
      </c>
      <c r="J59" s="195">
        <v>3139167.4826796735</v>
      </c>
      <c r="K59" s="195">
        <v>40935.45886294141</v>
      </c>
      <c r="L59" s="195">
        <v>808574.995441466</v>
      </c>
      <c r="M59" s="195">
        <v>0</v>
      </c>
      <c r="N59" s="195">
        <v>3988677.936984081</v>
      </c>
      <c r="O59" s="195">
        <v>1977613.4536260464</v>
      </c>
      <c r="P59" s="195">
        <v>5966291.390610127</v>
      </c>
      <c r="Q59" s="195">
        <v>112</v>
      </c>
      <c r="R59" s="195">
        <v>20</v>
      </c>
      <c r="S59" s="195">
        <v>109</v>
      </c>
      <c r="T59" s="195">
        <v>60</v>
      </c>
      <c r="U59" s="195">
        <v>78</v>
      </c>
      <c r="V59" s="195">
        <v>991</v>
      </c>
      <c r="W59" s="195">
        <v>280</v>
      </c>
      <c r="X59" s="195">
        <v>168</v>
      </c>
      <c r="Y59" s="195">
        <v>97</v>
      </c>
      <c r="Z59" s="195">
        <v>4</v>
      </c>
      <c r="AA59" s="195">
        <v>0</v>
      </c>
      <c r="AB59" s="195">
        <v>1875</v>
      </c>
      <c r="AC59" s="195">
        <v>36</v>
      </c>
      <c r="AD59" s="195">
        <v>545</v>
      </c>
      <c r="AE59" s="195">
        <v>1.0212421151178335</v>
      </c>
      <c r="AF59" s="195">
        <v>2221416.265473886</v>
      </c>
      <c r="AG59" s="195">
        <v>185998689.00482264</v>
      </c>
      <c r="AH59" s="195">
        <v>42688344.05564678</v>
      </c>
      <c r="AI59" s="195">
        <v>21530805.407947287</v>
      </c>
      <c r="AJ59" s="195">
        <v>83</v>
      </c>
      <c r="AK59" s="195">
        <v>834</v>
      </c>
      <c r="AL59" s="195">
        <v>0.7495327426155558</v>
      </c>
      <c r="AM59" s="195">
        <v>36</v>
      </c>
      <c r="AN59" s="195">
        <v>0.018798955613577025</v>
      </c>
      <c r="AO59" s="195">
        <v>0.014830701645323057</v>
      </c>
      <c r="AP59" s="195">
        <v>0</v>
      </c>
      <c r="AQ59" s="195">
        <v>4</v>
      </c>
      <c r="AR59" s="195">
        <v>0</v>
      </c>
      <c r="AS59" s="195">
        <v>0</v>
      </c>
      <c r="AT59" s="195">
        <v>0</v>
      </c>
      <c r="AU59" s="195">
        <v>214.35</v>
      </c>
      <c r="AV59" s="195">
        <v>8.933986470725449</v>
      </c>
      <c r="AW59" s="195">
        <v>2.0265662108094036</v>
      </c>
      <c r="AX59" s="195">
        <v>88</v>
      </c>
      <c r="AY59" s="195">
        <v>517</v>
      </c>
      <c r="AZ59" s="195">
        <v>0.1702127659574468</v>
      </c>
      <c r="BA59" s="195">
        <v>0.10518996575477833</v>
      </c>
      <c r="BB59" s="195">
        <v>0</v>
      </c>
      <c r="BC59" s="195">
        <v>558</v>
      </c>
      <c r="BD59" s="195">
        <v>725</v>
      </c>
      <c r="BE59" s="195">
        <v>0.7696551724137931</v>
      </c>
      <c r="BF59" s="195">
        <v>0.33871365437148704</v>
      </c>
      <c r="BG59" s="195">
        <v>0</v>
      </c>
      <c r="BH59" s="195">
        <v>0</v>
      </c>
      <c r="BI59" s="195">
        <v>0</v>
      </c>
      <c r="BJ59" s="195">
        <v>-459.59999999999997</v>
      </c>
      <c r="BK59" s="195">
        <v>-7851.499999999999</v>
      </c>
      <c r="BL59" s="195">
        <v>-536.2</v>
      </c>
      <c r="BM59" s="195">
        <v>-2738.45</v>
      </c>
      <c r="BN59" s="195">
        <v>-76.60000000000001</v>
      </c>
      <c r="BO59" s="195">
        <v>110216</v>
      </c>
      <c r="BP59" s="195">
        <v>-14506.094500284238</v>
      </c>
      <c r="BQ59" s="195">
        <v>-163675.05</v>
      </c>
      <c r="BR59" s="195">
        <v>3841.2930621225387</v>
      </c>
      <c r="BS59" s="195">
        <v>217242</v>
      </c>
      <c r="BT59" s="195">
        <v>62326</v>
      </c>
      <c r="BU59" s="195">
        <v>163679.80649145006</v>
      </c>
      <c r="BV59" s="195">
        <v>9322.772986339844</v>
      </c>
      <c r="BW59" s="195">
        <v>20546.144547529064</v>
      </c>
      <c r="BX59" s="195">
        <v>83560.39822784677</v>
      </c>
      <c r="BY59" s="195">
        <v>128322.02545125858</v>
      </c>
      <c r="BZ59" s="195">
        <v>196867.21888913724</v>
      </c>
      <c r="CA59" s="195">
        <v>62425.49994907592</v>
      </c>
      <c r="CB59" s="195">
        <v>172.35</v>
      </c>
      <c r="CC59" s="195">
        <v>-3725.4196630100014</v>
      </c>
      <c r="CD59" s="195">
        <v>1054910.9899417502</v>
      </c>
      <c r="CE59" s="195">
        <v>808574.995441466</v>
      </c>
      <c r="CF59" s="195">
        <v>0</v>
      </c>
      <c r="CG59" s="229">
        <v>1977613.4536260464</v>
      </c>
      <c r="CH59" s="195">
        <v>-475545</v>
      </c>
      <c r="CI59" s="195">
        <v>-66485.13</v>
      </c>
      <c r="CJ59" s="195">
        <v>5490746.390610127</v>
      </c>
      <c r="CL59" s="195">
        <v>1948</v>
      </c>
    </row>
    <row r="60" spans="1:90" ht="9.75">
      <c r="A60" s="195">
        <v>182</v>
      </c>
      <c r="B60" s="195" t="s">
        <v>128</v>
      </c>
      <c r="C60" s="195">
        <v>21259</v>
      </c>
      <c r="D60" s="195">
        <v>74621173.69000001</v>
      </c>
      <c r="E60" s="195">
        <v>31935745.432009943</v>
      </c>
      <c r="F60" s="195">
        <v>4472992.173497567</v>
      </c>
      <c r="G60" s="195">
        <v>111029911.29550754</v>
      </c>
      <c r="H60" s="195">
        <v>3540.31</v>
      </c>
      <c r="I60" s="195">
        <v>75263450.28999999</v>
      </c>
      <c r="J60" s="195">
        <v>35766461.00550754</v>
      </c>
      <c r="K60" s="195">
        <v>782610.0137636716</v>
      </c>
      <c r="L60" s="195">
        <v>4183969.2023249557</v>
      </c>
      <c r="M60" s="195">
        <v>0</v>
      </c>
      <c r="N60" s="195">
        <v>40733040.221596174</v>
      </c>
      <c r="O60" s="195">
        <v>2558902.077912362</v>
      </c>
      <c r="P60" s="195">
        <v>43291942.299508534</v>
      </c>
      <c r="Q60" s="195">
        <v>1030</v>
      </c>
      <c r="R60" s="195">
        <v>208</v>
      </c>
      <c r="S60" s="195">
        <v>1244</v>
      </c>
      <c r="T60" s="195">
        <v>691</v>
      </c>
      <c r="U60" s="195">
        <v>753</v>
      </c>
      <c r="V60" s="195">
        <v>11284</v>
      </c>
      <c r="W60" s="195">
        <v>3313</v>
      </c>
      <c r="X60" s="195">
        <v>1965</v>
      </c>
      <c r="Y60" s="195">
        <v>771</v>
      </c>
      <c r="Z60" s="195">
        <v>33</v>
      </c>
      <c r="AA60" s="195">
        <v>1</v>
      </c>
      <c r="AB60" s="195">
        <v>20831</v>
      </c>
      <c r="AC60" s="195">
        <v>394</v>
      </c>
      <c r="AD60" s="195">
        <v>6049</v>
      </c>
      <c r="AE60" s="195">
        <v>1.3225185523181229</v>
      </c>
      <c r="AF60" s="195">
        <v>31935745.432009943</v>
      </c>
      <c r="AG60" s="195">
        <v>2955707.6143055055</v>
      </c>
      <c r="AH60" s="195">
        <v>700092.2539151382</v>
      </c>
      <c r="AI60" s="195">
        <v>222978.51499531162</v>
      </c>
      <c r="AJ60" s="195">
        <v>1643</v>
      </c>
      <c r="AK60" s="195">
        <v>9586</v>
      </c>
      <c r="AL60" s="195">
        <v>1.2908587007682848</v>
      </c>
      <c r="AM60" s="195">
        <v>394</v>
      </c>
      <c r="AN60" s="195">
        <v>0.018533327061479844</v>
      </c>
      <c r="AO60" s="195">
        <v>0.014565073093225876</v>
      </c>
      <c r="AP60" s="195">
        <v>0</v>
      </c>
      <c r="AQ60" s="195">
        <v>33</v>
      </c>
      <c r="AR60" s="195">
        <v>1</v>
      </c>
      <c r="AS60" s="195">
        <v>0</v>
      </c>
      <c r="AT60" s="195">
        <v>0</v>
      </c>
      <c r="AU60" s="195">
        <v>1571.23</v>
      </c>
      <c r="AV60" s="195">
        <v>13.530164266211822</v>
      </c>
      <c r="AW60" s="195">
        <v>1.3381445157036278</v>
      </c>
      <c r="AX60" s="195">
        <v>673</v>
      </c>
      <c r="AY60" s="195">
        <v>6177</v>
      </c>
      <c r="AZ60" s="195">
        <v>0.10895256597053586</v>
      </c>
      <c r="BA60" s="195">
        <v>0.04392976576786739</v>
      </c>
      <c r="BB60" s="195">
        <v>0</v>
      </c>
      <c r="BC60" s="195">
        <v>7896</v>
      </c>
      <c r="BD60" s="195">
        <v>7785</v>
      </c>
      <c r="BE60" s="195">
        <v>1.014258188824663</v>
      </c>
      <c r="BF60" s="195">
        <v>0.5833166707823568</v>
      </c>
      <c r="BG60" s="195">
        <v>0</v>
      </c>
      <c r="BH60" s="195">
        <v>1</v>
      </c>
      <c r="BI60" s="195">
        <v>0</v>
      </c>
      <c r="BJ60" s="195">
        <v>-5102.16</v>
      </c>
      <c r="BK60" s="195">
        <v>-87161.9</v>
      </c>
      <c r="BL60" s="195">
        <v>-5952.52</v>
      </c>
      <c r="BM60" s="195">
        <v>-30400.37</v>
      </c>
      <c r="BN60" s="195">
        <v>-850.36</v>
      </c>
      <c r="BO60" s="195">
        <v>679529</v>
      </c>
      <c r="BP60" s="195">
        <v>-971908.331519044</v>
      </c>
      <c r="BQ60" s="195">
        <v>-1817006.73</v>
      </c>
      <c r="BR60" s="195">
        <v>-265582.5474530235</v>
      </c>
      <c r="BS60" s="195">
        <v>1709403</v>
      </c>
      <c r="BT60" s="195">
        <v>519708</v>
      </c>
      <c r="BU60" s="195">
        <v>1219725.933246363</v>
      </c>
      <c r="BV60" s="195">
        <v>52030.81360531352</v>
      </c>
      <c r="BW60" s="195">
        <v>106519.75003969</v>
      </c>
      <c r="BX60" s="195">
        <v>662484.2833680044</v>
      </c>
      <c r="BY60" s="195">
        <v>949791.640446603</v>
      </c>
      <c r="BZ60" s="195">
        <v>1573152.60032277</v>
      </c>
      <c r="CA60" s="195">
        <v>454696.02332578745</v>
      </c>
      <c r="CB60" s="195">
        <v>1913.31</v>
      </c>
      <c r="CC60" s="195">
        <v>64844.726942492125</v>
      </c>
      <c r="CD60" s="195">
        <v>7729492.073844</v>
      </c>
      <c r="CE60" s="195">
        <v>4183969.2023249557</v>
      </c>
      <c r="CF60" s="195">
        <v>0</v>
      </c>
      <c r="CG60" s="229">
        <v>2558902.077912362</v>
      </c>
      <c r="CH60" s="195">
        <v>-1889961</v>
      </c>
      <c r="CI60" s="195">
        <v>-90067.7967</v>
      </c>
      <c r="CJ60" s="195">
        <v>41401981.299508534</v>
      </c>
      <c r="CL60" s="195">
        <v>21542</v>
      </c>
    </row>
    <row r="61" spans="1:90" ht="9.75">
      <c r="A61" s="195">
        <v>186</v>
      </c>
      <c r="B61" s="195" t="s">
        <v>129</v>
      </c>
      <c r="C61" s="195">
        <v>41529</v>
      </c>
      <c r="D61" s="195">
        <v>129501303.53</v>
      </c>
      <c r="E61" s="195">
        <v>39916727.26076134</v>
      </c>
      <c r="F61" s="195">
        <v>7998913.380363722</v>
      </c>
      <c r="G61" s="195">
        <v>177416944.17112508</v>
      </c>
      <c r="H61" s="195">
        <v>3540.31</v>
      </c>
      <c r="I61" s="195">
        <v>147025533.99</v>
      </c>
      <c r="J61" s="195">
        <v>30391410.181125075</v>
      </c>
      <c r="K61" s="195">
        <v>505878.415835014</v>
      </c>
      <c r="L61" s="195">
        <v>1545769.106425859</v>
      </c>
      <c r="M61" s="195">
        <v>0</v>
      </c>
      <c r="N61" s="195">
        <v>32443057.70338595</v>
      </c>
      <c r="O61" s="195">
        <v>-5276571.885317589</v>
      </c>
      <c r="P61" s="195">
        <v>27166485.81806836</v>
      </c>
      <c r="Q61" s="195">
        <v>2922</v>
      </c>
      <c r="R61" s="195">
        <v>494</v>
      </c>
      <c r="S61" s="195">
        <v>2956</v>
      </c>
      <c r="T61" s="195">
        <v>1349</v>
      </c>
      <c r="U61" s="195">
        <v>1495</v>
      </c>
      <c r="V61" s="195">
        <v>25369</v>
      </c>
      <c r="W61" s="195">
        <v>4406</v>
      </c>
      <c r="X61" s="195">
        <v>1928</v>
      </c>
      <c r="Y61" s="195">
        <v>610</v>
      </c>
      <c r="Z61" s="195">
        <v>403</v>
      </c>
      <c r="AA61" s="195">
        <v>2</v>
      </c>
      <c r="AB61" s="195">
        <v>39019</v>
      </c>
      <c r="AC61" s="195">
        <v>2105</v>
      </c>
      <c r="AD61" s="195">
        <v>6944</v>
      </c>
      <c r="AE61" s="195">
        <v>0.846196062676628</v>
      </c>
      <c r="AF61" s="195">
        <v>39916727.26076134</v>
      </c>
      <c r="AG61" s="195">
        <v>37324217.166129485</v>
      </c>
      <c r="AH61" s="195">
        <v>11795754.459292466</v>
      </c>
      <c r="AI61" s="195">
        <v>3665766.7865229235</v>
      </c>
      <c r="AJ61" s="195">
        <v>2273</v>
      </c>
      <c r="AK61" s="195">
        <v>21230</v>
      </c>
      <c r="AL61" s="195">
        <v>0.8063582045110875</v>
      </c>
      <c r="AM61" s="195">
        <v>2105</v>
      </c>
      <c r="AN61" s="195">
        <v>0.05068747140552385</v>
      </c>
      <c r="AO61" s="195">
        <v>0.04671921743726988</v>
      </c>
      <c r="AP61" s="195">
        <v>0</v>
      </c>
      <c r="AQ61" s="195">
        <v>403</v>
      </c>
      <c r="AR61" s="195">
        <v>2</v>
      </c>
      <c r="AS61" s="195">
        <v>0</v>
      </c>
      <c r="AT61" s="195">
        <v>0</v>
      </c>
      <c r="AU61" s="195">
        <v>37.54</v>
      </c>
      <c r="AV61" s="195">
        <v>1106.259989344699</v>
      </c>
      <c r="AW61" s="195">
        <v>0.0163662387538081</v>
      </c>
      <c r="AX61" s="195">
        <v>2054</v>
      </c>
      <c r="AY61" s="195">
        <v>14105</v>
      </c>
      <c r="AZ61" s="195">
        <v>0.1456221198156682</v>
      </c>
      <c r="BA61" s="195">
        <v>0.08059931961299972</v>
      </c>
      <c r="BB61" s="195">
        <v>0</v>
      </c>
      <c r="BC61" s="195">
        <v>11912</v>
      </c>
      <c r="BD61" s="195">
        <v>19091</v>
      </c>
      <c r="BE61" s="195">
        <v>0.623958933528888</v>
      </c>
      <c r="BF61" s="195">
        <v>0.1930174154865819</v>
      </c>
      <c r="BG61" s="195">
        <v>0</v>
      </c>
      <c r="BH61" s="195">
        <v>2</v>
      </c>
      <c r="BI61" s="195">
        <v>0</v>
      </c>
      <c r="BJ61" s="195">
        <v>-9966.96</v>
      </c>
      <c r="BK61" s="195">
        <v>-170268.9</v>
      </c>
      <c r="BL61" s="195">
        <v>-11628.12</v>
      </c>
      <c r="BM61" s="195">
        <v>-59386.469999999994</v>
      </c>
      <c r="BN61" s="195">
        <v>-1661.16</v>
      </c>
      <c r="BO61" s="195">
        <v>-411492</v>
      </c>
      <c r="BP61" s="195">
        <v>-3704056.1991243027</v>
      </c>
      <c r="BQ61" s="195">
        <v>-3549483.63</v>
      </c>
      <c r="BR61" s="195">
        <v>6565.417614400387</v>
      </c>
      <c r="BS61" s="195">
        <v>2359895</v>
      </c>
      <c r="BT61" s="195">
        <v>788024</v>
      </c>
      <c r="BU61" s="195">
        <v>1560793.0796292792</v>
      </c>
      <c r="BV61" s="195">
        <v>16432.02133447396</v>
      </c>
      <c r="BW61" s="195">
        <v>-52180.45663947103</v>
      </c>
      <c r="BX61" s="195">
        <v>532891.3765182814</v>
      </c>
      <c r="BY61" s="195">
        <v>1745645.3373874046</v>
      </c>
      <c r="BZ61" s="195">
        <v>2615186.796961021</v>
      </c>
      <c r="CA61" s="195">
        <v>923431.2001426172</v>
      </c>
      <c r="CB61" s="195">
        <v>3737.6099999999997</v>
      </c>
      <c r="CC61" s="195">
        <v>185904.92260215647</v>
      </c>
      <c r="CD61" s="195">
        <v>10277326.045550162</v>
      </c>
      <c r="CE61" s="195">
        <v>1545769.106425859</v>
      </c>
      <c r="CF61" s="195">
        <v>0</v>
      </c>
      <c r="CG61" s="229">
        <v>-5276571.885317589</v>
      </c>
      <c r="CH61" s="195">
        <v>-365174</v>
      </c>
      <c r="CI61" s="195">
        <v>-1031640.6368</v>
      </c>
      <c r="CJ61" s="195">
        <v>26801311.81806836</v>
      </c>
      <c r="CL61" s="195">
        <v>40900</v>
      </c>
    </row>
    <row r="62" spans="1:90" ht="9.75">
      <c r="A62" s="195">
        <v>202</v>
      </c>
      <c r="B62" s="195" t="s">
        <v>130</v>
      </c>
      <c r="C62" s="195">
        <v>32738</v>
      </c>
      <c r="D62" s="195">
        <v>112064809.02</v>
      </c>
      <c r="E62" s="195">
        <v>29638493.174877003</v>
      </c>
      <c r="F62" s="195">
        <v>5324977.216993249</v>
      </c>
      <c r="G62" s="195">
        <v>147028279.41187024</v>
      </c>
      <c r="H62" s="195">
        <v>3540.31</v>
      </c>
      <c r="I62" s="195">
        <v>115902668.78</v>
      </c>
      <c r="J62" s="195">
        <v>31125610.63187024</v>
      </c>
      <c r="K62" s="195">
        <v>487079.93767744844</v>
      </c>
      <c r="L62" s="195">
        <v>1867775.0774185564</v>
      </c>
      <c r="M62" s="195">
        <v>0</v>
      </c>
      <c r="N62" s="195">
        <v>33480465.64696624</v>
      </c>
      <c r="O62" s="195">
        <v>-3210298.3416074105</v>
      </c>
      <c r="P62" s="195">
        <v>30270167.30535883</v>
      </c>
      <c r="Q62" s="195">
        <v>2377</v>
      </c>
      <c r="R62" s="195">
        <v>478</v>
      </c>
      <c r="S62" s="195">
        <v>2609</v>
      </c>
      <c r="T62" s="195">
        <v>1193</v>
      </c>
      <c r="U62" s="195">
        <v>1224</v>
      </c>
      <c r="V62" s="195">
        <v>18358</v>
      </c>
      <c r="W62" s="195">
        <v>3897</v>
      </c>
      <c r="X62" s="195">
        <v>1955</v>
      </c>
      <c r="Y62" s="195">
        <v>647</v>
      </c>
      <c r="Z62" s="195">
        <v>1424</v>
      </c>
      <c r="AA62" s="195">
        <v>0</v>
      </c>
      <c r="AB62" s="195">
        <v>29934</v>
      </c>
      <c r="AC62" s="195">
        <v>1380</v>
      </c>
      <c r="AD62" s="195">
        <v>6499</v>
      </c>
      <c r="AE62" s="195">
        <v>0.7970242276811269</v>
      </c>
      <c r="AF62" s="195">
        <v>29638493.174877003</v>
      </c>
      <c r="AG62" s="195">
        <v>50291137.08532524</v>
      </c>
      <c r="AH62" s="195">
        <v>8994253.341022091</v>
      </c>
      <c r="AI62" s="195">
        <v>5850956.233476977</v>
      </c>
      <c r="AJ62" s="195">
        <v>1519</v>
      </c>
      <c r="AK62" s="195">
        <v>15533</v>
      </c>
      <c r="AL62" s="195">
        <v>0.7365139875938801</v>
      </c>
      <c r="AM62" s="195">
        <v>1380</v>
      </c>
      <c r="AN62" s="195">
        <v>0.04215284989919971</v>
      </c>
      <c r="AO62" s="195">
        <v>0.03818459593094574</v>
      </c>
      <c r="AP62" s="195">
        <v>0</v>
      </c>
      <c r="AQ62" s="195">
        <v>1424</v>
      </c>
      <c r="AR62" s="195">
        <v>0</v>
      </c>
      <c r="AS62" s="195">
        <v>3</v>
      </c>
      <c r="AT62" s="195">
        <v>253</v>
      </c>
      <c r="AU62" s="195">
        <v>150.42</v>
      </c>
      <c r="AV62" s="195">
        <v>217.6439303284138</v>
      </c>
      <c r="AW62" s="195">
        <v>0.08318777869008584</v>
      </c>
      <c r="AX62" s="195">
        <v>1304</v>
      </c>
      <c r="AY62" s="195">
        <v>11389</v>
      </c>
      <c r="AZ62" s="195">
        <v>0.11449644393713232</v>
      </c>
      <c r="BA62" s="195">
        <v>0.04947364373446385</v>
      </c>
      <c r="BB62" s="195">
        <v>0</v>
      </c>
      <c r="BC62" s="195">
        <v>9305</v>
      </c>
      <c r="BD62" s="195">
        <v>13957</v>
      </c>
      <c r="BE62" s="195">
        <v>0.6666905495450312</v>
      </c>
      <c r="BF62" s="195">
        <v>0.23574903150272508</v>
      </c>
      <c r="BG62" s="195">
        <v>0</v>
      </c>
      <c r="BH62" s="195">
        <v>0</v>
      </c>
      <c r="BI62" s="195">
        <v>0</v>
      </c>
      <c r="BJ62" s="195">
        <v>-7857.12</v>
      </c>
      <c r="BK62" s="195">
        <v>-134225.8</v>
      </c>
      <c r="BL62" s="195">
        <v>-9166.640000000001</v>
      </c>
      <c r="BM62" s="195">
        <v>-46815.34</v>
      </c>
      <c r="BN62" s="195">
        <v>-1309.52</v>
      </c>
      <c r="BO62" s="195">
        <v>-258828</v>
      </c>
      <c r="BP62" s="195">
        <v>-1012425.3540888034</v>
      </c>
      <c r="BQ62" s="195">
        <v>-2798116.86</v>
      </c>
      <c r="BR62" s="195">
        <v>-589213.1656560749</v>
      </c>
      <c r="BS62" s="195">
        <v>1895488</v>
      </c>
      <c r="BT62" s="195">
        <v>618556</v>
      </c>
      <c r="BU62" s="195">
        <v>1109986.7560428085</v>
      </c>
      <c r="BV62" s="195">
        <v>-1846.6552465841792</v>
      </c>
      <c r="BW62" s="195">
        <v>-517236.3332715238</v>
      </c>
      <c r="BX62" s="195">
        <v>530666.280176738</v>
      </c>
      <c r="BY62" s="195">
        <v>1161563.2820562536</v>
      </c>
      <c r="BZ62" s="195">
        <v>2246161.297196478</v>
      </c>
      <c r="CA62" s="195">
        <v>685596.7243304433</v>
      </c>
      <c r="CB62" s="195">
        <v>2946.42</v>
      </c>
      <c r="CC62" s="195">
        <v>-42342.1741211786</v>
      </c>
      <c r="CD62" s="195">
        <v>6843462.7115073595</v>
      </c>
      <c r="CE62" s="195">
        <v>1867775.0774185564</v>
      </c>
      <c r="CF62" s="195">
        <v>0</v>
      </c>
      <c r="CG62" s="229">
        <v>-3210298.3416074105</v>
      </c>
      <c r="CH62" s="195">
        <v>-2193384</v>
      </c>
      <c r="CI62" s="195">
        <v>-1788473.4623399999</v>
      </c>
      <c r="CJ62" s="195">
        <v>28076783.30535883</v>
      </c>
      <c r="CL62" s="195">
        <v>32590</v>
      </c>
    </row>
    <row r="63" spans="1:90" ht="9.75">
      <c r="A63" s="195">
        <v>204</v>
      </c>
      <c r="B63" s="195" t="s">
        <v>131</v>
      </c>
      <c r="C63" s="195">
        <v>3154</v>
      </c>
      <c r="D63" s="195">
        <v>11749049.18</v>
      </c>
      <c r="E63" s="195">
        <v>7298154.161420207</v>
      </c>
      <c r="F63" s="195">
        <v>1099856.9736208231</v>
      </c>
      <c r="G63" s="195">
        <v>20147060.31504103</v>
      </c>
      <c r="H63" s="195">
        <v>3540.31</v>
      </c>
      <c r="I63" s="195">
        <v>11166137.74</v>
      </c>
      <c r="J63" s="195">
        <v>8980922.575041031</v>
      </c>
      <c r="K63" s="195">
        <v>255839.86249007957</v>
      </c>
      <c r="L63" s="195">
        <v>731457.6490856031</v>
      </c>
      <c r="M63" s="195">
        <v>0</v>
      </c>
      <c r="N63" s="195">
        <v>9968220.086616715</v>
      </c>
      <c r="O63" s="195">
        <v>3418329.5369788236</v>
      </c>
      <c r="P63" s="195">
        <v>13386549.62359554</v>
      </c>
      <c r="Q63" s="195">
        <v>153</v>
      </c>
      <c r="R63" s="195">
        <v>28</v>
      </c>
      <c r="S63" s="195">
        <v>169</v>
      </c>
      <c r="T63" s="195">
        <v>101</v>
      </c>
      <c r="U63" s="195">
        <v>105</v>
      </c>
      <c r="V63" s="195">
        <v>1592</v>
      </c>
      <c r="W63" s="195">
        <v>511</v>
      </c>
      <c r="X63" s="195">
        <v>350</v>
      </c>
      <c r="Y63" s="195">
        <v>145</v>
      </c>
      <c r="Z63" s="195">
        <v>1</v>
      </c>
      <c r="AA63" s="195">
        <v>0</v>
      </c>
      <c r="AB63" s="195">
        <v>3091</v>
      </c>
      <c r="AC63" s="195">
        <v>62</v>
      </c>
      <c r="AD63" s="195">
        <v>1006</v>
      </c>
      <c r="AE63" s="195">
        <v>2.037130687681102</v>
      </c>
      <c r="AF63" s="195">
        <v>7298154.161420207</v>
      </c>
      <c r="AG63" s="195">
        <v>37951602.94623285</v>
      </c>
      <c r="AH63" s="195">
        <v>7499613.738778836</v>
      </c>
      <c r="AI63" s="195">
        <v>4245510.925510733</v>
      </c>
      <c r="AJ63" s="195">
        <v>209</v>
      </c>
      <c r="AK63" s="195">
        <v>1207</v>
      </c>
      <c r="AL63" s="195">
        <v>1.3041200849896393</v>
      </c>
      <c r="AM63" s="195">
        <v>62</v>
      </c>
      <c r="AN63" s="195">
        <v>0.019657577679137603</v>
      </c>
      <c r="AO63" s="195">
        <v>0.015689323710883635</v>
      </c>
      <c r="AP63" s="195">
        <v>0</v>
      </c>
      <c r="AQ63" s="195">
        <v>1</v>
      </c>
      <c r="AR63" s="195">
        <v>0</v>
      </c>
      <c r="AS63" s="195">
        <v>0</v>
      </c>
      <c r="AT63" s="195">
        <v>0</v>
      </c>
      <c r="AU63" s="195">
        <v>674.02</v>
      </c>
      <c r="AV63" s="195">
        <v>4.679386368357022</v>
      </c>
      <c r="AW63" s="195">
        <v>3.8691643912613056</v>
      </c>
      <c r="AX63" s="195">
        <v>176</v>
      </c>
      <c r="AY63" s="195">
        <v>857</v>
      </c>
      <c r="AZ63" s="195">
        <v>0.20536756126021002</v>
      </c>
      <c r="BA63" s="195">
        <v>0.14034476105754157</v>
      </c>
      <c r="BB63" s="195">
        <v>0.230133</v>
      </c>
      <c r="BC63" s="195">
        <v>935</v>
      </c>
      <c r="BD63" s="195">
        <v>976</v>
      </c>
      <c r="BE63" s="195">
        <v>0.9579918032786885</v>
      </c>
      <c r="BF63" s="195">
        <v>0.5270502852363824</v>
      </c>
      <c r="BG63" s="195">
        <v>0</v>
      </c>
      <c r="BH63" s="195">
        <v>0</v>
      </c>
      <c r="BI63" s="195">
        <v>0</v>
      </c>
      <c r="BJ63" s="195">
        <v>-756.9599999999999</v>
      </c>
      <c r="BK63" s="195">
        <v>-12931.4</v>
      </c>
      <c r="BL63" s="195">
        <v>-883.1200000000001</v>
      </c>
      <c r="BM63" s="195">
        <v>-4510.22</v>
      </c>
      <c r="BN63" s="195">
        <v>-126.16</v>
      </c>
      <c r="BO63" s="195">
        <v>-75363</v>
      </c>
      <c r="BP63" s="195">
        <v>-110546.44429526955</v>
      </c>
      <c r="BQ63" s="195">
        <v>-269572.38</v>
      </c>
      <c r="BR63" s="195">
        <v>-95514.19307007454</v>
      </c>
      <c r="BS63" s="195">
        <v>355721</v>
      </c>
      <c r="BT63" s="195">
        <v>98791</v>
      </c>
      <c r="BU63" s="195">
        <v>249680.168300314</v>
      </c>
      <c r="BV63" s="195">
        <v>13431.18733569948</v>
      </c>
      <c r="BW63" s="195">
        <v>37694.39862510979</v>
      </c>
      <c r="BX63" s="195">
        <v>138561.89410991914</v>
      </c>
      <c r="BY63" s="195">
        <v>169510.2915271634</v>
      </c>
      <c r="BZ63" s="195">
        <v>257725.92299652047</v>
      </c>
      <c r="CA63" s="195">
        <v>83379.09158980614</v>
      </c>
      <c r="CB63" s="195">
        <v>283.86</v>
      </c>
      <c r="CC63" s="195">
        <v>-10263.528033585499</v>
      </c>
      <c r="CD63" s="195">
        <v>1223827.3333808726</v>
      </c>
      <c r="CE63" s="195">
        <v>731457.6490856031</v>
      </c>
      <c r="CF63" s="195">
        <v>0</v>
      </c>
      <c r="CG63" s="229">
        <v>3418329.5369788236</v>
      </c>
      <c r="CH63" s="195">
        <v>-550850</v>
      </c>
      <c r="CI63" s="195">
        <v>-1084229.0710000002</v>
      </c>
      <c r="CJ63" s="195">
        <v>12835699.62359554</v>
      </c>
      <c r="CL63" s="195">
        <v>3194</v>
      </c>
    </row>
    <row r="64" spans="1:90" ht="9.75">
      <c r="A64" s="195">
        <v>205</v>
      </c>
      <c r="B64" s="195" t="s">
        <v>132</v>
      </c>
      <c r="C64" s="195">
        <v>37521</v>
      </c>
      <c r="D64" s="195">
        <v>125020624.96000001</v>
      </c>
      <c r="E64" s="195">
        <v>53799253.345329896</v>
      </c>
      <c r="F64" s="195">
        <v>7423358.68183872</v>
      </c>
      <c r="G64" s="195">
        <v>186243236.98716864</v>
      </c>
      <c r="H64" s="195">
        <v>3540.31</v>
      </c>
      <c r="I64" s="195">
        <v>132835971.51</v>
      </c>
      <c r="J64" s="195">
        <v>53407265.477168635</v>
      </c>
      <c r="K64" s="195">
        <v>2289724.1098979632</v>
      </c>
      <c r="L64" s="195">
        <v>7084311.742167468</v>
      </c>
      <c r="M64" s="195">
        <v>0</v>
      </c>
      <c r="N64" s="195">
        <v>62781301.32923406</v>
      </c>
      <c r="O64" s="195">
        <v>15596859.059824767</v>
      </c>
      <c r="P64" s="195">
        <v>78378160.38905883</v>
      </c>
      <c r="Q64" s="195">
        <v>2343</v>
      </c>
      <c r="R64" s="195">
        <v>426</v>
      </c>
      <c r="S64" s="195">
        <v>2469</v>
      </c>
      <c r="T64" s="195">
        <v>1174</v>
      </c>
      <c r="U64" s="195">
        <v>1268</v>
      </c>
      <c r="V64" s="195">
        <v>21895</v>
      </c>
      <c r="W64" s="195">
        <v>4358</v>
      </c>
      <c r="X64" s="195">
        <v>2583</v>
      </c>
      <c r="Y64" s="195">
        <v>1005</v>
      </c>
      <c r="Z64" s="195">
        <v>38</v>
      </c>
      <c r="AA64" s="195">
        <v>2</v>
      </c>
      <c r="AB64" s="195">
        <v>36240</v>
      </c>
      <c r="AC64" s="195">
        <v>1241</v>
      </c>
      <c r="AD64" s="195">
        <v>7946</v>
      </c>
      <c r="AE64" s="195">
        <v>1.2623197902468484</v>
      </c>
      <c r="AF64" s="195">
        <v>53799253.345329896</v>
      </c>
      <c r="AG64" s="195">
        <v>8718511.47639353</v>
      </c>
      <c r="AH64" s="195">
        <v>2061860.7465187206</v>
      </c>
      <c r="AI64" s="195">
        <v>1168407.4185754329</v>
      </c>
      <c r="AJ64" s="195">
        <v>2505</v>
      </c>
      <c r="AK64" s="195">
        <v>17524</v>
      </c>
      <c r="AL64" s="195">
        <v>1.0765967223540183</v>
      </c>
      <c r="AM64" s="195">
        <v>1241</v>
      </c>
      <c r="AN64" s="195">
        <v>0.033074811438927536</v>
      </c>
      <c r="AO64" s="195">
        <v>0.029106557470673568</v>
      </c>
      <c r="AP64" s="195">
        <v>0</v>
      </c>
      <c r="AQ64" s="195">
        <v>38</v>
      </c>
      <c r="AR64" s="195">
        <v>2</v>
      </c>
      <c r="AS64" s="195">
        <v>0</v>
      </c>
      <c r="AT64" s="195">
        <v>0</v>
      </c>
      <c r="AU64" s="195">
        <v>1834.94</v>
      </c>
      <c r="AV64" s="195">
        <v>20.448080046214045</v>
      </c>
      <c r="AW64" s="195">
        <v>0.8854286108270953</v>
      </c>
      <c r="AX64" s="195">
        <v>1081</v>
      </c>
      <c r="AY64" s="195">
        <v>10961</v>
      </c>
      <c r="AZ64" s="195">
        <v>0.09862238846820545</v>
      </c>
      <c r="BA64" s="195">
        <v>0.03359958826553698</v>
      </c>
      <c r="BB64" s="195">
        <v>0.109183</v>
      </c>
      <c r="BC64" s="195">
        <v>14881</v>
      </c>
      <c r="BD64" s="195">
        <v>14334</v>
      </c>
      <c r="BE64" s="195">
        <v>1.0381610157667085</v>
      </c>
      <c r="BF64" s="195">
        <v>0.6072194977244024</v>
      </c>
      <c r="BG64" s="195">
        <v>0</v>
      </c>
      <c r="BH64" s="195">
        <v>2</v>
      </c>
      <c r="BI64" s="195">
        <v>0</v>
      </c>
      <c r="BJ64" s="195">
        <v>-9005.039999999999</v>
      </c>
      <c r="BK64" s="195">
        <v>-153836.09999999998</v>
      </c>
      <c r="BL64" s="195">
        <v>-10505.880000000001</v>
      </c>
      <c r="BM64" s="195">
        <v>-53655.03</v>
      </c>
      <c r="BN64" s="195">
        <v>-1500.84</v>
      </c>
      <c r="BO64" s="195">
        <v>1371592</v>
      </c>
      <c r="BP64" s="195">
        <v>-1748234.4923618417</v>
      </c>
      <c r="BQ64" s="195">
        <v>-3206919.87</v>
      </c>
      <c r="BR64" s="195">
        <v>-536331.1401641965</v>
      </c>
      <c r="BS64" s="195">
        <v>2592766</v>
      </c>
      <c r="BT64" s="195">
        <v>851137</v>
      </c>
      <c r="BU64" s="195">
        <v>1854193.7933830146</v>
      </c>
      <c r="BV64" s="195">
        <v>75734.94462794969</v>
      </c>
      <c r="BW64" s="195">
        <v>347880.491883763</v>
      </c>
      <c r="BX64" s="195">
        <v>1027227.4196650238</v>
      </c>
      <c r="BY64" s="195">
        <v>1791204.8751561167</v>
      </c>
      <c r="BZ64" s="195">
        <v>2813546.3021177156</v>
      </c>
      <c r="CA64" s="195">
        <v>962804.907284404</v>
      </c>
      <c r="CB64" s="195">
        <v>3376.89</v>
      </c>
      <c r="CC64" s="195">
        <v>217453.75057552074</v>
      </c>
      <c r="CD64" s="195">
        <v>13374838.49452931</v>
      </c>
      <c r="CE64" s="195">
        <v>7084311.742167468</v>
      </c>
      <c r="CF64" s="195">
        <v>0</v>
      </c>
      <c r="CG64" s="229">
        <v>15596859.059824767</v>
      </c>
      <c r="CH64" s="195">
        <v>23272095</v>
      </c>
      <c r="CI64" s="195">
        <v>-45939.92119999998</v>
      </c>
      <c r="CJ64" s="195">
        <v>101650255.38905883</v>
      </c>
      <c r="CL64" s="195">
        <v>37622</v>
      </c>
    </row>
    <row r="65" spans="1:90" ht="9.75">
      <c r="A65" s="195">
        <v>208</v>
      </c>
      <c r="B65" s="195" t="s">
        <v>133</v>
      </c>
      <c r="C65" s="195">
        <v>12586</v>
      </c>
      <c r="D65" s="195">
        <v>46198239.16</v>
      </c>
      <c r="E65" s="195">
        <v>14575629.270466724</v>
      </c>
      <c r="F65" s="195">
        <v>2217395.9812638103</v>
      </c>
      <c r="G65" s="195">
        <v>62991264.41173053</v>
      </c>
      <c r="H65" s="195">
        <v>3540.31</v>
      </c>
      <c r="I65" s="195">
        <v>44558341.66</v>
      </c>
      <c r="J65" s="195">
        <v>18432922.75173053</v>
      </c>
      <c r="K65" s="195">
        <v>396990.7333210326</v>
      </c>
      <c r="L65" s="195">
        <v>3233773.6079748506</v>
      </c>
      <c r="M65" s="195">
        <v>0</v>
      </c>
      <c r="N65" s="195">
        <v>22063687.093026415</v>
      </c>
      <c r="O65" s="195">
        <v>9302654.276039999</v>
      </c>
      <c r="P65" s="195">
        <v>31366341.369066413</v>
      </c>
      <c r="Q65" s="195">
        <v>877</v>
      </c>
      <c r="R65" s="195">
        <v>158</v>
      </c>
      <c r="S65" s="195">
        <v>1001</v>
      </c>
      <c r="T65" s="195">
        <v>484</v>
      </c>
      <c r="U65" s="195">
        <v>453</v>
      </c>
      <c r="V65" s="195">
        <v>6678</v>
      </c>
      <c r="W65" s="195">
        <v>1642</v>
      </c>
      <c r="X65" s="195">
        <v>904</v>
      </c>
      <c r="Y65" s="195">
        <v>389</v>
      </c>
      <c r="Z65" s="195">
        <v>47</v>
      </c>
      <c r="AA65" s="195">
        <v>1</v>
      </c>
      <c r="AB65" s="195">
        <v>12292</v>
      </c>
      <c r="AC65" s="195">
        <v>246</v>
      </c>
      <c r="AD65" s="195">
        <v>2935</v>
      </c>
      <c r="AE65" s="195">
        <v>1.019546723631161</v>
      </c>
      <c r="AF65" s="195">
        <v>14575629.270466724</v>
      </c>
      <c r="AG65" s="195">
        <v>64239625.49896994</v>
      </c>
      <c r="AH65" s="195">
        <v>16741156.026540142</v>
      </c>
      <c r="AI65" s="195">
        <v>6725032.012258599</v>
      </c>
      <c r="AJ65" s="195">
        <v>591</v>
      </c>
      <c r="AK65" s="195">
        <v>5666</v>
      </c>
      <c r="AL65" s="195">
        <v>0.7855782997264421</v>
      </c>
      <c r="AM65" s="195">
        <v>246</v>
      </c>
      <c r="AN65" s="195">
        <v>0.019545526775782616</v>
      </c>
      <c r="AO65" s="195">
        <v>0.015577272807528648</v>
      </c>
      <c r="AP65" s="195">
        <v>0</v>
      </c>
      <c r="AQ65" s="195">
        <v>47</v>
      </c>
      <c r="AR65" s="195">
        <v>1</v>
      </c>
      <c r="AS65" s="195">
        <v>0</v>
      </c>
      <c r="AT65" s="195">
        <v>0</v>
      </c>
      <c r="AU65" s="195">
        <v>922.46</v>
      </c>
      <c r="AV65" s="195">
        <v>13.643952041280922</v>
      </c>
      <c r="AW65" s="195">
        <v>1.3269846635799802</v>
      </c>
      <c r="AX65" s="195">
        <v>475</v>
      </c>
      <c r="AY65" s="195">
        <v>3608</v>
      </c>
      <c r="AZ65" s="195">
        <v>0.1316518847006652</v>
      </c>
      <c r="BA65" s="195">
        <v>0.06662908449799672</v>
      </c>
      <c r="BB65" s="195">
        <v>0</v>
      </c>
      <c r="BC65" s="195">
        <v>4569</v>
      </c>
      <c r="BD65" s="195">
        <v>4909</v>
      </c>
      <c r="BE65" s="195">
        <v>0.9307394581381137</v>
      </c>
      <c r="BF65" s="195">
        <v>0.4997979400958076</v>
      </c>
      <c r="BG65" s="195">
        <v>0</v>
      </c>
      <c r="BH65" s="195">
        <v>1</v>
      </c>
      <c r="BI65" s="195">
        <v>0</v>
      </c>
      <c r="BJ65" s="195">
        <v>-3020.64</v>
      </c>
      <c r="BK65" s="195">
        <v>-51602.6</v>
      </c>
      <c r="BL65" s="195">
        <v>-3524.0800000000004</v>
      </c>
      <c r="BM65" s="195">
        <v>-17997.98</v>
      </c>
      <c r="BN65" s="195">
        <v>-503.44</v>
      </c>
      <c r="BO65" s="195">
        <v>27931</v>
      </c>
      <c r="BP65" s="195">
        <v>-285619.9986090449</v>
      </c>
      <c r="BQ65" s="195">
        <v>-1075725.42</v>
      </c>
      <c r="BR65" s="195">
        <v>174079.73907664046</v>
      </c>
      <c r="BS65" s="195">
        <v>1129537</v>
      </c>
      <c r="BT65" s="195">
        <v>361572</v>
      </c>
      <c r="BU65" s="195">
        <v>874686.7781186404</v>
      </c>
      <c r="BV65" s="195">
        <v>40153.21745856467</v>
      </c>
      <c r="BW65" s="195">
        <v>-24432.856551359495</v>
      </c>
      <c r="BX65" s="195">
        <v>371268.24533248646</v>
      </c>
      <c r="BY65" s="195">
        <v>697889.440491932</v>
      </c>
      <c r="BZ65" s="195">
        <v>1075183.5111417584</v>
      </c>
      <c r="CA65" s="195">
        <v>331922.23114345456</v>
      </c>
      <c r="CB65" s="195">
        <v>1132.74</v>
      </c>
      <c r="CC65" s="195">
        <v>-18623.43962822322</v>
      </c>
      <c r="CD65" s="195">
        <v>5043054.766583895</v>
      </c>
      <c r="CE65" s="195">
        <v>3233773.6079748506</v>
      </c>
      <c r="CF65" s="195">
        <v>0</v>
      </c>
      <c r="CG65" s="229">
        <v>9302654.276039999</v>
      </c>
      <c r="CH65" s="195">
        <v>-709149</v>
      </c>
      <c r="CI65" s="195">
        <v>21418.640900000006</v>
      </c>
      <c r="CJ65" s="195">
        <v>30657192.369066413</v>
      </c>
      <c r="CL65" s="195">
        <v>12621</v>
      </c>
    </row>
    <row r="66" spans="1:90" ht="9.75">
      <c r="A66" s="195">
        <v>211</v>
      </c>
      <c r="B66" s="195" t="s">
        <v>134</v>
      </c>
      <c r="C66" s="195">
        <v>31190</v>
      </c>
      <c r="D66" s="195">
        <v>109375327.89</v>
      </c>
      <c r="E66" s="195">
        <v>30815907.38527586</v>
      </c>
      <c r="F66" s="195">
        <v>4301541.470162292</v>
      </c>
      <c r="G66" s="195">
        <v>144492776.74543816</v>
      </c>
      <c r="H66" s="195">
        <v>3540.31</v>
      </c>
      <c r="I66" s="195">
        <v>110422268.89999999</v>
      </c>
      <c r="J66" s="195">
        <v>34070507.84543817</v>
      </c>
      <c r="K66" s="195">
        <v>429545.5849228599</v>
      </c>
      <c r="L66" s="195">
        <v>4551530.859244969</v>
      </c>
      <c r="M66" s="195">
        <v>0</v>
      </c>
      <c r="N66" s="195">
        <v>39051584.28960599</v>
      </c>
      <c r="O66" s="195">
        <v>2077736.4896152352</v>
      </c>
      <c r="P66" s="195">
        <v>41129320.77922122</v>
      </c>
      <c r="Q66" s="195">
        <v>2337</v>
      </c>
      <c r="R66" s="195">
        <v>442</v>
      </c>
      <c r="S66" s="195">
        <v>2719</v>
      </c>
      <c r="T66" s="195">
        <v>1192</v>
      </c>
      <c r="U66" s="195">
        <v>1087</v>
      </c>
      <c r="V66" s="195">
        <v>17473</v>
      </c>
      <c r="W66" s="195">
        <v>3408</v>
      </c>
      <c r="X66" s="195">
        <v>1886</v>
      </c>
      <c r="Y66" s="195">
        <v>646</v>
      </c>
      <c r="Z66" s="195">
        <v>71</v>
      </c>
      <c r="AA66" s="195">
        <v>1</v>
      </c>
      <c r="AB66" s="195">
        <v>30475</v>
      </c>
      <c r="AC66" s="195">
        <v>643</v>
      </c>
      <c r="AD66" s="195">
        <v>5940</v>
      </c>
      <c r="AE66" s="195">
        <v>0.8698154803887085</v>
      </c>
      <c r="AF66" s="195">
        <v>30815907.38527586</v>
      </c>
      <c r="AG66" s="195">
        <v>18457511.898495253</v>
      </c>
      <c r="AH66" s="195">
        <v>3966132.809749947</v>
      </c>
      <c r="AI66" s="195">
        <v>1801666.401162118</v>
      </c>
      <c r="AJ66" s="195">
        <v>1844</v>
      </c>
      <c r="AK66" s="195">
        <v>14910</v>
      </c>
      <c r="AL66" s="195">
        <v>0.9314549196686083</v>
      </c>
      <c r="AM66" s="195">
        <v>643</v>
      </c>
      <c r="AN66" s="195">
        <v>0.02061558191728118</v>
      </c>
      <c r="AO66" s="195">
        <v>0.01664732794902721</v>
      </c>
      <c r="AP66" s="195">
        <v>0</v>
      </c>
      <c r="AQ66" s="195">
        <v>71</v>
      </c>
      <c r="AR66" s="195">
        <v>1</v>
      </c>
      <c r="AS66" s="195">
        <v>0</v>
      </c>
      <c r="AT66" s="195">
        <v>0</v>
      </c>
      <c r="AU66" s="195">
        <v>658.04</v>
      </c>
      <c r="AV66" s="195">
        <v>47.39833444775394</v>
      </c>
      <c r="AW66" s="195">
        <v>0.38198209536998834</v>
      </c>
      <c r="AX66" s="195">
        <v>939</v>
      </c>
      <c r="AY66" s="195">
        <v>10607</v>
      </c>
      <c r="AZ66" s="195">
        <v>0.08852644480060337</v>
      </c>
      <c r="BA66" s="195">
        <v>0.0235036445979349</v>
      </c>
      <c r="BB66" s="195">
        <v>0</v>
      </c>
      <c r="BC66" s="195">
        <v>8406</v>
      </c>
      <c r="BD66" s="195">
        <v>12949</v>
      </c>
      <c r="BE66" s="195">
        <v>0.6491620974592632</v>
      </c>
      <c r="BF66" s="195">
        <v>0.21822057941695716</v>
      </c>
      <c r="BG66" s="195">
        <v>0</v>
      </c>
      <c r="BH66" s="195">
        <v>1</v>
      </c>
      <c r="BI66" s="195">
        <v>0</v>
      </c>
      <c r="BJ66" s="195">
        <v>-7485.599999999999</v>
      </c>
      <c r="BK66" s="195">
        <v>-127878.99999999999</v>
      </c>
      <c r="BL66" s="195">
        <v>-8733.2</v>
      </c>
      <c r="BM66" s="195">
        <v>-44601.7</v>
      </c>
      <c r="BN66" s="195">
        <v>-1247.6000000000001</v>
      </c>
      <c r="BO66" s="195">
        <v>273558</v>
      </c>
      <c r="BP66" s="195">
        <v>-883871.3442069741</v>
      </c>
      <c r="BQ66" s="195">
        <v>-2665809.3</v>
      </c>
      <c r="BR66" s="195">
        <v>-235774.60303405012</v>
      </c>
      <c r="BS66" s="195">
        <v>2052330</v>
      </c>
      <c r="BT66" s="195">
        <v>652472</v>
      </c>
      <c r="BU66" s="195">
        <v>1279438.3668590477</v>
      </c>
      <c r="BV66" s="195">
        <v>18609.676418183368</v>
      </c>
      <c r="BW66" s="195">
        <v>58558.191724880795</v>
      </c>
      <c r="BX66" s="195">
        <v>669339.416188655</v>
      </c>
      <c r="BY66" s="195">
        <v>1323883.3820436788</v>
      </c>
      <c r="BZ66" s="195">
        <v>2274364.3120675283</v>
      </c>
      <c r="CA66" s="195">
        <v>683324.0974010793</v>
      </c>
      <c r="CB66" s="195">
        <v>2807.1</v>
      </c>
      <c r="CC66" s="195">
        <v>156482.2637829409</v>
      </c>
      <c r="CD66" s="195">
        <v>9211263.603451943</v>
      </c>
      <c r="CE66" s="195">
        <v>4551530.859244969</v>
      </c>
      <c r="CF66" s="195">
        <v>0</v>
      </c>
      <c r="CG66" s="229">
        <v>2077736.4896152352</v>
      </c>
      <c r="CH66" s="195">
        <v>-3868164</v>
      </c>
      <c r="CI66" s="195">
        <v>-969676.4956399997</v>
      </c>
      <c r="CJ66" s="195">
        <v>37261156.77922122</v>
      </c>
      <c r="CL66" s="195">
        <v>30607</v>
      </c>
    </row>
    <row r="67" spans="1:90" ht="9.75">
      <c r="A67" s="195">
        <v>213</v>
      </c>
      <c r="B67" s="195" t="s">
        <v>135</v>
      </c>
      <c r="C67" s="195">
        <v>5603</v>
      </c>
      <c r="D67" s="195">
        <v>20322963.31</v>
      </c>
      <c r="E67" s="195">
        <v>9835689.327419419</v>
      </c>
      <c r="F67" s="195">
        <v>1569740.607548274</v>
      </c>
      <c r="G67" s="195">
        <v>31728393.24496769</v>
      </c>
      <c r="H67" s="195">
        <v>3540.31</v>
      </c>
      <c r="I67" s="195">
        <v>19836356.93</v>
      </c>
      <c r="J67" s="195">
        <v>11892036.314967692</v>
      </c>
      <c r="K67" s="195">
        <v>818384.195864511</v>
      </c>
      <c r="L67" s="195">
        <v>1888916.3493863065</v>
      </c>
      <c r="M67" s="195">
        <v>0</v>
      </c>
      <c r="N67" s="195">
        <v>14599336.86021851</v>
      </c>
      <c r="O67" s="195">
        <v>3778628.307992001</v>
      </c>
      <c r="P67" s="195">
        <v>18377965.16821051</v>
      </c>
      <c r="Q67" s="195">
        <v>243</v>
      </c>
      <c r="R67" s="195">
        <v>46</v>
      </c>
      <c r="S67" s="195">
        <v>301</v>
      </c>
      <c r="T67" s="195">
        <v>140</v>
      </c>
      <c r="U67" s="195">
        <v>150</v>
      </c>
      <c r="V67" s="195">
        <v>2784</v>
      </c>
      <c r="W67" s="195">
        <v>1028</v>
      </c>
      <c r="X67" s="195">
        <v>655</v>
      </c>
      <c r="Y67" s="195">
        <v>256</v>
      </c>
      <c r="Z67" s="195">
        <v>6</v>
      </c>
      <c r="AA67" s="195">
        <v>0</v>
      </c>
      <c r="AB67" s="195">
        <v>5516</v>
      </c>
      <c r="AC67" s="195">
        <v>81</v>
      </c>
      <c r="AD67" s="195">
        <v>1939</v>
      </c>
      <c r="AE67" s="195">
        <v>1.5454385003835873</v>
      </c>
      <c r="AF67" s="195">
        <v>9835689.327419419</v>
      </c>
      <c r="AG67" s="195">
        <v>37547795.00456012</v>
      </c>
      <c r="AH67" s="195">
        <v>9045801.746522741</v>
      </c>
      <c r="AI67" s="195">
        <v>4129562.097713171</v>
      </c>
      <c r="AJ67" s="195">
        <v>320</v>
      </c>
      <c r="AK67" s="195">
        <v>2281</v>
      </c>
      <c r="AL67" s="195">
        <v>1.0565821286861052</v>
      </c>
      <c r="AM67" s="195">
        <v>81</v>
      </c>
      <c r="AN67" s="195">
        <v>0.01445654113867571</v>
      </c>
      <c r="AO67" s="195">
        <v>0.010488287170421742</v>
      </c>
      <c r="AP67" s="195">
        <v>0</v>
      </c>
      <c r="AQ67" s="195">
        <v>6</v>
      </c>
      <c r="AR67" s="195">
        <v>0</v>
      </c>
      <c r="AS67" s="195">
        <v>0</v>
      </c>
      <c r="AT67" s="195">
        <v>0</v>
      </c>
      <c r="AU67" s="195">
        <v>1068.87</v>
      </c>
      <c r="AV67" s="195">
        <v>5.241984525714073</v>
      </c>
      <c r="AW67" s="195">
        <v>3.4539047226458974</v>
      </c>
      <c r="AX67" s="195">
        <v>220</v>
      </c>
      <c r="AY67" s="195">
        <v>1446</v>
      </c>
      <c r="AZ67" s="195">
        <v>0.15214384508990317</v>
      </c>
      <c r="BA67" s="195">
        <v>0.0871210448872347</v>
      </c>
      <c r="BB67" s="195">
        <v>0.554466</v>
      </c>
      <c r="BC67" s="195">
        <v>1768</v>
      </c>
      <c r="BD67" s="195">
        <v>1925</v>
      </c>
      <c r="BE67" s="195">
        <v>0.9184415584415584</v>
      </c>
      <c r="BF67" s="195">
        <v>0.4875000403992523</v>
      </c>
      <c r="BG67" s="195">
        <v>0</v>
      </c>
      <c r="BH67" s="195">
        <v>0</v>
      </c>
      <c r="BI67" s="195">
        <v>0</v>
      </c>
      <c r="BJ67" s="195">
        <v>-1344.72</v>
      </c>
      <c r="BK67" s="195">
        <v>-22972.3</v>
      </c>
      <c r="BL67" s="195">
        <v>-1568.8400000000001</v>
      </c>
      <c r="BM67" s="195">
        <v>-8012.29</v>
      </c>
      <c r="BN67" s="195">
        <v>-224.12</v>
      </c>
      <c r="BO67" s="195">
        <v>138646</v>
      </c>
      <c r="BP67" s="195">
        <v>-132055.4809681048</v>
      </c>
      <c r="BQ67" s="195">
        <v>-478888.41</v>
      </c>
      <c r="BR67" s="195">
        <v>104150.07537831739</v>
      </c>
      <c r="BS67" s="195">
        <v>651314</v>
      </c>
      <c r="BT67" s="195">
        <v>187331</v>
      </c>
      <c r="BU67" s="195">
        <v>420197.3912115596</v>
      </c>
      <c r="BV67" s="195">
        <v>23328.6713788262</v>
      </c>
      <c r="BW67" s="195">
        <v>53778.54215605336</v>
      </c>
      <c r="BX67" s="195">
        <v>224519.7381976081</v>
      </c>
      <c r="BY67" s="195">
        <v>316250.0427699233</v>
      </c>
      <c r="BZ67" s="195">
        <v>487700.4287774703</v>
      </c>
      <c r="CA67" s="195">
        <v>156845.80144219205</v>
      </c>
      <c r="CB67" s="195">
        <v>504.27</v>
      </c>
      <c r="CC67" s="195">
        <v>-65631.13095753879</v>
      </c>
      <c r="CD67" s="195">
        <v>2699271.0103544113</v>
      </c>
      <c r="CE67" s="195">
        <v>1888916.3493863065</v>
      </c>
      <c r="CF67" s="195">
        <v>0</v>
      </c>
      <c r="CG67" s="229">
        <v>3778628.307992001</v>
      </c>
      <c r="CH67" s="195">
        <v>-527912</v>
      </c>
      <c r="CI67" s="195">
        <v>-126478.18260000001</v>
      </c>
      <c r="CJ67" s="195">
        <v>17850053.16821051</v>
      </c>
      <c r="CL67" s="195">
        <v>5628</v>
      </c>
    </row>
    <row r="68" spans="1:90" ht="9.75">
      <c r="A68" s="195">
        <v>214</v>
      </c>
      <c r="B68" s="195" t="s">
        <v>136</v>
      </c>
      <c r="C68" s="195">
        <v>11637</v>
      </c>
      <c r="D68" s="195">
        <v>39090587.089999996</v>
      </c>
      <c r="E68" s="195">
        <v>14223358.870200189</v>
      </c>
      <c r="F68" s="195">
        <v>2314858.184705783</v>
      </c>
      <c r="G68" s="195">
        <v>55628804.14490597</v>
      </c>
      <c r="H68" s="195">
        <v>3540.31</v>
      </c>
      <c r="I68" s="195">
        <v>41198587.47</v>
      </c>
      <c r="J68" s="195">
        <v>14430216.67490597</v>
      </c>
      <c r="K68" s="195">
        <v>514610.0203077979</v>
      </c>
      <c r="L68" s="195">
        <v>3780261.1637405916</v>
      </c>
      <c r="M68" s="195">
        <v>0</v>
      </c>
      <c r="N68" s="195">
        <v>18725087.85895436</v>
      </c>
      <c r="O68" s="195">
        <v>7462074.3305637175</v>
      </c>
      <c r="P68" s="195">
        <v>26187162.189518075</v>
      </c>
      <c r="Q68" s="195">
        <v>708</v>
      </c>
      <c r="R68" s="195">
        <v>110</v>
      </c>
      <c r="S68" s="195">
        <v>698</v>
      </c>
      <c r="T68" s="195">
        <v>343</v>
      </c>
      <c r="U68" s="195">
        <v>391</v>
      </c>
      <c r="V68" s="195">
        <v>6510</v>
      </c>
      <c r="W68" s="195">
        <v>1616</v>
      </c>
      <c r="X68" s="195">
        <v>923</v>
      </c>
      <c r="Y68" s="195">
        <v>338</v>
      </c>
      <c r="Z68" s="195">
        <v>12</v>
      </c>
      <c r="AA68" s="195">
        <v>0</v>
      </c>
      <c r="AB68" s="195">
        <v>11329</v>
      </c>
      <c r="AC68" s="195">
        <v>296</v>
      </c>
      <c r="AD68" s="195">
        <v>2877</v>
      </c>
      <c r="AE68" s="195">
        <v>1.0760406565337521</v>
      </c>
      <c r="AF68" s="195">
        <v>14223358.870200189</v>
      </c>
      <c r="AG68" s="195">
        <v>12420546.827112485</v>
      </c>
      <c r="AH68" s="195">
        <v>3136490.280517287</v>
      </c>
      <c r="AI68" s="195">
        <v>1186245.699775058</v>
      </c>
      <c r="AJ68" s="195">
        <v>655</v>
      </c>
      <c r="AK68" s="195">
        <v>5383</v>
      </c>
      <c r="AL68" s="195">
        <v>0.9164219604972362</v>
      </c>
      <c r="AM68" s="195">
        <v>296</v>
      </c>
      <c r="AN68" s="195">
        <v>0.025436108962791096</v>
      </c>
      <c r="AO68" s="195">
        <v>0.021467854994537128</v>
      </c>
      <c r="AP68" s="195">
        <v>0</v>
      </c>
      <c r="AQ68" s="195">
        <v>12</v>
      </c>
      <c r="AR68" s="195">
        <v>0</v>
      </c>
      <c r="AS68" s="195">
        <v>0</v>
      </c>
      <c r="AT68" s="195">
        <v>0</v>
      </c>
      <c r="AU68" s="195">
        <v>689.41</v>
      </c>
      <c r="AV68" s="195">
        <v>16.879650715829477</v>
      </c>
      <c r="AW68" s="195">
        <v>1.072611952356435</v>
      </c>
      <c r="AX68" s="195">
        <v>529</v>
      </c>
      <c r="AY68" s="195">
        <v>3380</v>
      </c>
      <c r="AZ68" s="195">
        <v>0.15650887573964498</v>
      </c>
      <c r="BA68" s="195">
        <v>0.0914860755369765</v>
      </c>
      <c r="BB68" s="195">
        <v>0</v>
      </c>
      <c r="BC68" s="195">
        <v>5252</v>
      </c>
      <c r="BD68" s="195">
        <v>4641</v>
      </c>
      <c r="BE68" s="195">
        <v>1.1316526610644257</v>
      </c>
      <c r="BF68" s="195">
        <v>0.7007111430221197</v>
      </c>
      <c r="BG68" s="195">
        <v>0</v>
      </c>
      <c r="BH68" s="195">
        <v>0</v>
      </c>
      <c r="BI68" s="195">
        <v>0</v>
      </c>
      <c r="BJ68" s="195">
        <v>-2792.88</v>
      </c>
      <c r="BK68" s="195">
        <v>-47711.7</v>
      </c>
      <c r="BL68" s="195">
        <v>-3258.36</v>
      </c>
      <c r="BM68" s="195">
        <v>-16640.91</v>
      </c>
      <c r="BN68" s="195">
        <v>-465.48</v>
      </c>
      <c r="BO68" s="195">
        <v>376644</v>
      </c>
      <c r="BP68" s="195">
        <v>-282618.7376779516</v>
      </c>
      <c r="BQ68" s="195">
        <v>-994614.39</v>
      </c>
      <c r="BR68" s="195">
        <v>366490.2791329548</v>
      </c>
      <c r="BS68" s="195">
        <v>1057264</v>
      </c>
      <c r="BT68" s="195">
        <v>346030</v>
      </c>
      <c r="BU68" s="195">
        <v>864422.5563986355</v>
      </c>
      <c r="BV68" s="195">
        <v>42245.25755368333</v>
      </c>
      <c r="BW68" s="195">
        <v>88537.4090538738</v>
      </c>
      <c r="BX68" s="195">
        <v>399714.71127646166</v>
      </c>
      <c r="BY68" s="195">
        <v>641321.649444843</v>
      </c>
      <c r="BZ68" s="195">
        <v>977715.8377379086</v>
      </c>
      <c r="CA68" s="195">
        <v>316321.48588368116</v>
      </c>
      <c r="CB68" s="195">
        <v>1047.33</v>
      </c>
      <c r="CC68" s="195">
        <v>-6797.615063499135</v>
      </c>
      <c r="CD68" s="195">
        <v>5471655.121418543</v>
      </c>
      <c r="CE68" s="195">
        <v>3780261.1637405916</v>
      </c>
      <c r="CF68" s="195">
        <v>0</v>
      </c>
      <c r="CG68" s="229">
        <v>7462074.3305637175</v>
      </c>
      <c r="CH68" s="195">
        <v>813569</v>
      </c>
      <c r="CI68" s="195">
        <v>242931.45049999998</v>
      </c>
      <c r="CJ68" s="195">
        <v>27000731.189518075</v>
      </c>
      <c r="CL68" s="195">
        <v>11769</v>
      </c>
    </row>
    <row r="69" spans="1:90" ht="9.75">
      <c r="A69" s="195">
        <v>216</v>
      </c>
      <c r="B69" s="195" t="s">
        <v>137</v>
      </c>
      <c r="C69" s="195">
        <v>1424</v>
      </c>
      <c r="D69" s="195">
        <v>5457823.95</v>
      </c>
      <c r="E69" s="195">
        <v>2667789.425589111</v>
      </c>
      <c r="F69" s="195">
        <v>583507.1633888548</v>
      </c>
      <c r="G69" s="195">
        <v>8709120.538977966</v>
      </c>
      <c r="H69" s="195">
        <v>3540.31</v>
      </c>
      <c r="I69" s="195">
        <v>5041401.4399999995</v>
      </c>
      <c r="J69" s="195">
        <v>3667719.0989779662</v>
      </c>
      <c r="K69" s="195">
        <v>320225.9120763473</v>
      </c>
      <c r="L69" s="195">
        <v>542193.7219894826</v>
      </c>
      <c r="M69" s="195">
        <v>137125.79026237782</v>
      </c>
      <c r="N69" s="195">
        <v>4667264.523306174</v>
      </c>
      <c r="O69" s="195">
        <v>1437174.3981714286</v>
      </c>
      <c r="P69" s="195">
        <v>6104438.921477603</v>
      </c>
      <c r="Q69" s="195">
        <v>54</v>
      </c>
      <c r="R69" s="195">
        <v>17</v>
      </c>
      <c r="S69" s="195">
        <v>88</v>
      </c>
      <c r="T69" s="195">
        <v>50</v>
      </c>
      <c r="U69" s="195">
        <v>46</v>
      </c>
      <c r="V69" s="195">
        <v>701</v>
      </c>
      <c r="W69" s="195">
        <v>235</v>
      </c>
      <c r="X69" s="195">
        <v>163</v>
      </c>
      <c r="Y69" s="195">
        <v>70</v>
      </c>
      <c r="Z69" s="195">
        <v>1</v>
      </c>
      <c r="AA69" s="195">
        <v>0</v>
      </c>
      <c r="AB69" s="195">
        <v>1403</v>
      </c>
      <c r="AC69" s="195">
        <v>20</v>
      </c>
      <c r="AD69" s="195">
        <v>468</v>
      </c>
      <c r="AE69" s="195">
        <v>1.649335872037039</v>
      </c>
      <c r="AF69" s="195">
        <v>2667789.425589111</v>
      </c>
      <c r="AG69" s="195">
        <v>18584383.31855933</v>
      </c>
      <c r="AH69" s="195">
        <v>3633030.4851860767</v>
      </c>
      <c r="AI69" s="195">
        <v>1997887.4943579924</v>
      </c>
      <c r="AJ69" s="195">
        <v>110</v>
      </c>
      <c r="AK69" s="195">
        <v>591</v>
      </c>
      <c r="AL69" s="195">
        <v>1.401792628535484</v>
      </c>
      <c r="AM69" s="195">
        <v>20</v>
      </c>
      <c r="AN69" s="195">
        <v>0.014044943820224719</v>
      </c>
      <c r="AO69" s="195">
        <v>0.01007668985197075</v>
      </c>
      <c r="AP69" s="195">
        <v>0</v>
      </c>
      <c r="AQ69" s="195">
        <v>1</v>
      </c>
      <c r="AR69" s="195">
        <v>0</v>
      </c>
      <c r="AS69" s="195">
        <v>0</v>
      </c>
      <c r="AT69" s="195">
        <v>0</v>
      </c>
      <c r="AU69" s="195">
        <v>445</v>
      </c>
      <c r="AV69" s="195">
        <v>3.2</v>
      </c>
      <c r="AW69" s="195">
        <v>5.657910971687672</v>
      </c>
      <c r="AX69" s="195">
        <v>72</v>
      </c>
      <c r="AY69" s="195">
        <v>377</v>
      </c>
      <c r="AZ69" s="195">
        <v>0.1909814323607427</v>
      </c>
      <c r="BA69" s="195">
        <v>0.12595863215807424</v>
      </c>
      <c r="BB69" s="195">
        <v>0.94145</v>
      </c>
      <c r="BC69" s="195">
        <v>414</v>
      </c>
      <c r="BD69" s="195">
        <v>464</v>
      </c>
      <c r="BE69" s="195">
        <v>0.8922413793103449</v>
      </c>
      <c r="BF69" s="195">
        <v>0.4612998612680388</v>
      </c>
      <c r="BG69" s="195">
        <v>0</v>
      </c>
      <c r="BH69" s="195">
        <v>0</v>
      </c>
      <c r="BI69" s="195">
        <v>0</v>
      </c>
      <c r="BJ69" s="195">
        <v>-341.76</v>
      </c>
      <c r="BK69" s="195">
        <v>-5838.4</v>
      </c>
      <c r="BL69" s="195">
        <v>-398.72</v>
      </c>
      <c r="BM69" s="195">
        <v>-2036.32</v>
      </c>
      <c r="BN69" s="195">
        <v>-56.96</v>
      </c>
      <c r="BO69" s="195">
        <v>12874</v>
      </c>
      <c r="BP69" s="195">
        <v>-26511.138224657403</v>
      </c>
      <c r="BQ69" s="195">
        <v>-121709.28</v>
      </c>
      <c r="BR69" s="195">
        <v>53822.27823724039</v>
      </c>
      <c r="BS69" s="195">
        <v>158615</v>
      </c>
      <c r="BT69" s="195">
        <v>47512</v>
      </c>
      <c r="BU69" s="195">
        <v>119051.56090819609</v>
      </c>
      <c r="BV69" s="195">
        <v>7616.3543238918255</v>
      </c>
      <c r="BW69" s="195">
        <v>21503.490366428287</v>
      </c>
      <c r="BX69" s="195">
        <v>69878.34002194715</v>
      </c>
      <c r="BY69" s="195">
        <v>85699.80887111144</v>
      </c>
      <c r="BZ69" s="195">
        <v>125186.9110305073</v>
      </c>
      <c r="CA69" s="195">
        <v>34918.786799951755</v>
      </c>
      <c r="CB69" s="195">
        <v>128.16</v>
      </c>
      <c r="CC69" s="195">
        <v>4202.1696548657055</v>
      </c>
      <c r="CD69" s="195">
        <v>741094.30021414</v>
      </c>
      <c r="CE69" s="195">
        <v>542193.7219894826</v>
      </c>
      <c r="CF69" s="195">
        <v>137125.79026237782</v>
      </c>
      <c r="CG69" s="229">
        <v>1437174.3981714286</v>
      </c>
      <c r="CH69" s="195">
        <v>-307891</v>
      </c>
      <c r="CI69" s="195">
        <v>-10429.04</v>
      </c>
      <c r="CJ69" s="195">
        <v>5796547.921477603</v>
      </c>
      <c r="CL69" s="195">
        <v>1462</v>
      </c>
    </row>
    <row r="70" spans="1:90" ht="9.75">
      <c r="A70" s="195">
        <v>217</v>
      </c>
      <c r="B70" s="195" t="s">
        <v>138</v>
      </c>
      <c r="C70" s="195">
        <v>5578</v>
      </c>
      <c r="D70" s="195">
        <v>20113245.86</v>
      </c>
      <c r="E70" s="195">
        <v>6502073.958723063</v>
      </c>
      <c r="F70" s="195">
        <v>1102437.2219310321</v>
      </c>
      <c r="G70" s="195">
        <v>27717757.040654093</v>
      </c>
      <c r="H70" s="195">
        <v>3540.31</v>
      </c>
      <c r="I70" s="195">
        <v>19747849.18</v>
      </c>
      <c r="J70" s="195">
        <v>7969907.860654093</v>
      </c>
      <c r="K70" s="195">
        <v>195870.24854232083</v>
      </c>
      <c r="L70" s="195">
        <v>1226294.1419347127</v>
      </c>
      <c r="M70" s="195">
        <v>0</v>
      </c>
      <c r="N70" s="195">
        <v>9392072.251131127</v>
      </c>
      <c r="O70" s="195">
        <v>4020167.2800663407</v>
      </c>
      <c r="P70" s="195">
        <v>13412239.531197468</v>
      </c>
      <c r="Q70" s="195">
        <v>418</v>
      </c>
      <c r="R70" s="195">
        <v>76</v>
      </c>
      <c r="S70" s="195">
        <v>405</v>
      </c>
      <c r="T70" s="195">
        <v>221</v>
      </c>
      <c r="U70" s="195">
        <v>221</v>
      </c>
      <c r="V70" s="195">
        <v>3043</v>
      </c>
      <c r="W70" s="195">
        <v>669</v>
      </c>
      <c r="X70" s="195">
        <v>370</v>
      </c>
      <c r="Y70" s="195">
        <v>155</v>
      </c>
      <c r="Z70" s="195">
        <v>22</v>
      </c>
      <c r="AA70" s="195">
        <v>0</v>
      </c>
      <c r="AB70" s="195">
        <v>5463</v>
      </c>
      <c r="AC70" s="195">
        <v>93</v>
      </c>
      <c r="AD70" s="195">
        <v>1194</v>
      </c>
      <c r="AE70" s="195">
        <v>1.026221106005386</v>
      </c>
      <c r="AF70" s="195">
        <v>6502073.958723063</v>
      </c>
      <c r="AG70" s="195">
        <v>3277776.0004473566</v>
      </c>
      <c r="AH70" s="195">
        <v>792660.5106450772</v>
      </c>
      <c r="AI70" s="195">
        <v>347846.4833926861</v>
      </c>
      <c r="AJ70" s="195">
        <v>287</v>
      </c>
      <c r="AK70" s="195">
        <v>2554</v>
      </c>
      <c r="AL70" s="195">
        <v>0.8463296799113803</v>
      </c>
      <c r="AM70" s="195">
        <v>93</v>
      </c>
      <c r="AN70" s="195">
        <v>0.016672642524202225</v>
      </c>
      <c r="AO70" s="195">
        <v>0.012704388555948257</v>
      </c>
      <c r="AP70" s="195">
        <v>0</v>
      </c>
      <c r="AQ70" s="195">
        <v>22</v>
      </c>
      <c r="AR70" s="195">
        <v>0</v>
      </c>
      <c r="AS70" s="195">
        <v>0</v>
      </c>
      <c r="AT70" s="195">
        <v>0</v>
      </c>
      <c r="AU70" s="195">
        <v>468.23</v>
      </c>
      <c r="AV70" s="195">
        <v>11.91294876449608</v>
      </c>
      <c r="AW70" s="195">
        <v>1.519801307578813</v>
      </c>
      <c r="AX70" s="195">
        <v>266</v>
      </c>
      <c r="AY70" s="195">
        <v>1584</v>
      </c>
      <c r="AZ70" s="195">
        <v>0.16792929292929293</v>
      </c>
      <c r="BA70" s="195">
        <v>0.10290649272662446</v>
      </c>
      <c r="BB70" s="195">
        <v>0</v>
      </c>
      <c r="BC70" s="195">
        <v>2185</v>
      </c>
      <c r="BD70" s="195">
        <v>2213</v>
      </c>
      <c r="BE70" s="195">
        <v>0.9873474920921825</v>
      </c>
      <c r="BF70" s="195">
        <v>0.5564059740498765</v>
      </c>
      <c r="BG70" s="195">
        <v>0</v>
      </c>
      <c r="BH70" s="195">
        <v>0</v>
      </c>
      <c r="BI70" s="195">
        <v>0</v>
      </c>
      <c r="BJ70" s="195">
        <v>-1338.72</v>
      </c>
      <c r="BK70" s="195">
        <v>-22869.8</v>
      </c>
      <c r="BL70" s="195">
        <v>-1561.8400000000001</v>
      </c>
      <c r="BM70" s="195">
        <v>-7976.54</v>
      </c>
      <c r="BN70" s="195">
        <v>-223.12</v>
      </c>
      <c r="BO70" s="195">
        <v>-39125</v>
      </c>
      <c r="BP70" s="195">
        <v>-220092.46828017465</v>
      </c>
      <c r="BQ70" s="195">
        <v>-476751.66</v>
      </c>
      <c r="BR70" s="195">
        <v>-29314.746329082176</v>
      </c>
      <c r="BS70" s="195">
        <v>472563</v>
      </c>
      <c r="BT70" s="195">
        <v>155789</v>
      </c>
      <c r="BU70" s="195">
        <v>373453.802525867</v>
      </c>
      <c r="BV70" s="195">
        <v>18040.573836712447</v>
      </c>
      <c r="BW70" s="195">
        <v>72786.55766004905</v>
      </c>
      <c r="BX70" s="195">
        <v>176020.8346108859</v>
      </c>
      <c r="BY70" s="195">
        <v>301129.87290488865</v>
      </c>
      <c r="BZ70" s="195">
        <v>492919.3720727344</v>
      </c>
      <c r="CA70" s="195">
        <v>150486.35466437592</v>
      </c>
      <c r="CB70" s="195">
        <v>502.02</v>
      </c>
      <c r="CC70" s="195">
        <v>-23927.031731544248</v>
      </c>
      <c r="CD70" s="195">
        <v>2121659.2902148874</v>
      </c>
      <c r="CE70" s="195">
        <v>1226294.1419347127</v>
      </c>
      <c r="CF70" s="195">
        <v>0</v>
      </c>
      <c r="CG70" s="229">
        <v>4020167.2800663407</v>
      </c>
      <c r="CH70" s="195">
        <v>-102141</v>
      </c>
      <c r="CI70" s="195">
        <v>-20792.898500000003</v>
      </c>
      <c r="CJ70" s="195">
        <v>13310098.531197468</v>
      </c>
      <c r="CL70" s="195">
        <v>5590</v>
      </c>
    </row>
    <row r="71" spans="1:90" ht="9.75">
      <c r="A71" s="195">
        <v>218</v>
      </c>
      <c r="B71" s="195" t="s">
        <v>139</v>
      </c>
      <c r="C71" s="195">
        <v>1349</v>
      </c>
      <c r="D71" s="195">
        <v>5037615.140000001</v>
      </c>
      <c r="E71" s="195">
        <v>2472886.528767747</v>
      </c>
      <c r="F71" s="195">
        <v>298421.81829099247</v>
      </c>
      <c r="G71" s="195">
        <v>7808923.48705874</v>
      </c>
      <c r="H71" s="195">
        <v>3540.31</v>
      </c>
      <c r="I71" s="195">
        <v>4775878.1899999995</v>
      </c>
      <c r="J71" s="195">
        <v>3033045.2970587406</v>
      </c>
      <c r="K71" s="195">
        <v>47884.86289660531</v>
      </c>
      <c r="L71" s="195">
        <v>594743.6988167609</v>
      </c>
      <c r="M71" s="195">
        <v>0</v>
      </c>
      <c r="N71" s="195">
        <v>3675673.858772107</v>
      </c>
      <c r="O71" s="195">
        <v>1231768.602123636</v>
      </c>
      <c r="P71" s="195">
        <v>4907442.460895743</v>
      </c>
      <c r="Q71" s="195">
        <v>63</v>
      </c>
      <c r="R71" s="195">
        <v>8</v>
      </c>
      <c r="S71" s="195">
        <v>65</v>
      </c>
      <c r="T71" s="195">
        <v>38</v>
      </c>
      <c r="U71" s="195">
        <v>29</v>
      </c>
      <c r="V71" s="195">
        <v>720</v>
      </c>
      <c r="W71" s="195">
        <v>194</v>
      </c>
      <c r="X71" s="195">
        <v>159</v>
      </c>
      <c r="Y71" s="195">
        <v>73</v>
      </c>
      <c r="Z71" s="195">
        <v>23</v>
      </c>
      <c r="AA71" s="195">
        <v>0</v>
      </c>
      <c r="AB71" s="195">
        <v>1310</v>
      </c>
      <c r="AC71" s="195">
        <v>16</v>
      </c>
      <c r="AD71" s="195">
        <v>426</v>
      </c>
      <c r="AE71" s="195">
        <v>1.6138374387733319</v>
      </c>
      <c r="AF71" s="195">
        <v>2472886.528767747</v>
      </c>
      <c r="AG71" s="195">
        <v>8721121.591545891</v>
      </c>
      <c r="AH71" s="195">
        <v>1564679.0170376976</v>
      </c>
      <c r="AI71" s="195">
        <v>936509.7629803086</v>
      </c>
      <c r="AJ71" s="195">
        <v>63</v>
      </c>
      <c r="AK71" s="195">
        <v>641</v>
      </c>
      <c r="AL71" s="195">
        <v>0.7402204643066468</v>
      </c>
      <c r="AM71" s="195">
        <v>16</v>
      </c>
      <c r="AN71" s="195">
        <v>0.011860637509266123</v>
      </c>
      <c r="AO71" s="195">
        <v>0.007892383541012155</v>
      </c>
      <c r="AP71" s="195">
        <v>0</v>
      </c>
      <c r="AQ71" s="195">
        <v>23</v>
      </c>
      <c r="AR71" s="195">
        <v>0</v>
      </c>
      <c r="AS71" s="195">
        <v>0</v>
      </c>
      <c r="AT71" s="195">
        <v>0</v>
      </c>
      <c r="AU71" s="195">
        <v>185.76</v>
      </c>
      <c r="AV71" s="195">
        <v>7.262058570198105</v>
      </c>
      <c r="AW71" s="195">
        <v>2.493138128037247</v>
      </c>
      <c r="AX71" s="195">
        <v>63</v>
      </c>
      <c r="AY71" s="195">
        <v>350</v>
      </c>
      <c r="AZ71" s="195">
        <v>0.18</v>
      </c>
      <c r="BA71" s="195">
        <v>0.11497719979733152</v>
      </c>
      <c r="BB71" s="195">
        <v>0.0557</v>
      </c>
      <c r="BC71" s="195">
        <v>443</v>
      </c>
      <c r="BD71" s="195">
        <v>547</v>
      </c>
      <c r="BE71" s="195">
        <v>0.8098720292504571</v>
      </c>
      <c r="BF71" s="195">
        <v>0.378930511208151</v>
      </c>
      <c r="BG71" s="195">
        <v>0</v>
      </c>
      <c r="BH71" s="195">
        <v>0</v>
      </c>
      <c r="BI71" s="195">
        <v>0</v>
      </c>
      <c r="BJ71" s="195">
        <v>-323.76</v>
      </c>
      <c r="BK71" s="195">
        <v>-5530.9</v>
      </c>
      <c r="BL71" s="195">
        <v>-377.72</v>
      </c>
      <c r="BM71" s="195">
        <v>-1929.07</v>
      </c>
      <c r="BN71" s="195">
        <v>-53.96</v>
      </c>
      <c r="BO71" s="195">
        <v>-17238</v>
      </c>
      <c r="BP71" s="195">
        <v>-41517.44288012386</v>
      </c>
      <c r="BQ71" s="195">
        <v>-115299.03</v>
      </c>
      <c r="BR71" s="195">
        <v>87483.34700512048</v>
      </c>
      <c r="BS71" s="195">
        <v>162602</v>
      </c>
      <c r="BT71" s="195">
        <v>51113</v>
      </c>
      <c r="BU71" s="195">
        <v>118966.60017293353</v>
      </c>
      <c r="BV71" s="195">
        <v>8090.23369131995</v>
      </c>
      <c r="BW71" s="195">
        <v>21888.878572067195</v>
      </c>
      <c r="BX71" s="195">
        <v>65271.60570674855</v>
      </c>
      <c r="BY71" s="195">
        <v>96252.52713104039</v>
      </c>
      <c r="BZ71" s="195">
        <v>159066.5523161456</v>
      </c>
      <c r="CA71" s="195">
        <v>49112.639282227356</v>
      </c>
      <c r="CB71" s="195">
        <v>121.41</v>
      </c>
      <c r="CC71" s="195">
        <v>-3240.6521807183854</v>
      </c>
      <c r="CD71" s="195">
        <v>799571.0816968847</v>
      </c>
      <c r="CE71" s="195">
        <v>594743.6988167609</v>
      </c>
      <c r="CF71" s="195">
        <v>0</v>
      </c>
      <c r="CG71" s="229">
        <v>1231768.602123636</v>
      </c>
      <c r="CH71" s="195">
        <v>-312195</v>
      </c>
      <c r="CI71" s="195">
        <v>-451055.98</v>
      </c>
      <c r="CJ71" s="195">
        <v>4595247.460895743</v>
      </c>
      <c r="CL71" s="195">
        <v>1369</v>
      </c>
    </row>
    <row r="72" spans="1:90" ht="9.75">
      <c r="A72" s="195">
        <v>224</v>
      </c>
      <c r="B72" s="195" t="s">
        <v>140</v>
      </c>
      <c r="C72" s="195">
        <v>8911</v>
      </c>
      <c r="D72" s="195">
        <v>31628197.800000004</v>
      </c>
      <c r="E72" s="195">
        <v>10191976.865968041</v>
      </c>
      <c r="F72" s="195">
        <v>2179913.0275467206</v>
      </c>
      <c r="G72" s="195">
        <v>44000087.693514764</v>
      </c>
      <c r="H72" s="195">
        <v>3540.31</v>
      </c>
      <c r="I72" s="195">
        <v>31547702.41</v>
      </c>
      <c r="J72" s="195">
        <v>12452385.283514764</v>
      </c>
      <c r="K72" s="195">
        <v>199094.4244136102</v>
      </c>
      <c r="L72" s="195">
        <v>1303855.9323923674</v>
      </c>
      <c r="M72" s="195">
        <v>0</v>
      </c>
      <c r="N72" s="195">
        <v>13955335.640320743</v>
      </c>
      <c r="O72" s="195">
        <v>4223622.066671807</v>
      </c>
      <c r="P72" s="195">
        <v>18178957.70699255</v>
      </c>
      <c r="Q72" s="195">
        <v>526</v>
      </c>
      <c r="R72" s="195">
        <v>99</v>
      </c>
      <c r="S72" s="195">
        <v>664</v>
      </c>
      <c r="T72" s="195">
        <v>315</v>
      </c>
      <c r="U72" s="195">
        <v>286</v>
      </c>
      <c r="V72" s="195">
        <v>4908</v>
      </c>
      <c r="W72" s="195">
        <v>1220</v>
      </c>
      <c r="X72" s="195">
        <v>584</v>
      </c>
      <c r="Y72" s="195">
        <v>309</v>
      </c>
      <c r="Z72" s="195">
        <v>80</v>
      </c>
      <c r="AA72" s="195">
        <v>0</v>
      </c>
      <c r="AB72" s="195">
        <v>8372</v>
      </c>
      <c r="AC72" s="195">
        <v>459</v>
      </c>
      <c r="AD72" s="195">
        <v>2113</v>
      </c>
      <c r="AE72" s="195">
        <v>1.0069305855737138</v>
      </c>
      <c r="AF72" s="195">
        <v>10191976.865968041</v>
      </c>
      <c r="AG72" s="195">
        <v>2652108.2708240245</v>
      </c>
      <c r="AH72" s="195">
        <v>1000590.0233160785</v>
      </c>
      <c r="AI72" s="195">
        <v>178382.8119962493</v>
      </c>
      <c r="AJ72" s="195">
        <v>494</v>
      </c>
      <c r="AK72" s="195">
        <v>4218</v>
      </c>
      <c r="AL72" s="195">
        <v>0.8820616515182738</v>
      </c>
      <c r="AM72" s="195">
        <v>459</v>
      </c>
      <c r="AN72" s="195">
        <v>0.05150937044102794</v>
      </c>
      <c r="AO72" s="195">
        <v>0.047541116472773974</v>
      </c>
      <c r="AP72" s="195">
        <v>0</v>
      </c>
      <c r="AQ72" s="195">
        <v>80</v>
      </c>
      <c r="AR72" s="195">
        <v>0</v>
      </c>
      <c r="AS72" s="195">
        <v>0</v>
      </c>
      <c r="AT72" s="195">
        <v>0</v>
      </c>
      <c r="AU72" s="195">
        <v>242.36</v>
      </c>
      <c r="AV72" s="195">
        <v>36.767618418881</v>
      </c>
      <c r="AW72" s="195">
        <v>0.4924255605335336</v>
      </c>
      <c r="AX72" s="195">
        <v>602</v>
      </c>
      <c r="AY72" s="195">
        <v>2856</v>
      </c>
      <c r="AZ72" s="195">
        <v>0.2107843137254902</v>
      </c>
      <c r="BA72" s="195">
        <v>0.14576151352282174</v>
      </c>
      <c r="BB72" s="195">
        <v>0</v>
      </c>
      <c r="BC72" s="195">
        <v>2851</v>
      </c>
      <c r="BD72" s="195">
        <v>3632</v>
      </c>
      <c r="BE72" s="195">
        <v>0.7849669603524229</v>
      </c>
      <c r="BF72" s="195">
        <v>0.3540254423101168</v>
      </c>
      <c r="BG72" s="195">
        <v>0</v>
      </c>
      <c r="BH72" s="195">
        <v>0</v>
      </c>
      <c r="BI72" s="195">
        <v>0</v>
      </c>
      <c r="BJ72" s="195">
        <v>-2138.64</v>
      </c>
      <c r="BK72" s="195">
        <v>-36535.1</v>
      </c>
      <c r="BL72" s="195">
        <v>-2495.0800000000004</v>
      </c>
      <c r="BM72" s="195">
        <v>-12742.73</v>
      </c>
      <c r="BN72" s="195">
        <v>-356.44</v>
      </c>
      <c r="BO72" s="195">
        <v>-176375</v>
      </c>
      <c r="BP72" s="195">
        <v>-508713.7278203128</v>
      </c>
      <c r="BQ72" s="195">
        <v>-761623.17</v>
      </c>
      <c r="BR72" s="195">
        <v>-10497.994075188413</v>
      </c>
      <c r="BS72" s="195">
        <v>685735</v>
      </c>
      <c r="BT72" s="195">
        <v>228313</v>
      </c>
      <c r="BU72" s="195">
        <v>466962.71765660605</v>
      </c>
      <c r="BV72" s="195">
        <v>11345.00072373815</v>
      </c>
      <c r="BW72" s="195">
        <v>67552.37743129855</v>
      </c>
      <c r="BX72" s="195">
        <v>178336.21752535802</v>
      </c>
      <c r="BY72" s="195">
        <v>429863.58683494903</v>
      </c>
      <c r="BZ72" s="195">
        <v>726820.3431030754</v>
      </c>
      <c r="CA72" s="195">
        <v>248217.50150767315</v>
      </c>
      <c r="CB72" s="195">
        <v>801.99</v>
      </c>
      <c r="CC72" s="195">
        <v>33725.91950516996</v>
      </c>
      <c r="CD72" s="195">
        <v>2891335.3202126804</v>
      </c>
      <c r="CE72" s="195">
        <v>1303855.9323923674</v>
      </c>
      <c r="CF72" s="195">
        <v>0</v>
      </c>
      <c r="CG72" s="229">
        <v>4223622.066671807</v>
      </c>
      <c r="CH72" s="195">
        <v>-754982</v>
      </c>
      <c r="CI72" s="195">
        <v>20649.49920000002</v>
      </c>
      <c r="CJ72" s="195">
        <v>17423975.70699255</v>
      </c>
      <c r="CL72" s="195">
        <v>8969</v>
      </c>
    </row>
    <row r="73" spans="1:90" ht="9.75">
      <c r="A73" s="195">
        <v>226</v>
      </c>
      <c r="B73" s="195" t="s">
        <v>141</v>
      </c>
      <c r="C73" s="195">
        <v>4232</v>
      </c>
      <c r="D73" s="195">
        <v>15528896.660000002</v>
      </c>
      <c r="E73" s="195">
        <v>6153957.401217986</v>
      </c>
      <c r="F73" s="195">
        <v>1321395.9138084182</v>
      </c>
      <c r="G73" s="195">
        <v>23004249.975026403</v>
      </c>
      <c r="H73" s="195">
        <v>3540.31</v>
      </c>
      <c r="I73" s="195">
        <v>14982591.92</v>
      </c>
      <c r="J73" s="195">
        <v>8021658.055026403</v>
      </c>
      <c r="K73" s="195">
        <v>994475.6941428913</v>
      </c>
      <c r="L73" s="195">
        <v>1281095.3984155366</v>
      </c>
      <c r="M73" s="195">
        <v>445956.4929907937</v>
      </c>
      <c r="N73" s="195">
        <v>10743185.640575623</v>
      </c>
      <c r="O73" s="195">
        <v>3907218.6149919974</v>
      </c>
      <c r="P73" s="195">
        <v>14650404.255567621</v>
      </c>
      <c r="Q73" s="195">
        <v>205</v>
      </c>
      <c r="R73" s="195">
        <v>30</v>
      </c>
      <c r="S73" s="195">
        <v>267</v>
      </c>
      <c r="T73" s="195">
        <v>137</v>
      </c>
      <c r="U73" s="195">
        <v>151</v>
      </c>
      <c r="V73" s="195">
        <v>2151</v>
      </c>
      <c r="W73" s="195">
        <v>663</v>
      </c>
      <c r="X73" s="195">
        <v>455</v>
      </c>
      <c r="Y73" s="195">
        <v>173</v>
      </c>
      <c r="Z73" s="195">
        <v>1</v>
      </c>
      <c r="AA73" s="195">
        <v>0</v>
      </c>
      <c r="AB73" s="195">
        <v>4187</v>
      </c>
      <c r="AC73" s="195">
        <v>44</v>
      </c>
      <c r="AD73" s="195">
        <v>1291</v>
      </c>
      <c r="AE73" s="195">
        <v>1.2801957286820485</v>
      </c>
      <c r="AF73" s="195">
        <v>6153957.401217986</v>
      </c>
      <c r="AG73" s="195">
        <v>12781998.216565898</v>
      </c>
      <c r="AH73" s="195">
        <v>3000109.6527871597</v>
      </c>
      <c r="AI73" s="195">
        <v>1275437.1057731826</v>
      </c>
      <c r="AJ73" s="195">
        <v>329</v>
      </c>
      <c r="AK73" s="195">
        <v>1787</v>
      </c>
      <c r="AL73" s="195">
        <v>1.3865959042570635</v>
      </c>
      <c r="AM73" s="195">
        <v>44</v>
      </c>
      <c r="AN73" s="195">
        <v>0.010396975425330813</v>
      </c>
      <c r="AO73" s="195">
        <v>0.006428721457076845</v>
      </c>
      <c r="AP73" s="195">
        <v>0</v>
      </c>
      <c r="AQ73" s="195">
        <v>1</v>
      </c>
      <c r="AR73" s="195">
        <v>0</v>
      </c>
      <c r="AS73" s="195">
        <v>0</v>
      </c>
      <c r="AT73" s="195">
        <v>0</v>
      </c>
      <c r="AU73" s="195">
        <v>887.07</v>
      </c>
      <c r="AV73" s="195">
        <v>4.770762172094648</v>
      </c>
      <c r="AW73" s="195">
        <v>3.7950571536143545</v>
      </c>
      <c r="AX73" s="195">
        <v>167</v>
      </c>
      <c r="AY73" s="195">
        <v>1144</v>
      </c>
      <c r="AZ73" s="195">
        <v>0.145979020979021</v>
      </c>
      <c r="BA73" s="195">
        <v>0.08095622077635252</v>
      </c>
      <c r="BB73" s="195">
        <v>0.953816</v>
      </c>
      <c r="BC73" s="195">
        <v>1381</v>
      </c>
      <c r="BD73" s="195">
        <v>1365</v>
      </c>
      <c r="BE73" s="195">
        <v>1.0117216117216117</v>
      </c>
      <c r="BF73" s="195">
        <v>0.5807800936793056</v>
      </c>
      <c r="BG73" s="195">
        <v>0</v>
      </c>
      <c r="BH73" s="195">
        <v>0</v>
      </c>
      <c r="BI73" s="195">
        <v>0</v>
      </c>
      <c r="BJ73" s="195">
        <v>-1015.68</v>
      </c>
      <c r="BK73" s="195">
        <v>-17351.199999999997</v>
      </c>
      <c r="BL73" s="195">
        <v>-1184.96</v>
      </c>
      <c r="BM73" s="195">
        <v>-6051.759999999999</v>
      </c>
      <c r="BN73" s="195">
        <v>-169.28</v>
      </c>
      <c r="BO73" s="195">
        <v>77843</v>
      </c>
      <c r="BP73" s="195">
        <v>-109546.02398490511</v>
      </c>
      <c r="BQ73" s="195">
        <v>-361709.04</v>
      </c>
      <c r="BR73" s="195">
        <v>29320.945028565824</v>
      </c>
      <c r="BS73" s="195">
        <v>418140</v>
      </c>
      <c r="BT73" s="195">
        <v>130108</v>
      </c>
      <c r="BU73" s="195">
        <v>326875.1375349644</v>
      </c>
      <c r="BV73" s="195">
        <v>18659.542831763487</v>
      </c>
      <c r="BW73" s="195">
        <v>35891.78501852707</v>
      </c>
      <c r="BX73" s="195">
        <v>158948.51525087937</v>
      </c>
      <c r="BY73" s="195">
        <v>230569.23956807284</v>
      </c>
      <c r="BZ73" s="195">
        <v>370414.3147754081</v>
      </c>
      <c r="CA73" s="195">
        <v>109547.58607253172</v>
      </c>
      <c r="CB73" s="195">
        <v>380.88</v>
      </c>
      <c r="CC73" s="195">
        <v>-3985.5236802705986</v>
      </c>
      <c r="CD73" s="195">
        <v>1902967.3424004419</v>
      </c>
      <c r="CE73" s="195">
        <v>1281095.3984155366</v>
      </c>
      <c r="CF73" s="195">
        <v>445956.4929907937</v>
      </c>
      <c r="CG73" s="229">
        <v>3907218.6149919974</v>
      </c>
      <c r="CH73" s="195">
        <v>32668</v>
      </c>
      <c r="CI73" s="195">
        <v>176055.23150000005</v>
      </c>
      <c r="CJ73" s="195">
        <v>14683072.255567621</v>
      </c>
      <c r="CL73" s="195">
        <v>4268</v>
      </c>
    </row>
    <row r="74" spans="1:90" ht="9.75">
      <c r="A74" s="195">
        <v>230</v>
      </c>
      <c r="B74" s="195" t="s">
        <v>142</v>
      </c>
      <c r="C74" s="195">
        <v>2449</v>
      </c>
      <c r="D74" s="195">
        <v>8819386.84</v>
      </c>
      <c r="E74" s="195">
        <v>3259674.0969529003</v>
      </c>
      <c r="F74" s="195">
        <v>787604.8396368998</v>
      </c>
      <c r="G74" s="195">
        <v>12866665.7765898</v>
      </c>
      <c r="H74" s="195">
        <v>3540.31</v>
      </c>
      <c r="I74" s="195">
        <v>8670219.19</v>
      </c>
      <c r="J74" s="195">
        <v>4196446.5865898</v>
      </c>
      <c r="K74" s="195">
        <v>363653.1363399199</v>
      </c>
      <c r="L74" s="195">
        <v>1090409.3443712965</v>
      </c>
      <c r="M74" s="195">
        <v>18952.611184598838</v>
      </c>
      <c r="N74" s="195">
        <v>5669461.678485615</v>
      </c>
      <c r="O74" s="195">
        <v>2495177.428787847</v>
      </c>
      <c r="P74" s="195">
        <v>8164639.107273462</v>
      </c>
      <c r="Q74" s="195">
        <v>110</v>
      </c>
      <c r="R74" s="195">
        <v>20</v>
      </c>
      <c r="S74" s="195">
        <v>128</v>
      </c>
      <c r="T74" s="195">
        <v>70</v>
      </c>
      <c r="U74" s="195">
        <v>77</v>
      </c>
      <c r="V74" s="195">
        <v>1271</v>
      </c>
      <c r="W74" s="195">
        <v>415</v>
      </c>
      <c r="X74" s="195">
        <v>245</v>
      </c>
      <c r="Y74" s="195">
        <v>113</v>
      </c>
      <c r="Z74" s="195">
        <v>2</v>
      </c>
      <c r="AA74" s="195">
        <v>0</v>
      </c>
      <c r="AB74" s="195">
        <v>2389</v>
      </c>
      <c r="AC74" s="195">
        <v>58</v>
      </c>
      <c r="AD74" s="195">
        <v>773</v>
      </c>
      <c r="AE74" s="195">
        <v>1.1717985154549364</v>
      </c>
      <c r="AF74" s="195">
        <v>3259674.0969529003</v>
      </c>
      <c r="AG74" s="195">
        <v>8051015.825467819</v>
      </c>
      <c r="AH74" s="195">
        <v>1588528.6453513228</v>
      </c>
      <c r="AI74" s="195">
        <v>740288.6697844346</v>
      </c>
      <c r="AJ74" s="195">
        <v>134</v>
      </c>
      <c r="AK74" s="195">
        <v>1065</v>
      </c>
      <c r="AL74" s="195">
        <v>0.9476189963656774</v>
      </c>
      <c r="AM74" s="195">
        <v>58</v>
      </c>
      <c r="AN74" s="195">
        <v>0.023683135973866884</v>
      </c>
      <c r="AO74" s="195">
        <v>0.019714882005612916</v>
      </c>
      <c r="AP74" s="195">
        <v>0</v>
      </c>
      <c r="AQ74" s="195">
        <v>2</v>
      </c>
      <c r="AR74" s="195">
        <v>0</v>
      </c>
      <c r="AS74" s="195">
        <v>0</v>
      </c>
      <c r="AT74" s="195">
        <v>0</v>
      </c>
      <c r="AU74" s="195">
        <v>502.13</v>
      </c>
      <c r="AV74" s="195">
        <v>4.877223029892657</v>
      </c>
      <c r="AW74" s="195">
        <v>3.7122179975023677</v>
      </c>
      <c r="AX74" s="195">
        <v>142</v>
      </c>
      <c r="AY74" s="195">
        <v>669</v>
      </c>
      <c r="AZ74" s="195">
        <v>0.21225710014947682</v>
      </c>
      <c r="BA74" s="195">
        <v>0.14723429994680837</v>
      </c>
      <c r="BB74" s="195">
        <v>0.5636</v>
      </c>
      <c r="BC74" s="195">
        <v>836</v>
      </c>
      <c r="BD74" s="195">
        <v>902</v>
      </c>
      <c r="BE74" s="195">
        <v>0.926829268292683</v>
      </c>
      <c r="BF74" s="195">
        <v>0.4958877502503769</v>
      </c>
      <c r="BG74" s="195">
        <v>0</v>
      </c>
      <c r="BH74" s="195">
        <v>0</v>
      </c>
      <c r="BI74" s="195">
        <v>0</v>
      </c>
      <c r="BJ74" s="195">
        <v>-587.76</v>
      </c>
      <c r="BK74" s="195">
        <v>-10040.9</v>
      </c>
      <c r="BL74" s="195">
        <v>-685.72</v>
      </c>
      <c r="BM74" s="195">
        <v>-3502.0699999999997</v>
      </c>
      <c r="BN74" s="195">
        <v>-97.96000000000001</v>
      </c>
      <c r="BO74" s="195">
        <v>139899</v>
      </c>
      <c r="BP74" s="195">
        <v>-34514.50070757284</v>
      </c>
      <c r="BQ74" s="195">
        <v>-209316.03</v>
      </c>
      <c r="BR74" s="195">
        <v>9185.336451798677</v>
      </c>
      <c r="BS74" s="195">
        <v>291060</v>
      </c>
      <c r="BT74" s="195">
        <v>92413</v>
      </c>
      <c r="BU74" s="195">
        <v>256894.05377211169</v>
      </c>
      <c r="BV74" s="195">
        <v>15394.886270220215</v>
      </c>
      <c r="BW74" s="195">
        <v>35647.9445174762</v>
      </c>
      <c r="BX74" s="195">
        <v>106520.14217974393</v>
      </c>
      <c r="BY74" s="195">
        <v>169559.83785104705</v>
      </c>
      <c r="BZ74" s="195">
        <v>240230.03207086163</v>
      </c>
      <c r="CA74" s="195">
        <v>76848.39262321504</v>
      </c>
      <c r="CB74" s="195">
        <v>220.41</v>
      </c>
      <c r="CC74" s="195">
        <v>-12620.190657605053</v>
      </c>
      <c r="CD74" s="195">
        <v>1421399.7850788694</v>
      </c>
      <c r="CE74" s="195">
        <v>1090409.3443712965</v>
      </c>
      <c r="CF74" s="195">
        <v>18952.611184598838</v>
      </c>
      <c r="CG74" s="229">
        <v>2495177.428787847</v>
      </c>
      <c r="CH74" s="195">
        <v>-457175</v>
      </c>
      <c r="CI74" s="195">
        <v>15643.559999999998</v>
      </c>
      <c r="CJ74" s="195">
        <v>7707464.107273462</v>
      </c>
      <c r="CL74" s="195">
        <v>2475</v>
      </c>
    </row>
    <row r="75" spans="1:90" ht="9.75">
      <c r="A75" s="195">
        <v>231</v>
      </c>
      <c r="B75" s="195" t="s">
        <v>143</v>
      </c>
      <c r="C75" s="195">
        <v>1296</v>
      </c>
      <c r="D75" s="195">
        <v>4325653.27</v>
      </c>
      <c r="E75" s="195">
        <v>1757607.1593317047</v>
      </c>
      <c r="F75" s="195">
        <v>453288.7264712226</v>
      </c>
      <c r="G75" s="195">
        <v>6536549.155802927</v>
      </c>
      <c r="H75" s="195">
        <v>3540.31</v>
      </c>
      <c r="I75" s="195">
        <v>4588241.76</v>
      </c>
      <c r="J75" s="195">
        <v>1948307.3958029272</v>
      </c>
      <c r="K75" s="195">
        <v>148823.20305315885</v>
      </c>
      <c r="L75" s="195">
        <v>298824.8778939384</v>
      </c>
      <c r="M75" s="195">
        <v>0</v>
      </c>
      <c r="N75" s="195">
        <v>2395955.4767500246</v>
      </c>
      <c r="O75" s="195">
        <v>-249371.02465844015</v>
      </c>
      <c r="P75" s="195">
        <v>2146584.4520915844</v>
      </c>
      <c r="Q75" s="195">
        <v>55</v>
      </c>
      <c r="R75" s="195">
        <v>8</v>
      </c>
      <c r="S75" s="195">
        <v>58</v>
      </c>
      <c r="T75" s="195">
        <v>29</v>
      </c>
      <c r="U75" s="195">
        <v>31</v>
      </c>
      <c r="V75" s="195">
        <v>639</v>
      </c>
      <c r="W75" s="195">
        <v>294</v>
      </c>
      <c r="X75" s="195">
        <v>134</v>
      </c>
      <c r="Y75" s="195">
        <v>48</v>
      </c>
      <c r="Z75" s="195">
        <v>378</v>
      </c>
      <c r="AA75" s="195">
        <v>0</v>
      </c>
      <c r="AB75" s="195">
        <v>831</v>
      </c>
      <c r="AC75" s="195">
        <v>87</v>
      </c>
      <c r="AD75" s="195">
        <v>476</v>
      </c>
      <c r="AE75" s="195">
        <v>1.1939451030759154</v>
      </c>
      <c r="AF75" s="195">
        <v>1757607.1593317047</v>
      </c>
      <c r="AG75" s="195">
        <v>4325159.044054543</v>
      </c>
      <c r="AH75" s="195">
        <v>938135.6960074565</v>
      </c>
      <c r="AI75" s="195">
        <v>347846.4833926861</v>
      </c>
      <c r="AJ75" s="195">
        <v>70</v>
      </c>
      <c r="AK75" s="195">
        <v>579</v>
      </c>
      <c r="AL75" s="195">
        <v>0.9105379344090591</v>
      </c>
      <c r="AM75" s="195">
        <v>87</v>
      </c>
      <c r="AN75" s="195">
        <v>0.06712962962962964</v>
      </c>
      <c r="AO75" s="195">
        <v>0.06316137566137567</v>
      </c>
      <c r="AP75" s="195">
        <v>1</v>
      </c>
      <c r="AQ75" s="195">
        <v>378</v>
      </c>
      <c r="AR75" s="195">
        <v>0</v>
      </c>
      <c r="AS75" s="195">
        <v>0</v>
      </c>
      <c r="AT75" s="195">
        <v>0</v>
      </c>
      <c r="AU75" s="195">
        <v>10.63</v>
      </c>
      <c r="AV75" s="195">
        <v>121.91909689557855</v>
      </c>
      <c r="AW75" s="195">
        <v>0.14850270031861718</v>
      </c>
      <c r="AX75" s="195">
        <v>62</v>
      </c>
      <c r="AY75" s="195">
        <v>321</v>
      </c>
      <c r="AZ75" s="195">
        <v>0.19314641744548286</v>
      </c>
      <c r="BA75" s="195">
        <v>0.1281236172428144</v>
      </c>
      <c r="BB75" s="195">
        <v>0.360033</v>
      </c>
      <c r="BC75" s="195">
        <v>497</v>
      </c>
      <c r="BD75" s="195">
        <v>467</v>
      </c>
      <c r="BE75" s="195">
        <v>1.0642398286937902</v>
      </c>
      <c r="BF75" s="195">
        <v>0.6332983106514841</v>
      </c>
      <c r="BG75" s="195">
        <v>0</v>
      </c>
      <c r="BH75" s="195">
        <v>0</v>
      </c>
      <c r="BI75" s="195">
        <v>0</v>
      </c>
      <c r="BJ75" s="195">
        <v>-311.03999999999996</v>
      </c>
      <c r="BK75" s="195">
        <v>-5313.599999999999</v>
      </c>
      <c r="BL75" s="195">
        <v>-362.88000000000005</v>
      </c>
      <c r="BM75" s="195">
        <v>-1853.28</v>
      </c>
      <c r="BN75" s="195">
        <v>-51.84</v>
      </c>
      <c r="BO75" s="195">
        <v>23962</v>
      </c>
      <c r="BP75" s="195">
        <v>-31013.02962129734</v>
      </c>
      <c r="BQ75" s="195">
        <v>-110769.12</v>
      </c>
      <c r="BR75" s="195">
        <v>10795.96809515229</v>
      </c>
      <c r="BS75" s="195">
        <v>96307</v>
      </c>
      <c r="BT75" s="195">
        <v>37918</v>
      </c>
      <c r="BU75" s="195">
        <v>84599.72105985375</v>
      </c>
      <c r="BV75" s="195">
        <v>4667.110441196863</v>
      </c>
      <c r="BW75" s="195">
        <v>14013.607726811122</v>
      </c>
      <c r="BX75" s="195">
        <v>34434.394086437955</v>
      </c>
      <c r="BY75" s="195">
        <v>64977.746840366635</v>
      </c>
      <c r="BZ75" s="195">
        <v>108592.87659227524</v>
      </c>
      <c r="CA75" s="195">
        <v>35502.025985305576</v>
      </c>
      <c r="CB75" s="195">
        <v>116.64</v>
      </c>
      <c r="CC75" s="195">
        <v>-29233.183312163666</v>
      </c>
      <c r="CD75" s="195">
        <v>486731.6675152357</v>
      </c>
      <c r="CE75" s="195">
        <v>298824.8778939384</v>
      </c>
      <c r="CF75" s="195">
        <v>0</v>
      </c>
      <c r="CG75" s="229">
        <v>-249371.02465844015</v>
      </c>
      <c r="CH75" s="195">
        <v>-121625</v>
      </c>
      <c r="CI75" s="195">
        <v>-296966.91399999993</v>
      </c>
      <c r="CJ75" s="195">
        <v>2024959.4520915844</v>
      </c>
      <c r="CL75" s="195">
        <v>1285</v>
      </c>
    </row>
    <row r="76" spans="1:90" ht="9.75">
      <c r="A76" s="195">
        <v>232</v>
      </c>
      <c r="B76" s="195" t="s">
        <v>144</v>
      </c>
      <c r="C76" s="195">
        <v>13772</v>
      </c>
      <c r="D76" s="195">
        <v>48321748.39999999</v>
      </c>
      <c r="E76" s="195">
        <v>21694534.35608129</v>
      </c>
      <c r="F76" s="195">
        <v>2886583.1957283253</v>
      </c>
      <c r="G76" s="195">
        <v>72902865.95180961</v>
      </c>
      <c r="H76" s="195">
        <v>3540.31</v>
      </c>
      <c r="I76" s="195">
        <v>48757149.32</v>
      </c>
      <c r="J76" s="195">
        <v>24145716.631809615</v>
      </c>
      <c r="K76" s="195">
        <v>506635.80451237474</v>
      </c>
      <c r="L76" s="195">
        <v>3752868.4663658612</v>
      </c>
      <c r="M76" s="195">
        <v>0</v>
      </c>
      <c r="N76" s="195">
        <v>28405220.90268785</v>
      </c>
      <c r="O76" s="195">
        <v>10444828.513949089</v>
      </c>
      <c r="P76" s="195">
        <v>38850049.416636944</v>
      </c>
      <c r="Q76" s="195">
        <v>818</v>
      </c>
      <c r="R76" s="195">
        <v>163</v>
      </c>
      <c r="S76" s="195">
        <v>899</v>
      </c>
      <c r="T76" s="195">
        <v>455</v>
      </c>
      <c r="U76" s="195">
        <v>489</v>
      </c>
      <c r="V76" s="195">
        <v>7589</v>
      </c>
      <c r="W76" s="195">
        <v>1908</v>
      </c>
      <c r="X76" s="195">
        <v>973</v>
      </c>
      <c r="Y76" s="195">
        <v>478</v>
      </c>
      <c r="Z76" s="195">
        <v>37</v>
      </c>
      <c r="AA76" s="195">
        <v>0</v>
      </c>
      <c r="AB76" s="195">
        <v>13429</v>
      </c>
      <c r="AC76" s="195">
        <v>306</v>
      </c>
      <c r="AD76" s="195">
        <v>3359</v>
      </c>
      <c r="AE76" s="195">
        <v>1.3868224588641338</v>
      </c>
      <c r="AF76" s="195">
        <v>21694534.35608129</v>
      </c>
      <c r="AG76" s="195">
        <v>2271626.1683609993</v>
      </c>
      <c r="AH76" s="195">
        <v>596202.9710869591</v>
      </c>
      <c r="AI76" s="195">
        <v>160544.53079662437</v>
      </c>
      <c r="AJ76" s="195">
        <v>700</v>
      </c>
      <c r="AK76" s="195">
        <v>6309</v>
      </c>
      <c r="AL76" s="195">
        <v>0.8356339578742196</v>
      </c>
      <c r="AM76" s="195">
        <v>306</v>
      </c>
      <c r="AN76" s="195">
        <v>0.02221899506244554</v>
      </c>
      <c r="AO76" s="195">
        <v>0.018250741094191572</v>
      </c>
      <c r="AP76" s="195">
        <v>0</v>
      </c>
      <c r="AQ76" s="195">
        <v>37</v>
      </c>
      <c r="AR76" s="195">
        <v>0</v>
      </c>
      <c r="AS76" s="195">
        <v>0</v>
      </c>
      <c r="AT76" s="195">
        <v>0</v>
      </c>
      <c r="AU76" s="195">
        <v>1298.98</v>
      </c>
      <c r="AV76" s="195">
        <v>10.60216477543919</v>
      </c>
      <c r="AW76" s="195">
        <v>1.7076998417665645</v>
      </c>
      <c r="AX76" s="195">
        <v>630</v>
      </c>
      <c r="AY76" s="195">
        <v>4056</v>
      </c>
      <c r="AZ76" s="195">
        <v>0.15532544378698224</v>
      </c>
      <c r="BA76" s="195">
        <v>0.09030264358431377</v>
      </c>
      <c r="BB76" s="195">
        <v>0</v>
      </c>
      <c r="BC76" s="195">
        <v>5490</v>
      </c>
      <c r="BD76" s="195">
        <v>5415</v>
      </c>
      <c r="BE76" s="195">
        <v>1.0138504155124655</v>
      </c>
      <c r="BF76" s="195">
        <v>0.5829088974701594</v>
      </c>
      <c r="BG76" s="195">
        <v>0</v>
      </c>
      <c r="BH76" s="195">
        <v>0</v>
      </c>
      <c r="BI76" s="195">
        <v>0</v>
      </c>
      <c r="BJ76" s="195">
        <v>-3305.2799999999997</v>
      </c>
      <c r="BK76" s="195">
        <v>-56465.2</v>
      </c>
      <c r="BL76" s="195">
        <v>-3856.1600000000003</v>
      </c>
      <c r="BM76" s="195">
        <v>-19693.96</v>
      </c>
      <c r="BN76" s="195">
        <v>-550.88</v>
      </c>
      <c r="BO76" s="195">
        <v>-121273</v>
      </c>
      <c r="BP76" s="195">
        <v>-738310.1890489496</v>
      </c>
      <c r="BQ76" s="195">
        <v>-1177092.84</v>
      </c>
      <c r="BR76" s="195">
        <v>220633.7152224183</v>
      </c>
      <c r="BS76" s="195">
        <v>1348002</v>
      </c>
      <c r="BT76" s="195">
        <v>442548</v>
      </c>
      <c r="BU76" s="195">
        <v>1109041.4400691977</v>
      </c>
      <c r="BV76" s="195">
        <v>52325.6392268162</v>
      </c>
      <c r="BW76" s="195">
        <v>142064.68655123145</v>
      </c>
      <c r="BX76" s="195">
        <v>519039.0985858991</v>
      </c>
      <c r="BY76" s="195">
        <v>837154.959615151</v>
      </c>
      <c r="BZ76" s="195">
        <v>1257961.1728310033</v>
      </c>
      <c r="CA76" s="195">
        <v>407959.5807290273</v>
      </c>
      <c r="CB76" s="195">
        <v>1239.48</v>
      </c>
      <c r="CC76" s="195">
        <v>-59106.117415934874</v>
      </c>
      <c r="CD76" s="195">
        <v>6158416.975414811</v>
      </c>
      <c r="CE76" s="195">
        <v>3752868.4663658612</v>
      </c>
      <c r="CF76" s="195">
        <v>0</v>
      </c>
      <c r="CG76" s="229">
        <v>10444828.513949089</v>
      </c>
      <c r="CH76" s="195">
        <v>-433517</v>
      </c>
      <c r="CI76" s="195">
        <v>-19684.812999999966</v>
      </c>
      <c r="CJ76" s="195">
        <v>38416532.416636944</v>
      </c>
      <c r="CL76" s="195">
        <v>13875</v>
      </c>
    </row>
    <row r="77" spans="1:90" ht="9.75">
      <c r="A77" s="195">
        <v>233</v>
      </c>
      <c r="B77" s="195" t="s">
        <v>145</v>
      </c>
      <c r="C77" s="195">
        <v>16599</v>
      </c>
      <c r="D77" s="195">
        <v>61951006.57999999</v>
      </c>
      <c r="E77" s="195">
        <v>25227690.313532572</v>
      </c>
      <c r="F77" s="195">
        <v>3086823.7231609444</v>
      </c>
      <c r="G77" s="195">
        <v>90265520.6166935</v>
      </c>
      <c r="H77" s="195">
        <v>3540.31</v>
      </c>
      <c r="I77" s="195">
        <v>58765605.69</v>
      </c>
      <c r="J77" s="195">
        <v>31499914.9266935</v>
      </c>
      <c r="K77" s="195">
        <v>700177.7745963328</v>
      </c>
      <c r="L77" s="195">
        <v>4106850.814204218</v>
      </c>
      <c r="M77" s="195">
        <v>0</v>
      </c>
      <c r="N77" s="195">
        <v>36306943.51549405</v>
      </c>
      <c r="O77" s="195">
        <v>12142421.667336095</v>
      </c>
      <c r="P77" s="195">
        <v>48449365.18283014</v>
      </c>
      <c r="Q77" s="195">
        <v>993</v>
      </c>
      <c r="R77" s="195">
        <v>182</v>
      </c>
      <c r="S77" s="195">
        <v>1204</v>
      </c>
      <c r="T77" s="195">
        <v>565</v>
      </c>
      <c r="U77" s="195">
        <v>589</v>
      </c>
      <c r="V77" s="195">
        <v>8694</v>
      </c>
      <c r="W77" s="195">
        <v>2257</v>
      </c>
      <c r="X77" s="195">
        <v>1449</v>
      </c>
      <c r="Y77" s="195">
        <v>666</v>
      </c>
      <c r="Z77" s="195">
        <v>96</v>
      </c>
      <c r="AA77" s="195">
        <v>0</v>
      </c>
      <c r="AB77" s="195">
        <v>16045</v>
      </c>
      <c r="AC77" s="195">
        <v>458</v>
      </c>
      <c r="AD77" s="195">
        <v>4372</v>
      </c>
      <c r="AE77" s="195">
        <v>1.338021566075676</v>
      </c>
      <c r="AF77" s="195">
        <v>25227690.313532572</v>
      </c>
      <c r="AG77" s="195">
        <v>25308601.6213882</v>
      </c>
      <c r="AH77" s="195">
        <v>6861032.393330799</v>
      </c>
      <c r="AI77" s="195">
        <v>3077103.5069353003</v>
      </c>
      <c r="AJ77" s="195">
        <v>624</v>
      </c>
      <c r="AK77" s="195">
        <v>7349</v>
      </c>
      <c r="AL77" s="195">
        <v>0.6394916967328022</v>
      </c>
      <c r="AM77" s="195">
        <v>458</v>
      </c>
      <c r="AN77" s="195">
        <v>0.027592023615880475</v>
      </c>
      <c r="AO77" s="195">
        <v>0.023623769647626507</v>
      </c>
      <c r="AP77" s="195">
        <v>0</v>
      </c>
      <c r="AQ77" s="195">
        <v>96</v>
      </c>
      <c r="AR77" s="195">
        <v>0</v>
      </c>
      <c r="AS77" s="195">
        <v>0</v>
      </c>
      <c r="AT77" s="195">
        <v>0</v>
      </c>
      <c r="AU77" s="195">
        <v>1313.41</v>
      </c>
      <c r="AV77" s="195">
        <v>12.638094730510655</v>
      </c>
      <c r="AW77" s="195">
        <v>1.432598464837507</v>
      </c>
      <c r="AX77" s="195">
        <v>664</v>
      </c>
      <c r="AY77" s="195">
        <v>4745</v>
      </c>
      <c r="AZ77" s="195">
        <v>0.1399367755532139</v>
      </c>
      <c r="BA77" s="195">
        <v>0.07491397535054543</v>
      </c>
      <c r="BB77" s="195">
        <v>0</v>
      </c>
      <c r="BC77" s="195">
        <v>7371</v>
      </c>
      <c r="BD77" s="195">
        <v>6705</v>
      </c>
      <c r="BE77" s="195">
        <v>1.0993288590604027</v>
      </c>
      <c r="BF77" s="195">
        <v>0.6683873410180966</v>
      </c>
      <c r="BG77" s="195">
        <v>0</v>
      </c>
      <c r="BH77" s="195">
        <v>0</v>
      </c>
      <c r="BI77" s="195">
        <v>0</v>
      </c>
      <c r="BJ77" s="195">
        <v>-3983.7599999999998</v>
      </c>
      <c r="BK77" s="195">
        <v>-68055.9</v>
      </c>
      <c r="BL77" s="195">
        <v>-4647.72</v>
      </c>
      <c r="BM77" s="195">
        <v>-23736.57</v>
      </c>
      <c r="BN77" s="195">
        <v>-663.96</v>
      </c>
      <c r="BO77" s="195">
        <v>-503126</v>
      </c>
      <c r="BP77" s="195">
        <v>-596750.7151323826</v>
      </c>
      <c r="BQ77" s="195">
        <v>-1418716.53</v>
      </c>
      <c r="BR77" s="195">
        <v>55571.627510622144</v>
      </c>
      <c r="BS77" s="195">
        <v>1591871</v>
      </c>
      <c r="BT77" s="195">
        <v>502839</v>
      </c>
      <c r="BU77" s="195">
        <v>1326433.255680016</v>
      </c>
      <c r="BV77" s="195">
        <v>67143.61223950218</v>
      </c>
      <c r="BW77" s="195">
        <v>136521.67357738214</v>
      </c>
      <c r="BX77" s="195">
        <v>582007.1615354746</v>
      </c>
      <c r="BY77" s="195">
        <v>978436.1017883895</v>
      </c>
      <c r="BZ77" s="195">
        <v>1595489.3984866217</v>
      </c>
      <c r="CA77" s="195">
        <v>487689.59216706554</v>
      </c>
      <c r="CB77" s="195">
        <v>1493.9099999999999</v>
      </c>
      <c r="CC77" s="195">
        <v>-110289.80364847451</v>
      </c>
      <c r="CD77" s="195">
        <v>6713076.4693366</v>
      </c>
      <c r="CE77" s="195">
        <v>4106850.814204218</v>
      </c>
      <c r="CF77" s="195">
        <v>0</v>
      </c>
      <c r="CG77" s="229">
        <v>12142421.667336095</v>
      </c>
      <c r="CH77" s="195">
        <v>22520</v>
      </c>
      <c r="CI77" s="195">
        <v>264702.0715000001</v>
      </c>
      <c r="CJ77" s="195">
        <v>48471885.18283014</v>
      </c>
      <c r="CL77" s="195">
        <v>16784</v>
      </c>
    </row>
    <row r="78" spans="1:90" ht="9.75">
      <c r="A78" s="195">
        <v>235</v>
      </c>
      <c r="B78" s="195" t="s">
        <v>146</v>
      </c>
      <c r="C78" s="195">
        <v>9397</v>
      </c>
      <c r="D78" s="195">
        <v>33919210.6</v>
      </c>
      <c r="E78" s="195">
        <v>7067110.94750696</v>
      </c>
      <c r="F78" s="195">
        <v>2642002.759017258</v>
      </c>
      <c r="G78" s="195">
        <v>43628324.30652422</v>
      </c>
      <c r="H78" s="195">
        <v>3540.31</v>
      </c>
      <c r="I78" s="195">
        <v>33268293.07</v>
      </c>
      <c r="J78" s="195">
        <v>10360031.236524217</v>
      </c>
      <c r="K78" s="195">
        <v>101358.83839799963</v>
      </c>
      <c r="L78" s="195">
        <v>-949888.5438725515</v>
      </c>
      <c r="M78" s="195">
        <v>0</v>
      </c>
      <c r="N78" s="195">
        <v>9511501.531049665</v>
      </c>
      <c r="O78" s="195">
        <v>-14268131.739488633</v>
      </c>
      <c r="P78" s="195">
        <v>-4756630.208438968</v>
      </c>
      <c r="Q78" s="195">
        <v>486</v>
      </c>
      <c r="R78" s="195">
        <v>110</v>
      </c>
      <c r="S78" s="195">
        <v>809</v>
      </c>
      <c r="T78" s="195">
        <v>447</v>
      </c>
      <c r="U78" s="195">
        <v>415</v>
      </c>
      <c r="V78" s="195">
        <v>5153</v>
      </c>
      <c r="W78" s="195">
        <v>1041</v>
      </c>
      <c r="X78" s="195">
        <v>689</v>
      </c>
      <c r="Y78" s="195">
        <v>247</v>
      </c>
      <c r="Z78" s="195">
        <v>3201</v>
      </c>
      <c r="AA78" s="195">
        <v>3</v>
      </c>
      <c r="AB78" s="195">
        <v>5593</v>
      </c>
      <c r="AC78" s="195">
        <v>600</v>
      </c>
      <c r="AD78" s="195">
        <v>1977</v>
      </c>
      <c r="AE78" s="195">
        <v>0.6620948804624831</v>
      </c>
      <c r="AF78" s="195">
        <v>7067110.94750696</v>
      </c>
      <c r="AG78" s="195">
        <v>29500083.122323133</v>
      </c>
      <c r="AH78" s="195">
        <v>9016555.762435623</v>
      </c>
      <c r="AI78" s="195">
        <v>2978992.9603373636</v>
      </c>
      <c r="AJ78" s="195">
        <v>327</v>
      </c>
      <c r="AK78" s="195">
        <v>4289</v>
      </c>
      <c r="AL78" s="195">
        <v>0.5742093686023061</v>
      </c>
      <c r="AM78" s="195">
        <v>600</v>
      </c>
      <c r="AN78" s="195">
        <v>0.06385016494625945</v>
      </c>
      <c r="AO78" s="195">
        <v>0.05988191097800548</v>
      </c>
      <c r="AP78" s="195">
        <v>1</v>
      </c>
      <c r="AQ78" s="195">
        <v>3201</v>
      </c>
      <c r="AR78" s="195">
        <v>3</v>
      </c>
      <c r="AS78" s="195">
        <v>0</v>
      </c>
      <c r="AT78" s="195">
        <v>0</v>
      </c>
      <c r="AU78" s="195">
        <v>5.89</v>
      </c>
      <c r="AV78" s="195">
        <v>1595.4159592529713</v>
      </c>
      <c r="AW78" s="195">
        <v>0.011348335212766758</v>
      </c>
      <c r="AX78" s="195">
        <v>270</v>
      </c>
      <c r="AY78" s="195">
        <v>2955</v>
      </c>
      <c r="AZ78" s="195">
        <v>0.09137055837563451</v>
      </c>
      <c r="BA78" s="195">
        <v>0.026347758172966043</v>
      </c>
      <c r="BB78" s="195">
        <v>0</v>
      </c>
      <c r="BC78" s="195">
        <v>2402</v>
      </c>
      <c r="BD78" s="195">
        <v>3991</v>
      </c>
      <c r="BE78" s="195">
        <v>0.6018541718867452</v>
      </c>
      <c r="BF78" s="195">
        <v>0.1709126538444391</v>
      </c>
      <c r="BG78" s="195">
        <v>0</v>
      </c>
      <c r="BH78" s="195">
        <v>3</v>
      </c>
      <c r="BI78" s="195">
        <v>0</v>
      </c>
      <c r="BJ78" s="195">
        <v>-2255.2799999999997</v>
      </c>
      <c r="BK78" s="195">
        <v>-38527.7</v>
      </c>
      <c r="BL78" s="195">
        <v>-2631.1600000000003</v>
      </c>
      <c r="BM78" s="195">
        <v>-13437.71</v>
      </c>
      <c r="BN78" s="195">
        <v>-375.88</v>
      </c>
      <c r="BO78" s="195">
        <v>-66218</v>
      </c>
      <c r="BP78" s="195">
        <v>-307629.2454370623</v>
      </c>
      <c r="BQ78" s="195">
        <v>-803161.59</v>
      </c>
      <c r="BR78" s="195">
        <v>-383247.70536642754</v>
      </c>
      <c r="BS78" s="195">
        <v>400853</v>
      </c>
      <c r="BT78" s="195">
        <v>140968</v>
      </c>
      <c r="BU78" s="195">
        <v>243665.55433787196</v>
      </c>
      <c r="BV78" s="195">
        <v>-364.4745045378025</v>
      </c>
      <c r="BW78" s="195">
        <v>-473805.29871285387</v>
      </c>
      <c r="BX78" s="195">
        <v>-38842.97927835519</v>
      </c>
      <c r="BY78" s="195">
        <v>238687.31922770882</v>
      </c>
      <c r="BZ78" s="195">
        <v>389412.30320669874</v>
      </c>
      <c r="CA78" s="195">
        <v>64346.25714534768</v>
      </c>
      <c r="CB78" s="195">
        <v>845.73</v>
      </c>
      <c r="CC78" s="195">
        <v>-21522.004490942032</v>
      </c>
      <c r="CD78" s="195">
        <v>495341.52156451065</v>
      </c>
      <c r="CE78" s="195">
        <v>-949888.5438725515</v>
      </c>
      <c r="CF78" s="195">
        <v>0</v>
      </c>
      <c r="CG78" s="229">
        <v>-14268131.739488633</v>
      </c>
      <c r="CH78" s="195">
        <v>2088294</v>
      </c>
      <c r="CI78" s="195">
        <v>2915438.1320000007</v>
      </c>
      <c r="CJ78" s="195">
        <v>-2668336.2084389683</v>
      </c>
      <c r="CL78" s="195">
        <v>9486</v>
      </c>
    </row>
    <row r="79" spans="1:90" ht="9.75">
      <c r="A79" s="195">
        <v>236</v>
      </c>
      <c r="B79" s="195" t="s">
        <v>147</v>
      </c>
      <c r="C79" s="195">
        <v>4298</v>
      </c>
      <c r="D79" s="195">
        <v>15536672.39</v>
      </c>
      <c r="E79" s="195">
        <v>4909979.922131441</v>
      </c>
      <c r="F79" s="195">
        <v>737592.4878603078</v>
      </c>
      <c r="G79" s="195">
        <v>21184244.79999175</v>
      </c>
      <c r="H79" s="195">
        <v>3540.31</v>
      </c>
      <c r="I79" s="195">
        <v>15216252.379999999</v>
      </c>
      <c r="J79" s="195">
        <v>5967992.41999175</v>
      </c>
      <c r="K79" s="195">
        <v>238755.38574306696</v>
      </c>
      <c r="L79" s="195">
        <v>1116619.4302171944</v>
      </c>
      <c r="M79" s="195">
        <v>0</v>
      </c>
      <c r="N79" s="195">
        <v>7323367.235952011</v>
      </c>
      <c r="O79" s="195">
        <v>2678186.5139348833</v>
      </c>
      <c r="P79" s="195">
        <v>10001553.749886895</v>
      </c>
      <c r="Q79" s="195">
        <v>350</v>
      </c>
      <c r="R79" s="195">
        <v>58</v>
      </c>
      <c r="S79" s="195">
        <v>309</v>
      </c>
      <c r="T79" s="195">
        <v>155</v>
      </c>
      <c r="U79" s="195">
        <v>144</v>
      </c>
      <c r="V79" s="195">
        <v>2353</v>
      </c>
      <c r="W79" s="195">
        <v>500</v>
      </c>
      <c r="X79" s="195">
        <v>308</v>
      </c>
      <c r="Y79" s="195">
        <v>121</v>
      </c>
      <c r="Z79" s="195">
        <v>91</v>
      </c>
      <c r="AA79" s="195">
        <v>1</v>
      </c>
      <c r="AB79" s="195">
        <v>4114</v>
      </c>
      <c r="AC79" s="195">
        <v>92</v>
      </c>
      <c r="AD79" s="195">
        <v>929</v>
      </c>
      <c r="AE79" s="195">
        <v>1.0057287201990792</v>
      </c>
      <c r="AF79" s="195">
        <v>4909979.922131441</v>
      </c>
      <c r="AG79" s="195">
        <v>9029247.337253619</v>
      </c>
      <c r="AH79" s="195">
        <v>2262054.2246892583</v>
      </c>
      <c r="AI79" s="195">
        <v>802722.6539831219</v>
      </c>
      <c r="AJ79" s="195">
        <v>163</v>
      </c>
      <c r="AK79" s="195">
        <v>2060</v>
      </c>
      <c r="AL79" s="195">
        <v>0.5959350806915656</v>
      </c>
      <c r="AM79" s="195">
        <v>92</v>
      </c>
      <c r="AN79" s="195">
        <v>0.021405304792926943</v>
      </c>
      <c r="AO79" s="195">
        <v>0.017437050824672975</v>
      </c>
      <c r="AP79" s="195">
        <v>0</v>
      </c>
      <c r="AQ79" s="195">
        <v>91</v>
      </c>
      <c r="AR79" s="195">
        <v>1</v>
      </c>
      <c r="AS79" s="195">
        <v>0</v>
      </c>
      <c r="AT79" s="195">
        <v>0</v>
      </c>
      <c r="AU79" s="195">
        <v>353.97</v>
      </c>
      <c r="AV79" s="195">
        <v>12.142271943950051</v>
      </c>
      <c r="AW79" s="195">
        <v>1.4910978104407895</v>
      </c>
      <c r="AX79" s="195">
        <v>178</v>
      </c>
      <c r="AY79" s="195">
        <v>1294</v>
      </c>
      <c r="AZ79" s="195">
        <v>0.1375579598145286</v>
      </c>
      <c r="BA79" s="195">
        <v>0.07253515961186012</v>
      </c>
      <c r="BB79" s="195">
        <v>0.1026</v>
      </c>
      <c r="BC79" s="195">
        <v>1845</v>
      </c>
      <c r="BD79" s="195">
        <v>1896</v>
      </c>
      <c r="BE79" s="195">
        <v>0.9731012658227848</v>
      </c>
      <c r="BF79" s="195">
        <v>0.5421597477804787</v>
      </c>
      <c r="BG79" s="195">
        <v>0</v>
      </c>
      <c r="BH79" s="195">
        <v>1</v>
      </c>
      <c r="BI79" s="195">
        <v>0</v>
      </c>
      <c r="BJ79" s="195">
        <v>-1031.52</v>
      </c>
      <c r="BK79" s="195">
        <v>-17621.8</v>
      </c>
      <c r="BL79" s="195">
        <v>-1203.44</v>
      </c>
      <c r="BM79" s="195">
        <v>-6146.139999999999</v>
      </c>
      <c r="BN79" s="195">
        <v>-171.92000000000002</v>
      </c>
      <c r="BO79" s="195">
        <v>-23093</v>
      </c>
      <c r="BP79" s="195">
        <v>-127553.58957146487</v>
      </c>
      <c r="BQ79" s="195">
        <v>-367350.06</v>
      </c>
      <c r="BR79" s="195">
        <v>2179.703014673665</v>
      </c>
      <c r="BS79" s="195">
        <v>368269</v>
      </c>
      <c r="BT79" s="195">
        <v>129763</v>
      </c>
      <c r="BU79" s="195">
        <v>323098.58050311817</v>
      </c>
      <c r="BV79" s="195">
        <v>16486.611000444092</v>
      </c>
      <c r="BW79" s="195">
        <v>25574.44655187277</v>
      </c>
      <c r="BX79" s="195">
        <v>131319.51174693956</v>
      </c>
      <c r="BY79" s="195">
        <v>267335.263164313</v>
      </c>
      <c r="BZ79" s="195">
        <v>419922.6771925664</v>
      </c>
      <c r="CA79" s="195">
        <v>138641.97726696703</v>
      </c>
      <c r="CB79" s="195">
        <v>386.82</v>
      </c>
      <c r="CC79" s="195">
        <v>-35653.57065223552</v>
      </c>
      <c r="CD79" s="195">
        <v>1764488.8997886593</v>
      </c>
      <c r="CE79" s="195">
        <v>1116619.4302171944</v>
      </c>
      <c r="CF79" s="195">
        <v>0</v>
      </c>
      <c r="CG79" s="229">
        <v>2678186.5139348833</v>
      </c>
      <c r="CH79" s="195">
        <v>765638</v>
      </c>
      <c r="CI79" s="195">
        <v>65442.226000000024</v>
      </c>
      <c r="CJ79" s="195">
        <v>10767191.749886895</v>
      </c>
      <c r="CL79" s="195">
        <v>4305</v>
      </c>
    </row>
    <row r="80" spans="1:90" ht="9.75">
      <c r="A80" s="195">
        <v>239</v>
      </c>
      <c r="B80" s="195" t="s">
        <v>148</v>
      </c>
      <c r="C80" s="195">
        <v>2346</v>
      </c>
      <c r="D80" s="195">
        <v>8067657.750000001</v>
      </c>
      <c r="E80" s="195">
        <v>4260906.835177121</v>
      </c>
      <c r="F80" s="195">
        <v>689242.0237848827</v>
      </c>
      <c r="G80" s="195">
        <v>13017806.608962005</v>
      </c>
      <c r="H80" s="195">
        <v>3540.31</v>
      </c>
      <c r="I80" s="195">
        <v>8305567.26</v>
      </c>
      <c r="J80" s="195">
        <v>4712239.348962005</v>
      </c>
      <c r="K80" s="195">
        <v>883562.0093987106</v>
      </c>
      <c r="L80" s="195">
        <v>597314.6244192489</v>
      </c>
      <c r="M80" s="195">
        <v>0</v>
      </c>
      <c r="N80" s="195">
        <v>6193115.982779965</v>
      </c>
      <c r="O80" s="195">
        <v>1635310.327532307</v>
      </c>
      <c r="P80" s="195">
        <v>7828426.310312272</v>
      </c>
      <c r="Q80" s="195">
        <v>103</v>
      </c>
      <c r="R80" s="195">
        <v>22</v>
      </c>
      <c r="S80" s="195">
        <v>105</v>
      </c>
      <c r="T80" s="195">
        <v>58</v>
      </c>
      <c r="U80" s="195">
        <v>74</v>
      </c>
      <c r="V80" s="195">
        <v>1248</v>
      </c>
      <c r="W80" s="195">
        <v>394</v>
      </c>
      <c r="X80" s="195">
        <v>246</v>
      </c>
      <c r="Y80" s="195">
        <v>96</v>
      </c>
      <c r="Z80" s="195">
        <v>1</v>
      </c>
      <c r="AA80" s="195">
        <v>0</v>
      </c>
      <c r="AB80" s="195">
        <v>2308</v>
      </c>
      <c r="AC80" s="195">
        <v>37</v>
      </c>
      <c r="AD80" s="195">
        <v>736</v>
      </c>
      <c r="AE80" s="195">
        <v>1.5989746476321405</v>
      </c>
      <c r="AF80" s="195">
        <v>4260906.835177121</v>
      </c>
      <c r="AG80" s="195">
        <v>6209298.750303146</v>
      </c>
      <c r="AH80" s="195">
        <v>1429015.3876271262</v>
      </c>
      <c r="AI80" s="195">
        <v>561905.8577881854</v>
      </c>
      <c r="AJ80" s="195">
        <v>112</v>
      </c>
      <c r="AK80" s="195">
        <v>1023</v>
      </c>
      <c r="AL80" s="195">
        <v>0.8245575194883209</v>
      </c>
      <c r="AM80" s="195">
        <v>37</v>
      </c>
      <c r="AN80" s="195">
        <v>0.01577152600170503</v>
      </c>
      <c r="AO80" s="195">
        <v>0.011803272033451061</v>
      </c>
      <c r="AP80" s="195">
        <v>0</v>
      </c>
      <c r="AQ80" s="195">
        <v>1</v>
      </c>
      <c r="AR80" s="195">
        <v>0</v>
      </c>
      <c r="AS80" s="195">
        <v>0</v>
      </c>
      <c r="AT80" s="195">
        <v>0</v>
      </c>
      <c r="AU80" s="195">
        <v>481.78</v>
      </c>
      <c r="AV80" s="195">
        <v>4.869442484121383</v>
      </c>
      <c r="AW80" s="195">
        <v>3.718149494205881</v>
      </c>
      <c r="AX80" s="195">
        <v>124</v>
      </c>
      <c r="AY80" s="195">
        <v>599</v>
      </c>
      <c r="AZ80" s="195">
        <v>0.20701168614357263</v>
      </c>
      <c r="BA80" s="195">
        <v>0.14198888594090414</v>
      </c>
      <c r="BB80" s="195">
        <v>1.050299</v>
      </c>
      <c r="BC80" s="195">
        <v>1087</v>
      </c>
      <c r="BD80" s="195">
        <v>900</v>
      </c>
      <c r="BE80" s="195">
        <v>1.2077777777777778</v>
      </c>
      <c r="BF80" s="195">
        <v>0.7768362597354718</v>
      </c>
      <c r="BG80" s="195">
        <v>0</v>
      </c>
      <c r="BH80" s="195">
        <v>0</v>
      </c>
      <c r="BI80" s="195">
        <v>0</v>
      </c>
      <c r="BJ80" s="195">
        <v>-563.04</v>
      </c>
      <c r="BK80" s="195">
        <v>-9618.599999999999</v>
      </c>
      <c r="BL80" s="195">
        <v>-656.8800000000001</v>
      </c>
      <c r="BM80" s="195">
        <v>-3354.7799999999997</v>
      </c>
      <c r="BN80" s="195">
        <v>-93.84</v>
      </c>
      <c r="BO80" s="195">
        <v>21867</v>
      </c>
      <c r="BP80" s="195">
        <v>-98041.19041571415</v>
      </c>
      <c r="BQ80" s="195">
        <v>-200512.62</v>
      </c>
      <c r="BR80" s="195">
        <v>-73467.48825489823</v>
      </c>
      <c r="BS80" s="195">
        <v>226638</v>
      </c>
      <c r="BT80" s="195">
        <v>72396</v>
      </c>
      <c r="BU80" s="195">
        <v>170170.74847539567</v>
      </c>
      <c r="BV80" s="195">
        <v>10042.96654919932</v>
      </c>
      <c r="BW80" s="195">
        <v>29392.02557690102</v>
      </c>
      <c r="BX80" s="195">
        <v>99747.90671494628</v>
      </c>
      <c r="BY80" s="195">
        <v>133009.6078486712</v>
      </c>
      <c r="BZ80" s="195">
        <v>219225.60271605232</v>
      </c>
      <c r="CA80" s="195">
        <v>81677.65472550377</v>
      </c>
      <c r="CB80" s="195">
        <v>211.14</v>
      </c>
      <c r="CC80" s="195">
        <v>-11689.349516808481</v>
      </c>
      <c r="CD80" s="195">
        <v>979362.574834963</v>
      </c>
      <c r="CE80" s="195">
        <v>597314.6244192489</v>
      </c>
      <c r="CF80" s="195">
        <v>0</v>
      </c>
      <c r="CG80" s="229">
        <v>1635310.327532307</v>
      </c>
      <c r="CH80" s="195">
        <v>-333669</v>
      </c>
      <c r="CI80" s="195">
        <v>22096.5285</v>
      </c>
      <c r="CJ80" s="195">
        <v>7494757.310312272</v>
      </c>
      <c r="CL80" s="195">
        <v>2379</v>
      </c>
    </row>
    <row r="81" spans="1:90" ht="9.75">
      <c r="A81" s="195">
        <v>240</v>
      </c>
      <c r="B81" s="195" t="s">
        <v>149</v>
      </c>
      <c r="C81" s="195">
        <v>21602</v>
      </c>
      <c r="D81" s="195">
        <v>73443994.66000001</v>
      </c>
      <c r="E81" s="195">
        <v>33126114.767520677</v>
      </c>
      <c r="F81" s="195">
        <v>5200397.046025505</v>
      </c>
      <c r="G81" s="195">
        <v>111770506.47354619</v>
      </c>
      <c r="H81" s="195">
        <v>3540.31</v>
      </c>
      <c r="I81" s="195">
        <v>76477776.62</v>
      </c>
      <c r="J81" s="195">
        <v>35292729.85354619</v>
      </c>
      <c r="K81" s="195">
        <v>1104518.0607954378</v>
      </c>
      <c r="L81" s="195">
        <v>2561521.3634599084</v>
      </c>
      <c r="M81" s="195">
        <v>0</v>
      </c>
      <c r="N81" s="195">
        <v>38958769.277801536</v>
      </c>
      <c r="O81" s="195">
        <v>4502598.5737901125</v>
      </c>
      <c r="P81" s="195">
        <v>43461367.85159165</v>
      </c>
      <c r="Q81" s="195">
        <v>1210</v>
      </c>
      <c r="R81" s="195">
        <v>238</v>
      </c>
      <c r="S81" s="195">
        <v>1307</v>
      </c>
      <c r="T81" s="195">
        <v>604</v>
      </c>
      <c r="U81" s="195">
        <v>698</v>
      </c>
      <c r="V81" s="195">
        <v>12239</v>
      </c>
      <c r="W81" s="195">
        <v>2845</v>
      </c>
      <c r="X81" s="195">
        <v>1731</v>
      </c>
      <c r="Y81" s="195">
        <v>730</v>
      </c>
      <c r="Z81" s="195">
        <v>34</v>
      </c>
      <c r="AA81" s="195">
        <v>5</v>
      </c>
      <c r="AB81" s="195">
        <v>20551</v>
      </c>
      <c r="AC81" s="195">
        <v>1012</v>
      </c>
      <c r="AD81" s="195">
        <v>5306</v>
      </c>
      <c r="AE81" s="195">
        <v>1.3500320773748506</v>
      </c>
      <c r="AF81" s="195">
        <v>33126114.767520677</v>
      </c>
      <c r="AG81" s="195">
        <v>5115726.58032888</v>
      </c>
      <c r="AH81" s="195">
        <v>1292710.2334043214</v>
      </c>
      <c r="AI81" s="195">
        <v>463795.3111902482</v>
      </c>
      <c r="AJ81" s="195">
        <v>1716</v>
      </c>
      <c r="AK81" s="195">
        <v>9332</v>
      </c>
      <c r="AL81" s="195">
        <v>1.384908628166068</v>
      </c>
      <c r="AM81" s="195">
        <v>1012</v>
      </c>
      <c r="AN81" s="195">
        <v>0.04684751411906305</v>
      </c>
      <c r="AO81" s="195">
        <v>0.04287926015080908</v>
      </c>
      <c r="AP81" s="195">
        <v>0</v>
      </c>
      <c r="AQ81" s="195">
        <v>34</v>
      </c>
      <c r="AR81" s="195">
        <v>5</v>
      </c>
      <c r="AS81" s="195">
        <v>0</v>
      </c>
      <c r="AT81" s="195">
        <v>0</v>
      </c>
      <c r="AU81" s="195">
        <v>95.38</v>
      </c>
      <c r="AV81" s="195">
        <v>226.4835395261061</v>
      </c>
      <c r="AW81" s="195">
        <v>0.07994097561034276</v>
      </c>
      <c r="AX81" s="195">
        <v>920</v>
      </c>
      <c r="AY81" s="195">
        <v>6108</v>
      </c>
      <c r="AZ81" s="195">
        <v>0.15062213490504256</v>
      </c>
      <c r="BA81" s="195">
        <v>0.08559933470237409</v>
      </c>
      <c r="BB81" s="195">
        <v>0.0099</v>
      </c>
      <c r="BC81" s="195">
        <v>8729</v>
      </c>
      <c r="BD81" s="195">
        <v>7223</v>
      </c>
      <c r="BE81" s="195">
        <v>1.2085006230098296</v>
      </c>
      <c r="BF81" s="195">
        <v>0.7775591049675236</v>
      </c>
      <c r="BG81" s="195">
        <v>0</v>
      </c>
      <c r="BH81" s="195">
        <v>5</v>
      </c>
      <c r="BI81" s="195">
        <v>0</v>
      </c>
      <c r="BJ81" s="195">
        <v>-5184.48</v>
      </c>
      <c r="BK81" s="195">
        <v>-88568.2</v>
      </c>
      <c r="BL81" s="195">
        <v>-6048.56</v>
      </c>
      <c r="BM81" s="195">
        <v>-30890.859999999997</v>
      </c>
      <c r="BN81" s="195">
        <v>-864.08</v>
      </c>
      <c r="BO81" s="195">
        <v>232014</v>
      </c>
      <c r="BP81" s="195">
        <v>-1839772.9507601873</v>
      </c>
      <c r="BQ81" s="195">
        <v>-1846322.94</v>
      </c>
      <c r="BR81" s="195">
        <v>-426000.6102620363</v>
      </c>
      <c r="BS81" s="195">
        <v>1605369</v>
      </c>
      <c r="BT81" s="195">
        <v>494139</v>
      </c>
      <c r="BU81" s="195">
        <v>1234156.566630016</v>
      </c>
      <c r="BV81" s="195">
        <v>53563.42652370573</v>
      </c>
      <c r="BW81" s="195">
        <v>235749.92125511618</v>
      </c>
      <c r="BX81" s="195">
        <v>637343.6350922355</v>
      </c>
      <c r="BY81" s="195">
        <v>895758.6547334746</v>
      </c>
      <c r="BZ81" s="195">
        <v>1519158.180637742</v>
      </c>
      <c r="CA81" s="195">
        <v>430142.8180665384</v>
      </c>
      <c r="CB81" s="195">
        <v>1944.1799999999998</v>
      </c>
      <c r="CC81" s="195">
        <v>101797.54154330323</v>
      </c>
      <c r="CD81" s="195">
        <v>7016432.434220096</v>
      </c>
      <c r="CE81" s="195">
        <v>2561521.3634599084</v>
      </c>
      <c r="CF81" s="195">
        <v>0</v>
      </c>
      <c r="CG81" s="229">
        <v>4502598.5737901125</v>
      </c>
      <c r="CH81" s="195">
        <v>1309770</v>
      </c>
      <c r="CI81" s="195">
        <v>-238277.49139999997</v>
      </c>
      <c r="CJ81" s="195">
        <v>44771137.85159165</v>
      </c>
      <c r="CL81" s="195">
        <v>21758</v>
      </c>
    </row>
    <row r="82" spans="1:90" ht="9.75">
      <c r="A82" s="195">
        <v>320</v>
      </c>
      <c r="B82" s="195" t="s">
        <v>150</v>
      </c>
      <c r="C82" s="195">
        <v>7661</v>
      </c>
      <c r="D82" s="195">
        <v>26780512.37</v>
      </c>
      <c r="E82" s="195">
        <v>12187231.62288574</v>
      </c>
      <c r="F82" s="195">
        <v>3623050.626149136</v>
      </c>
      <c r="G82" s="195">
        <v>42590794.61903487</v>
      </c>
      <c r="H82" s="195">
        <v>3540.31</v>
      </c>
      <c r="I82" s="195">
        <v>27122314.91</v>
      </c>
      <c r="J82" s="195">
        <v>15468479.709034871</v>
      </c>
      <c r="K82" s="195">
        <v>3461229.726076215</v>
      </c>
      <c r="L82" s="195">
        <v>2087805.3548888976</v>
      </c>
      <c r="M82" s="195">
        <v>0</v>
      </c>
      <c r="N82" s="195">
        <v>21017514.789999984</v>
      </c>
      <c r="O82" s="195">
        <v>4458678.721866663</v>
      </c>
      <c r="P82" s="195">
        <v>25476193.511866648</v>
      </c>
      <c r="Q82" s="195">
        <v>268</v>
      </c>
      <c r="R82" s="195">
        <v>57</v>
      </c>
      <c r="S82" s="195">
        <v>310</v>
      </c>
      <c r="T82" s="195">
        <v>196</v>
      </c>
      <c r="U82" s="195">
        <v>175</v>
      </c>
      <c r="V82" s="195">
        <v>3923</v>
      </c>
      <c r="W82" s="195">
        <v>1407</v>
      </c>
      <c r="X82" s="195">
        <v>989</v>
      </c>
      <c r="Y82" s="195">
        <v>336</v>
      </c>
      <c r="Z82" s="195">
        <v>2</v>
      </c>
      <c r="AA82" s="195">
        <v>1</v>
      </c>
      <c r="AB82" s="195">
        <v>7558</v>
      </c>
      <c r="AC82" s="195">
        <v>100</v>
      </c>
      <c r="AD82" s="195">
        <v>2732</v>
      </c>
      <c r="AE82" s="195">
        <v>1.4005130180245136</v>
      </c>
      <c r="AF82" s="195">
        <v>12187231.62288574</v>
      </c>
      <c r="AG82" s="195">
        <v>5784411.65081769</v>
      </c>
      <c r="AH82" s="195">
        <v>1563207.283644927</v>
      </c>
      <c r="AI82" s="195">
        <v>660016.4043861224</v>
      </c>
      <c r="AJ82" s="195">
        <v>572</v>
      </c>
      <c r="AK82" s="195">
        <v>3218</v>
      </c>
      <c r="AL82" s="195">
        <v>1.3387163163502949</v>
      </c>
      <c r="AM82" s="195">
        <v>100</v>
      </c>
      <c r="AN82" s="195">
        <v>0.013053126223730583</v>
      </c>
      <c r="AO82" s="195">
        <v>0.009084872255476615</v>
      </c>
      <c r="AP82" s="195">
        <v>0</v>
      </c>
      <c r="AQ82" s="195">
        <v>2</v>
      </c>
      <c r="AR82" s="195">
        <v>1</v>
      </c>
      <c r="AS82" s="195">
        <v>0</v>
      </c>
      <c r="AT82" s="195">
        <v>0</v>
      </c>
      <c r="AU82" s="195">
        <v>3504.99</v>
      </c>
      <c r="AV82" s="195">
        <v>2.1857409008299595</v>
      </c>
      <c r="AW82" s="195">
        <v>8.283376635595593</v>
      </c>
      <c r="AX82" s="195">
        <v>218</v>
      </c>
      <c r="AY82" s="195">
        <v>1923</v>
      </c>
      <c r="AZ82" s="195">
        <v>0.11336453458138325</v>
      </c>
      <c r="BA82" s="195">
        <v>0.04834173437871478</v>
      </c>
      <c r="BB82" s="195">
        <v>1.350499</v>
      </c>
      <c r="BC82" s="195">
        <v>2257</v>
      </c>
      <c r="BD82" s="195">
        <v>2466</v>
      </c>
      <c r="BE82" s="195">
        <v>0.9152473641524737</v>
      </c>
      <c r="BF82" s="195">
        <v>0.4843058461101676</v>
      </c>
      <c r="BG82" s="195">
        <v>0</v>
      </c>
      <c r="BH82" s="195">
        <v>1</v>
      </c>
      <c r="BI82" s="195">
        <v>0</v>
      </c>
      <c r="BJ82" s="195">
        <v>-1838.6399999999999</v>
      </c>
      <c r="BK82" s="195">
        <v>-31410.1</v>
      </c>
      <c r="BL82" s="195">
        <v>-2145.0800000000004</v>
      </c>
      <c r="BM82" s="195">
        <v>-10955.23</v>
      </c>
      <c r="BN82" s="195">
        <v>-306.44</v>
      </c>
      <c r="BO82" s="195">
        <v>102751</v>
      </c>
      <c r="BP82" s="195">
        <v>-315632.60791997775</v>
      </c>
      <c r="BQ82" s="195">
        <v>-654785.67</v>
      </c>
      <c r="BR82" s="195">
        <v>174912.97830431908</v>
      </c>
      <c r="BS82" s="195">
        <v>624747</v>
      </c>
      <c r="BT82" s="195">
        <v>198738</v>
      </c>
      <c r="BU82" s="195">
        <v>550889.8707620313</v>
      </c>
      <c r="BV82" s="195">
        <v>29937.85605730105</v>
      </c>
      <c r="BW82" s="195">
        <v>97572.5961422533</v>
      </c>
      <c r="BX82" s="195">
        <v>274827.84891011514</v>
      </c>
      <c r="BY82" s="195">
        <v>359242.98619109433</v>
      </c>
      <c r="BZ82" s="195">
        <v>642421.5521444445</v>
      </c>
      <c r="CA82" s="195">
        <v>214795.90080639932</v>
      </c>
      <c r="CB82" s="195">
        <v>689.49</v>
      </c>
      <c r="CC82" s="195">
        <v>58891.88349091692</v>
      </c>
      <c r="CD82" s="195">
        <v>3330878.6228088755</v>
      </c>
      <c r="CE82" s="195">
        <v>2087805.3548888976</v>
      </c>
      <c r="CF82" s="195">
        <v>0</v>
      </c>
      <c r="CG82" s="229">
        <v>4458678.721866663</v>
      </c>
      <c r="CH82" s="195">
        <v>-24182</v>
      </c>
      <c r="CI82" s="195">
        <v>-63121.764599999995</v>
      </c>
      <c r="CJ82" s="195">
        <v>25452011.511866648</v>
      </c>
      <c r="CL82" s="195">
        <v>7766</v>
      </c>
    </row>
    <row r="83" spans="1:90" ht="9.75">
      <c r="A83" s="195">
        <v>241</v>
      </c>
      <c r="B83" s="195" t="s">
        <v>151</v>
      </c>
      <c r="C83" s="195">
        <v>8316</v>
      </c>
      <c r="D83" s="195">
        <v>28444826.420000006</v>
      </c>
      <c r="E83" s="195">
        <v>9055800.824812027</v>
      </c>
      <c r="F83" s="195">
        <v>1372551.1985415218</v>
      </c>
      <c r="G83" s="195">
        <v>38873178.443353556</v>
      </c>
      <c r="H83" s="195">
        <v>3540.31</v>
      </c>
      <c r="I83" s="195">
        <v>29441217.96</v>
      </c>
      <c r="J83" s="195">
        <v>9431960.483353555</v>
      </c>
      <c r="K83" s="195">
        <v>177271.17746688385</v>
      </c>
      <c r="L83" s="195">
        <v>1431611.4354294783</v>
      </c>
      <c r="M83" s="195">
        <v>0</v>
      </c>
      <c r="N83" s="195">
        <v>11040843.096249918</v>
      </c>
      <c r="O83" s="195">
        <v>1915399.0773421125</v>
      </c>
      <c r="P83" s="195">
        <v>12956242.173592031</v>
      </c>
      <c r="Q83" s="195">
        <v>561</v>
      </c>
      <c r="R83" s="195">
        <v>94</v>
      </c>
      <c r="S83" s="195">
        <v>616</v>
      </c>
      <c r="T83" s="195">
        <v>285</v>
      </c>
      <c r="U83" s="195">
        <v>343</v>
      </c>
      <c r="V83" s="195">
        <v>4578</v>
      </c>
      <c r="W83" s="195">
        <v>1108</v>
      </c>
      <c r="X83" s="195">
        <v>532</v>
      </c>
      <c r="Y83" s="195">
        <v>199</v>
      </c>
      <c r="Z83" s="195">
        <v>10</v>
      </c>
      <c r="AA83" s="195">
        <v>4</v>
      </c>
      <c r="AB83" s="195">
        <v>8226</v>
      </c>
      <c r="AC83" s="195">
        <v>76</v>
      </c>
      <c r="AD83" s="195">
        <v>1839</v>
      </c>
      <c r="AE83" s="195">
        <v>0.9586938216579078</v>
      </c>
      <c r="AF83" s="195">
        <v>9055800.824812027</v>
      </c>
      <c r="AG83" s="195">
        <v>40873610.33958383</v>
      </c>
      <c r="AH83" s="195">
        <v>8650207.357896589</v>
      </c>
      <c r="AI83" s="195">
        <v>5556624.593683166</v>
      </c>
      <c r="AJ83" s="195">
        <v>512</v>
      </c>
      <c r="AK83" s="195">
        <v>3846</v>
      </c>
      <c r="AL83" s="195">
        <v>1.0026266606481566</v>
      </c>
      <c r="AM83" s="195">
        <v>76</v>
      </c>
      <c r="AN83" s="195">
        <v>0.00913900913900914</v>
      </c>
      <c r="AO83" s="195">
        <v>0.005170755170755171</v>
      </c>
      <c r="AP83" s="195">
        <v>0</v>
      </c>
      <c r="AQ83" s="195">
        <v>10</v>
      </c>
      <c r="AR83" s="195">
        <v>4</v>
      </c>
      <c r="AS83" s="195">
        <v>0</v>
      </c>
      <c r="AT83" s="195">
        <v>0</v>
      </c>
      <c r="AU83" s="195">
        <v>626.3</v>
      </c>
      <c r="AV83" s="195">
        <v>13.277981797860452</v>
      </c>
      <c r="AW83" s="195">
        <v>1.3635592656346276</v>
      </c>
      <c r="AX83" s="195">
        <v>259</v>
      </c>
      <c r="AY83" s="195">
        <v>2553</v>
      </c>
      <c r="AZ83" s="195">
        <v>0.10144927536231885</v>
      </c>
      <c r="BA83" s="195">
        <v>0.036426475159650376</v>
      </c>
      <c r="BB83" s="195">
        <v>0.008983</v>
      </c>
      <c r="BC83" s="195">
        <v>2394</v>
      </c>
      <c r="BD83" s="195">
        <v>3239</v>
      </c>
      <c r="BE83" s="195">
        <v>0.7391170114232788</v>
      </c>
      <c r="BF83" s="195">
        <v>0.3081754933809727</v>
      </c>
      <c r="BG83" s="195">
        <v>0</v>
      </c>
      <c r="BH83" s="195">
        <v>4</v>
      </c>
      <c r="BI83" s="195">
        <v>0</v>
      </c>
      <c r="BJ83" s="195">
        <v>-1995.84</v>
      </c>
      <c r="BK83" s="195">
        <v>-34095.6</v>
      </c>
      <c r="BL83" s="195">
        <v>-2328.48</v>
      </c>
      <c r="BM83" s="195">
        <v>-11891.88</v>
      </c>
      <c r="BN83" s="195">
        <v>-332.64</v>
      </c>
      <c r="BO83" s="195">
        <v>199799</v>
      </c>
      <c r="BP83" s="195">
        <v>-299625.8829541469</v>
      </c>
      <c r="BQ83" s="195">
        <v>-710768.52</v>
      </c>
      <c r="BR83" s="195">
        <v>-51259.728174733</v>
      </c>
      <c r="BS83" s="195">
        <v>609472</v>
      </c>
      <c r="BT83" s="195">
        <v>182802</v>
      </c>
      <c r="BU83" s="195">
        <v>410209.6764106429</v>
      </c>
      <c r="BV83" s="195">
        <v>10390.550986583485</v>
      </c>
      <c r="BW83" s="195">
        <v>43911.34983994796</v>
      </c>
      <c r="BX83" s="195">
        <v>190401.23360594365</v>
      </c>
      <c r="BY83" s="195">
        <v>342087.0324152052</v>
      </c>
      <c r="BZ83" s="195">
        <v>603978.3826312033</v>
      </c>
      <c r="CA83" s="195">
        <v>166561.73739529602</v>
      </c>
      <c r="CB83" s="195">
        <v>748.4399999999999</v>
      </c>
      <c r="CC83" s="195">
        <v>28371.6432735361</v>
      </c>
      <c r="CD83" s="195">
        <v>2737972.278383625</v>
      </c>
      <c r="CE83" s="195">
        <v>1431611.4354294783</v>
      </c>
      <c r="CF83" s="195">
        <v>0</v>
      </c>
      <c r="CG83" s="229">
        <v>1915399.0773421125</v>
      </c>
      <c r="CH83" s="195">
        <v>-718511</v>
      </c>
      <c r="CI83" s="195">
        <v>-77592.0576</v>
      </c>
      <c r="CJ83" s="195">
        <v>12237731.173592031</v>
      </c>
      <c r="CL83" s="195">
        <v>8388</v>
      </c>
    </row>
    <row r="84" spans="1:90" ht="9.75">
      <c r="A84" s="195">
        <v>322</v>
      </c>
      <c r="B84" s="195" t="s">
        <v>152</v>
      </c>
      <c r="C84" s="195">
        <v>6872</v>
      </c>
      <c r="D84" s="195">
        <v>25148616.8</v>
      </c>
      <c r="E84" s="195">
        <v>7527128.559549001</v>
      </c>
      <c r="F84" s="195">
        <v>5522231.060296513</v>
      </c>
      <c r="G84" s="195">
        <v>38197976.419845514</v>
      </c>
      <c r="H84" s="195">
        <v>3540.31</v>
      </c>
      <c r="I84" s="195">
        <v>24329010.32</v>
      </c>
      <c r="J84" s="195">
        <v>13868966.099845514</v>
      </c>
      <c r="K84" s="195">
        <v>668602.7876777269</v>
      </c>
      <c r="L84" s="195">
        <v>1925542.6570564713</v>
      </c>
      <c r="M84" s="195">
        <v>212607.6469465791</v>
      </c>
      <c r="N84" s="195">
        <v>16675719.191526292</v>
      </c>
      <c r="O84" s="195">
        <v>4884441.81261772</v>
      </c>
      <c r="P84" s="195">
        <v>21560161.004144013</v>
      </c>
      <c r="Q84" s="195">
        <v>342</v>
      </c>
      <c r="R84" s="195">
        <v>53</v>
      </c>
      <c r="S84" s="195">
        <v>389</v>
      </c>
      <c r="T84" s="195">
        <v>208</v>
      </c>
      <c r="U84" s="195">
        <v>200</v>
      </c>
      <c r="V84" s="195">
        <v>3532</v>
      </c>
      <c r="W84" s="195">
        <v>1173</v>
      </c>
      <c r="X84" s="195">
        <v>655</v>
      </c>
      <c r="Y84" s="195">
        <v>320</v>
      </c>
      <c r="Z84" s="195">
        <v>4720</v>
      </c>
      <c r="AA84" s="195">
        <v>0</v>
      </c>
      <c r="AB84" s="195">
        <v>1931</v>
      </c>
      <c r="AC84" s="195">
        <v>221</v>
      </c>
      <c r="AD84" s="195">
        <v>2148</v>
      </c>
      <c r="AE84" s="195">
        <v>0.9643034710618126</v>
      </c>
      <c r="AF84" s="195">
        <v>7527128.559549001</v>
      </c>
      <c r="AG84" s="195">
        <v>16294618.501861047</v>
      </c>
      <c r="AH84" s="195">
        <v>2939240.269132292</v>
      </c>
      <c r="AI84" s="195">
        <v>1623283.589165869</v>
      </c>
      <c r="AJ84" s="195">
        <v>277</v>
      </c>
      <c r="AK84" s="195">
        <v>2956</v>
      </c>
      <c r="AL84" s="195">
        <v>0.7057549078596951</v>
      </c>
      <c r="AM84" s="195">
        <v>221</v>
      </c>
      <c r="AN84" s="195">
        <v>0.03215948777648429</v>
      </c>
      <c r="AO84" s="195">
        <v>0.02819123380823032</v>
      </c>
      <c r="AP84" s="195">
        <v>3</v>
      </c>
      <c r="AQ84" s="195">
        <v>4720</v>
      </c>
      <c r="AR84" s="195">
        <v>0</v>
      </c>
      <c r="AS84" s="195">
        <v>1</v>
      </c>
      <c r="AT84" s="195">
        <v>0</v>
      </c>
      <c r="AU84" s="195">
        <v>686.96</v>
      </c>
      <c r="AV84" s="195">
        <v>10.003493653196692</v>
      </c>
      <c r="AW84" s="195">
        <v>1.8098991949292496</v>
      </c>
      <c r="AX84" s="195">
        <v>371</v>
      </c>
      <c r="AY84" s="195">
        <v>1914</v>
      </c>
      <c r="AZ84" s="195">
        <v>0.19383490073145246</v>
      </c>
      <c r="BA84" s="195">
        <v>0.128812100528784</v>
      </c>
      <c r="BB84" s="195">
        <v>0.330533</v>
      </c>
      <c r="BC84" s="195">
        <v>2344</v>
      </c>
      <c r="BD84" s="195">
        <v>2653</v>
      </c>
      <c r="BE84" s="195">
        <v>0.8835280814172635</v>
      </c>
      <c r="BF84" s="195">
        <v>0.4525865633749574</v>
      </c>
      <c r="BG84" s="195">
        <v>0</v>
      </c>
      <c r="BH84" s="195">
        <v>0</v>
      </c>
      <c r="BI84" s="195">
        <v>0</v>
      </c>
      <c r="BJ84" s="195">
        <v>-1649.28</v>
      </c>
      <c r="BK84" s="195">
        <v>-28175.199999999997</v>
      </c>
      <c r="BL84" s="195">
        <v>-1924.16</v>
      </c>
      <c r="BM84" s="195">
        <v>-9826.96</v>
      </c>
      <c r="BN84" s="195">
        <v>-274.88</v>
      </c>
      <c r="BO84" s="195">
        <v>-166132</v>
      </c>
      <c r="BP84" s="195">
        <v>-194581.7503658817</v>
      </c>
      <c r="BQ84" s="195">
        <v>-587349.84</v>
      </c>
      <c r="BR84" s="195">
        <v>440505.1809879467</v>
      </c>
      <c r="BS84" s="195">
        <v>618448</v>
      </c>
      <c r="BT84" s="195">
        <v>210429</v>
      </c>
      <c r="BU84" s="195">
        <v>506104.77098058606</v>
      </c>
      <c r="BV84" s="195">
        <v>23784.463471682662</v>
      </c>
      <c r="BW84" s="195">
        <v>39674.23806238849</v>
      </c>
      <c r="BX84" s="195">
        <v>215753.55380291198</v>
      </c>
      <c r="BY84" s="195">
        <v>259976.03473993632</v>
      </c>
      <c r="BZ84" s="195">
        <v>608328.9476458203</v>
      </c>
      <c r="CA84" s="195">
        <v>186579.98313483538</v>
      </c>
      <c r="CB84" s="195">
        <v>618.48</v>
      </c>
      <c r="CC84" s="195">
        <v>7565.754596244784</v>
      </c>
      <c r="CD84" s="195">
        <v>2952048.727422353</v>
      </c>
      <c r="CE84" s="195">
        <v>1925542.6570564713</v>
      </c>
      <c r="CF84" s="195">
        <v>212607.6469465791</v>
      </c>
      <c r="CG84" s="229">
        <v>4884441.81261772</v>
      </c>
      <c r="CH84" s="195">
        <v>-584472</v>
      </c>
      <c r="CI84" s="195">
        <v>56199.4893</v>
      </c>
      <c r="CJ84" s="195">
        <v>20975689.004144013</v>
      </c>
      <c r="CL84" s="195">
        <v>6909</v>
      </c>
    </row>
    <row r="85" spans="1:90" ht="9.75">
      <c r="A85" s="195">
        <v>244</v>
      </c>
      <c r="B85" s="195" t="s">
        <v>153</v>
      </c>
      <c r="C85" s="195">
        <v>17297</v>
      </c>
      <c r="D85" s="195">
        <v>62607796.29999999</v>
      </c>
      <c r="E85" s="195">
        <v>16493585.61840981</v>
      </c>
      <c r="F85" s="195">
        <v>1742670.0981734882</v>
      </c>
      <c r="G85" s="195">
        <v>80844052.01658328</v>
      </c>
      <c r="H85" s="195">
        <v>3540.31</v>
      </c>
      <c r="I85" s="195">
        <v>61236742.07</v>
      </c>
      <c r="J85" s="195">
        <v>19607309.94658328</v>
      </c>
      <c r="K85" s="195">
        <v>345209.1303612632</v>
      </c>
      <c r="L85" s="195">
        <v>1848697.4239871032</v>
      </c>
      <c r="M85" s="195">
        <v>0</v>
      </c>
      <c r="N85" s="195">
        <v>21801216.500931643</v>
      </c>
      <c r="O85" s="195">
        <v>2715623.206298528</v>
      </c>
      <c r="P85" s="195">
        <v>24516839.70723017</v>
      </c>
      <c r="Q85" s="195">
        <v>1594</v>
      </c>
      <c r="R85" s="195">
        <v>349</v>
      </c>
      <c r="S85" s="195">
        <v>1781</v>
      </c>
      <c r="T85" s="195">
        <v>805</v>
      </c>
      <c r="U85" s="195">
        <v>728</v>
      </c>
      <c r="V85" s="195">
        <v>9550</v>
      </c>
      <c r="W85" s="195">
        <v>1525</v>
      </c>
      <c r="X85" s="195">
        <v>784</v>
      </c>
      <c r="Y85" s="195">
        <v>181</v>
      </c>
      <c r="Z85" s="195">
        <v>32</v>
      </c>
      <c r="AA85" s="195">
        <v>7</v>
      </c>
      <c r="AB85" s="195">
        <v>17046</v>
      </c>
      <c r="AC85" s="195">
        <v>212</v>
      </c>
      <c r="AD85" s="195">
        <v>2490</v>
      </c>
      <c r="AE85" s="195">
        <v>0.8394828747191715</v>
      </c>
      <c r="AF85" s="195">
        <v>16493585.61840981</v>
      </c>
      <c r="AG85" s="195">
        <v>11250488.371344376</v>
      </c>
      <c r="AH85" s="195">
        <v>2549004.499525972</v>
      </c>
      <c r="AI85" s="195">
        <v>1257598.8245735578</v>
      </c>
      <c r="AJ85" s="195">
        <v>977</v>
      </c>
      <c r="AK85" s="195">
        <v>8071</v>
      </c>
      <c r="AL85" s="195">
        <v>0.9116870459499083</v>
      </c>
      <c r="AM85" s="195">
        <v>212</v>
      </c>
      <c r="AN85" s="195">
        <v>0.012256460657917558</v>
      </c>
      <c r="AO85" s="195">
        <v>0.00828820668966359</v>
      </c>
      <c r="AP85" s="195">
        <v>0</v>
      </c>
      <c r="AQ85" s="195">
        <v>32</v>
      </c>
      <c r="AR85" s="195">
        <v>7</v>
      </c>
      <c r="AS85" s="195">
        <v>0</v>
      </c>
      <c r="AT85" s="195">
        <v>0</v>
      </c>
      <c r="AU85" s="195">
        <v>110.11</v>
      </c>
      <c r="AV85" s="195">
        <v>157.08836617927528</v>
      </c>
      <c r="AW85" s="195">
        <v>0.1152556077178756</v>
      </c>
      <c r="AX85" s="195">
        <v>385</v>
      </c>
      <c r="AY85" s="195">
        <v>5921</v>
      </c>
      <c r="AZ85" s="195">
        <v>0.06502280020266847</v>
      </c>
      <c r="BA85" s="195">
        <v>0</v>
      </c>
      <c r="BB85" s="195">
        <v>0</v>
      </c>
      <c r="BC85" s="195">
        <v>5231</v>
      </c>
      <c r="BD85" s="195">
        <v>7001</v>
      </c>
      <c r="BE85" s="195">
        <v>0.7471789744322239</v>
      </c>
      <c r="BF85" s="195">
        <v>0.31623745638991785</v>
      </c>
      <c r="BG85" s="195">
        <v>0</v>
      </c>
      <c r="BH85" s="195">
        <v>7</v>
      </c>
      <c r="BI85" s="195">
        <v>0</v>
      </c>
      <c r="BJ85" s="195">
        <v>-4151.28</v>
      </c>
      <c r="BK85" s="195">
        <v>-70917.7</v>
      </c>
      <c r="BL85" s="195">
        <v>-4843.160000000001</v>
      </c>
      <c r="BM85" s="195">
        <v>-24734.71</v>
      </c>
      <c r="BN85" s="195">
        <v>-691.88</v>
      </c>
      <c r="BO85" s="195">
        <v>263490</v>
      </c>
      <c r="BP85" s="195">
        <v>-288621.2595401381</v>
      </c>
      <c r="BQ85" s="195">
        <v>-1478374.59</v>
      </c>
      <c r="BR85" s="195">
        <v>-424852.51182803884</v>
      </c>
      <c r="BS85" s="195">
        <v>919994</v>
      </c>
      <c r="BT85" s="195">
        <v>296488</v>
      </c>
      <c r="BU85" s="195">
        <v>624369.9919575528</v>
      </c>
      <c r="BV85" s="195">
        <v>3533.460709059112</v>
      </c>
      <c r="BW85" s="195">
        <v>-19829.64682387213</v>
      </c>
      <c r="BX85" s="195">
        <v>344264.08235237317</v>
      </c>
      <c r="BY85" s="195">
        <v>711241.7854187968</v>
      </c>
      <c r="BZ85" s="195">
        <v>1092587.5394141623</v>
      </c>
      <c r="CA85" s="195">
        <v>319541.3349410682</v>
      </c>
      <c r="CB85" s="195">
        <v>1556.73</v>
      </c>
      <c r="CC85" s="195">
        <v>97870.91738614051</v>
      </c>
      <c r="CD85" s="195">
        <v>4231293.503527242</v>
      </c>
      <c r="CE85" s="195">
        <v>1848697.4239871032</v>
      </c>
      <c r="CF85" s="195">
        <v>0</v>
      </c>
      <c r="CG85" s="229">
        <v>2715623.206298528</v>
      </c>
      <c r="CH85" s="195">
        <v>-923081</v>
      </c>
      <c r="CI85" s="195">
        <v>-369615.60663999984</v>
      </c>
      <c r="CJ85" s="195">
        <v>23593758.70723017</v>
      </c>
      <c r="CL85" s="195">
        <v>17066</v>
      </c>
    </row>
    <row r="86" spans="1:90" ht="9.75">
      <c r="A86" s="195">
        <v>245</v>
      </c>
      <c r="B86" s="195" t="s">
        <v>154</v>
      </c>
      <c r="C86" s="195">
        <v>35511</v>
      </c>
      <c r="D86" s="195">
        <v>109837400.73</v>
      </c>
      <c r="E86" s="195">
        <v>35673254.51781692</v>
      </c>
      <c r="F86" s="195">
        <v>10401023.978085555</v>
      </c>
      <c r="G86" s="195">
        <v>155911679.22590247</v>
      </c>
      <c r="H86" s="195">
        <v>3540.31</v>
      </c>
      <c r="I86" s="195">
        <v>125719948.41</v>
      </c>
      <c r="J86" s="195">
        <v>30191730.81590247</v>
      </c>
      <c r="K86" s="195">
        <v>689174.4412735148</v>
      </c>
      <c r="L86" s="195">
        <v>623695.3488424728</v>
      </c>
      <c r="M86" s="195">
        <v>0</v>
      </c>
      <c r="N86" s="195">
        <v>31504600.606018458</v>
      </c>
      <c r="O86" s="195">
        <v>-6711090.224061713</v>
      </c>
      <c r="P86" s="195">
        <v>24793510.381956745</v>
      </c>
      <c r="Q86" s="195">
        <v>2319</v>
      </c>
      <c r="R86" s="195">
        <v>397</v>
      </c>
      <c r="S86" s="195">
        <v>2491</v>
      </c>
      <c r="T86" s="195">
        <v>1147</v>
      </c>
      <c r="U86" s="195">
        <v>1128</v>
      </c>
      <c r="V86" s="195">
        <v>21570</v>
      </c>
      <c r="W86" s="195">
        <v>4113</v>
      </c>
      <c r="X86" s="195">
        <v>1810</v>
      </c>
      <c r="Y86" s="195">
        <v>536</v>
      </c>
      <c r="Z86" s="195">
        <v>434</v>
      </c>
      <c r="AA86" s="195">
        <v>1</v>
      </c>
      <c r="AB86" s="195">
        <v>31801</v>
      </c>
      <c r="AC86" s="195">
        <v>3275</v>
      </c>
      <c r="AD86" s="195">
        <v>6459</v>
      </c>
      <c r="AE86" s="195">
        <v>0.8843972373927321</v>
      </c>
      <c r="AF86" s="195">
        <v>35673254.51781692</v>
      </c>
      <c r="AG86" s="195">
        <v>21159906.185292594</v>
      </c>
      <c r="AH86" s="195">
        <v>3821261.4124461394</v>
      </c>
      <c r="AI86" s="195">
        <v>2461682.805548241</v>
      </c>
      <c r="AJ86" s="195">
        <v>2066</v>
      </c>
      <c r="AK86" s="195">
        <v>18277</v>
      </c>
      <c r="AL86" s="195">
        <v>0.8513418306155263</v>
      </c>
      <c r="AM86" s="195">
        <v>3275</v>
      </c>
      <c r="AN86" s="195">
        <v>0.09222494438343048</v>
      </c>
      <c r="AO86" s="195">
        <v>0.08825669041517652</v>
      </c>
      <c r="AP86" s="195">
        <v>0</v>
      </c>
      <c r="AQ86" s="195">
        <v>434</v>
      </c>
      <c r="AR86" s="195">
        <v>1</v>
      </c>
      <c r="AS86" s="195">
        <v>0</v>
      </c>
      <c r="AT86" s="195">
        <v>0</v>
      </c>
      <c r="AU86" s="195">
        <v>30.63</v>
      </c>
      <c r="AV86" s="195">
        <v>1159.3535749265427</v>
      </c>
      <c r="AW86" s="195">
        <v>0.015616732894059272</v>
      </c>
      <c r="AX86" s="195">
        <v>2242</v>
      </c>
      <c r="AY86" s="195">
        <v>11864</v>
      </c>
      <c r="AZ86" s="195">
        <v>0.1889750505731625</v>
      </c>
      <c r="BA86" s="195">
        <v>0.12395225037049402</v>
      </c>
      <c r="BB86" s="195">
        <v>0</v>
      </c>
      <c r="BC86" s="195">
        <v>12076</v>
      </c>
      <c r="BD86" s="195">
        <v>16353</v>
      </c>
      <c r="BE86" s="195">
        <v>0.7384577753317434</v>
      </c>
      <c r="BF86" s="195">
        <v>0.3075162572894373</v>
      </c>
      <c r="BG86" s="195">
        <v>0</v>
      </c>
      <c r="BH86" s="195">
        <v>1</v>
      </c>
      <c r="BI86" s="195">
        <v>0</v>
      </c>
      <c r="BJ86" s="195">
        <v>-8522.64</v>
      </c>
      <c r="BK86" s="195">
        <v>-145595.09999999998</v>
      </c>
      <c r="BL86" s="195">
        <v>-9943.080000000002</v>
      </c>
      <c r="BM86" s="195">
        <v>-50780.729999999996</v>
      </c>
      <c r="BN86" s="195">
        <v>-1420.44</v>
      </c>
      <c r="BO86" s="195">
        <v>-804283</v>
      </c>
      <c r="BP86" s="195">
        <v>-3131315.5714406664</v>
      </c>
      <c r="BQ86" s="195">
        <v>-3035125.17</v>
      </c>
      <c r="BR86" s="195">
        <v>-443347.1452234015</v>
      </c>
      <c r="BS86" s="195">
        <v>1849095</v>
      </c>
      <c r="BT86" s="195">
        <v>688975</v>
      </c>
      <c r="BU86" s="195">
        <v>1471577.4084279276</v>
      </c>
      <c r="BV86" s="195">
        <v>31452.156286973168</v>
      </c>
      <c r="BW86" s="195">
        <v>-7625.718145323078</v>
      </c>
      <c r="BX86" s="195">
        <v>604880.6672849297</v>
      </c>
      <c r="BY86" s="195">
        <v>1576612.466004551</v>
      </c>
      <c r="BZ86" s="195">
        <v>2363461.9138938366</v>
      </c>
      <c r="CA86" s="195">
        <v>871551.2469781692</v>
      </c>
      <c r="CB86" s="195">
        <v>3195.99</v>
      </c>
      <c r="CC86" s="195">
        <v>-153704.06522452366</v>
      </c>
      <c r="CD86" s="195">
        <v>8053972.580283139</v>
      </c>
      <c r="CE86" s="195">
        <v>623695.3488424728</v>
      </c>
      <c r="CF86" s="195">
        <v>0</v>
      </c>
      <c r="CG86" s="229">
        <v>-6711090.224061713</v>
      </c>
      <c r="CH86" s="195">
        <v>-3365625</v>
      </c>
      <c r="CI86" s="195">
        <v>-1087123.1295999999</v>
      </c>
      <c r="CJ86" s="195">
        <v>21427885.381956745</v>
      </c>
      <c r="CL86" s="195">
        <v>35293</v>
      </c>
    </row>
    <row r="87" spans="1:90" ht="9.75">
      <c r="A87" s="195">
        <v>249</v>
      </c>
      <c r="B87" s="195" t="s">
        <v>155</v>
      </c>
      <c r="C87" s="195">
        <v>9992</v>
      </c>
      <c r="D87" s="195">
        <v>36015215.660000004</v>
      </c>
      <c r="E87" s="195">
        <v>14888354.219435455</v>
      </c>
      <c r="F87" s="195">
        <v>2476148.154746334</v>
      </c>
      <c r="G87" s="195">
        <v>53379718.03418179</v>
      </c>
      <c r="H87" s="195">
        <v>3540.31</v>
      </c>
      <c r="I87" s="195">
        <v>35374777.519999996</v>
      </c>
      <c r="J87" s="195">
        <v>18004940.514181793</v>
      </c>
      <c r="K87" s="195">
        <v>527534.3357080586</v>
      </c>
      <c r="L87" s="195">
        <v>3080350.217061665</v>
      </c>
      <c r="M87" s="195">
        <v>0</v>
      </c>
      <c r="N87" s="195">
        <v>21612825.066951517</v>
      </c>
      <c r="O87" s="195">
        <v>5771606.30513561</v>
      </c>
      <c r="P87" s="195">
        <v>27384431.37208713</v>
      </c>
      <c r="Q87" s="195">
        <v>529</v>
      </c>
      <c r="R87" s="195">
        <v>104</v>
      </c>
      <c r="S87" s="195">
        <v>563</v>
      </c>
      <c r="T87" s="195">
        <v>304</v>
      </c>
      <c r="U87" s="195">
        <v>289</v>
      </c>
      <c r="V87" s="195">
        <v>5125</v>
      </c>
      <c r="W87" s="195">
        <v>1709</v>
      </c>
      <c r="X87" s="195">
        <v>961</v>
      </c>
      <c r="Y87" s="195">
        <v>408</v>
      </c>
      <c r="Z87" s="195">
        <v>13</v>
      </c>
      <c r="AA87" s="195">
        <v>0</v>
      </c>
      <c r="AB87" s="195">
        <v>9789</v>
      </c>
      <c r="AC87" s="195">
        <v>190</v>
      </c>
      <c r="AD87" s="195">
        <v>3078</v>
      </c>
      <c r="AE87" s="195">
        <v>1.3117824452395186</v>
      </c>
      <c r="AF87" s="195">
        <v>14888354.219435455</v>
      </c>
      <c r="AG87" s="195">
        <v>44776261.12327912</v>
      </c>
      <c r="AH87" s="195">
        <v>9363469.738839345</v>
      </c>
      <c r="AI87" s="195">
        <v>5012557.017094606</v>
      </c>
      <c r="AJ87" s="195">
        <v>627</v>
      </c>
      <c r="AK87" s="195">
        <v>4213</v>
      </c>
      <c r="AL87" s="195">
        <v>1.1208684613689732</v>
      </c>
      <c r="AM87" s="195">
        <v>190</v>
      </c>
      <c r="AN87" s="195">
        <v>0.019015212169735788</v>
      </c>
      <c r="AO87" s="195">
        <v>0.01504695820148182</v>
      </c>
      <c r="AP87" s="195">
        <v>0</v>
      </c>
      <c r="AQ87" s="195">
        <v>13</v>
      </c>
      <c r="AR87" s="195">
        <v>0</v>
      </c>
      <c r="AS87" s="195">
        <v>0</v>
      </c>
      <c r="AT87" s="195">
        <v>0</v>
      </c>
      <c r="AU87" s="195">
        <v>1257.97</v>
      </c>
      <c r="AV87" s="195">
        <v>7.942955714365207</v>
      </c>
      <c r="AW87" s="195">
        <v>2.2794178591045444</v>
      </c>
      <c r="AX87" s="195">
        <v>399</v>
      </c>
      <c r="AY87" s="195">
        <v>2694</v>
      </c>
      <c r="AZ87" s="195">
        <v>0.14810690423162584</v>
      </c>
      <c r="BA87" s="195">
        <v>0.08308410402895737</v>
      </c>
      <c r="BB87" s="195">
        <v>0.0792</v>
      </c>
      <c r="BC87" s="195">
        <v>3533</v>
      </c>
      <c r="BD87" s="195">
        <v>3510</v>
      </c>
      <c r="BE87" s="195">
        <v>1.0065527065527065</v>
      </c>
      <c r="BF87" s="195">
        <v>0.5756111885104004</v>
      </c>
      <c r="BG87" s="195">
        <v>0</v>
      </c>
      <c r="BH87" s="195">
        <v>0</v>
      </c>
      <c r="BI87" s="195">
        <v>0</v>
      </c>
      <c r="BJ87" s="195">
        <v>-2398.08</v>
      </c>
      <c r="BK87" s="195">
        <v>-40967.2</v>
      </c>
      <c r="BL87" s="195">
        <v>-2797.76</v>
      </c>
      <c r="BM87" s="195">
        <v>-14288.56</v>
      </c>
      <c r="BN87" s="195">
        <v>-399.68</v>
      </c>
      <c r="BO87" s="195">
        <v>189982</v>
      </c>
      <c r="BP87" s="195">
        <v>-410672.5374045986</v>
      </c>
      <c r="BQ87" s="195">
        <v>-854016.24</v>
      </c>
      <c r="BR87" s="195">
        <v>817469.7983167842</v>
      </c>
      <c r="BS87" s="195">
        <v>840543</v>
      </c>
      <c r="BT87" s="195">
        <v>275658</v>
      </c>
      <c r="BU87" s="195">
        <v>616042.5769579562</v>
      </c>
      <c r="BV87" s="195">
        <v>27456.298720062765</v>
      </c>
      <c r="BW87" s="195">
        <v>-5142.00613193496</v>
      </c>
      <c r="BX87" s="195">
        <v>332187.6762118307</v>
      </c>
      <c r="BY87" s="195">
        <v>495814.7213768481</v>
      </c>
      <c r="BZ87" s="195">
        <v>841513.2411016648</v>
      </c>
      <c r="CA87" s="195">
        <v>256267.14785171184</v>
      </c>
      <c r="CB87" s="195">
        <v>899.28</v>
      </c>
      <c r="CC87" s="195">
        <v>11363.020061339732</v>
      </c>
      <c r="CD87" s="195">
        <v>4700654.274466263</v>
      </c>
      <c r="CE87" s="195">
        <v>3080350.217061665</v>
      </c>
      <c r="CF87" s="195">
        <v>0</v>
      </c>
      <c r="CG87" s="229">
        <v>5771606.30513561</v>
      </c>
      <c r="CH87" s="195">
        <v>80979</v>
      </c>
      <c r="CI87" s="195">
        <v>134964.8139</v>
      </c>
      <c r="CJ87" s="195">
        <v>27465410.37208713</v>
      </c>
      <c r="CL87" s="195">
        <v>10117</v>
      </c>
    </row>
    <row r="88" spans="1:90" ht="9.75">
      <c r="A88" s="195">
        <v>250</v>
      </c>
      <c r="B88" s="195" t="s">
        <v>156</v>
      </c>
      <c r="C88" s="195">
        <v>1994</v>
      </c>
      <c r="D88" s="195">
        <v>7277352.26</v>
      </c>
      <c r="E88" s="195">
        <v>3231438.338018792</v>
      </c>
      <c r="F88" s="195">
        <v>581237.7408758836</v>
      </c>
      <c r="G88" s="195">
        <v>11090028.338894675</v>
      </c>
      <c r="H88" s="195">
        <v>3540.31</v>
      </c>
      <c r="I88" s="195">
        <v>7059378.14</v>
      </c>
      <c r="J88" s="195">
        <v>4030650.198894675</v>
      </c>
      <c r="K88" s="195">
        <v>283422.4720335011</v>
      </c>
      <c r="L88" s="195">
        <v>717787.7176305051</v>
      </c>
      <c r="M88" s="195">
        <v>0</v>
      </c>
      <c r="N88" s="195">
        <v>5031860.38855868</v>
      </c>
      <c r="O88" s="195">
        <v>1955714.8215255819</v>
      </c>
      <c r="P88" s="195">
        <v>6987575.210084262</v>
      </c>
      <c r="Q88" s="195">
        <v>113</v>
      </c>
      <c r="R88" s="195">
        <v>17</v>
      </c>
      <c r="S88" s="195">
        <v>96</v>
      </c>
      <c r="T88" s="195">
        <v>65</v>
      </c>
      <c r="U88" s="195">
        <v>54</v>
      </c>
      <c r="V88" s="195">
        <v>1061</v>
      </c>
      <c r="W88" s="195">
        <v>303</v>
      </c>
      <c r="X88" s="195">
        <v>195</v>
      </c>
      <c r="Y88" s="195">
        <v>90</v>
      </c>
      <c r="Z88" s="195">
        <v>0</v>
      </c>
      <c r="AA88" s="195">
        <v>0</v>
      </c>
      <c r="AB88" s="195">
        <v>1965</v>
      </c>
      <c r="AC88" s="195">
        <v>29</v>
      </c>
      <c r="AD88" s="195">
        <v>588</v>
      </c>
      <c r="AE88" s="195">
        <v>1.4267184136921416</v>
      </c>
      <c r="AF88" s="195">
        <v>3231438.338018792</v>
      </c>
      <c r="AG88" s="195">
        <v>18889568.55479161</v>
      </c>
      <c r="AH88" s="195">
        <v>4743094.8308721315</v>
      </c>
      <c r="AI88" s="195">
        <v>1881938.66656043</v>
      </c>
      <c r="AJ88" s="195">
        <v>128</v>
      </c>
      <c r="AK88" s="195">
        <v>896</v>
      </c>
      <c r="AL88" s="195">
        <v>1.0759213551486635</v>
      </c>
      <c r="AM88" s="195">
        <v>29</v>
      </c>
      <c r="AN88" s="195">
        <v>0.014543630892678034</v>
      </c>
      <c r="AO88" s="195">
        <v>0.010575376924424066</v>
      </c>
      <c r="AP88" s="195">
        <v>0</v>
      </c>
      <c r="AQ88" s="195">
        <v>0</v>
      </c>
      <c r="AR88" s="195">
        <v>0</v>
      </c>
      <c r="AS88" s="195">
        <v>0</v>
      </c>
      <c r="AT88" s="195">
        <v>0</v>
      </c>
      <c r="AU88" s="195">
        <v>357.1</v>
      </c>
      <c r="AV88" s="195">
        <v>5.583870064407728</v>
      </c>
      <c r="AW88" s="195">
        <v>3.2424313067035793</v>
      </c>
      <c r="AX88" s="195">
        <v>111</v>
      </c>
      <c r="AY88" s="195">
        <v>563</v>
      </c>
      <c r="AZ88" s="195">
        <v>0.19715808170515098</v>
      </c>
      <c r="BA88" s="195">
        <v>0.1321352815024825</v>
      </c>
      <c r="BB88" s="195">
        <v>0.529932</v>
      </c>
      <c r="BC88" s="195">
        <v>730</v>
      </c>
      <c r="BD88" s="195">
        <v>779</v>
      </c>
      <c r="BE88" s="195">
        <v>0.9370988446726572</v>
      </c>
      <c r="BF88" s="195">
        <v>0.5061573266303512</v>
      </c>
      <c r="BG88" s="195">
        <v>0</v>
      </c>
      <c r="BH88" s="195">
        <v>0</v>
      </c>
      <c r="BI88" s="195">
        <v>0</v>
      </c>
      <c r="BJ88" s="195">
        <v>-478.56</v>
      </c>
      <c r="BK88" s="195">
        <v>-8175.4</v>
      </c>
      <c r="BL88" s="195">
        <v>-558.32</v>
      </c>
      <c r="BM88" s="195">
        <v>-2851.42</v>
      </c>
      <c r="BN88" s="195">
        <v>-79.76</v>
      </c>
      <c r="BO88" s="195">
        <v>-6236</v>
      </c>
      <c r="BP88" s="195">
        <v>-92538.8787087098</v>
      </c>
      <c r="BQ88" s="195">
        <v>-170427.18</v>
      </c>
      <c r="BR88" s="195">
        <v>82427.22236314509</v>
      </c>
      <c r="BS88" s="195">
        <v>219048</v>
      </c>
      <c r="BT88" s="195">
        <v>68340</v>
      </c>
      <c r="BU88" s="195">
        <v>185745.72702158507</v>
      </c>
      <c r="BV88" s="195">
        <v>10832.417464142347</v>
      </c>
      <c r="BW88" s="195">
        <v>24966.191205261683</v>
      </c>
      <c r="BX88" s="195">
        <v>84210.02610541235</v>
      </c>
      <c r="BY88" s="195">
        <v>132963.3328811662</v>
      </c>
      <c r="BZ88" s="195">
        <v>193905.06881895455</v>
      </c>
      <c r="CA88" s="195">
        <v>64139.928692433314</v>
      </c>
      <c r="CB88" s="195">
        <v>179.45999999999998</v>
      </c>
      <c r="CC88" s="195">
        <v>-8920.778212885716</v>
      </c>
      <c r="CD88" s="195">
        <v>1051720.236339215</v>
      </c>
      <c r="CE88" s="195">
        <v>717787.7176305051</v>
      </c>
      <c r="CF88" s="195">
        <v>0</v>
      </c>
      <c r="CG88" s="229">
        <v>1955714.8215255819</v>
      </c>
      <c r="CH88" s="195">
        <v>-189353</v>
      </c>
      <c r="CI88" s="195">
        <v>31287.120000000003</v>
      </c>
      <c r="CJ88" s="195">
        <v>6798222.210084262</v>
      </c>
      <c r="CL88" s="195">
        <v>2038</v>
      </c>
    </row>
    <row r="89" spans="1:90" ht="9.75">
      <c r="A89" s="195">
        <v>256</v>
      </c>
      <c r="B89" s="195" t="s">
        <v>157</v>
      </c>
      <c r="C89" s="195">
        <v>1699</v>
      </c>
      <c r="D89" s="195">
        <v>6178439.24</v>
      </c>
      <c r="E89" s="195">
        <v>2390404.3758339062</v>
      </c>
      <c r="F89" s="195">
        <v>614669.1050260111</v>
      </c>
      <c r="G89" s="195">
        <v>9183512.720859917</v>
      </c>
      <c r="H89" s="195">
        <v>3540.31</v>
      </c>
      <c r="I89" s="195">
        <v>6014986.6899999995</v>
      </c>
      <c r="J89" s="195">
        <v>3168526.0308599174</v>
      </c>
      <c r="K89" s="195">
        <v>730243.4047280014</v>
      </c>
      <c r="L89" s="195">
        <v>554476.9574694824</v>
      </c>
      <c r="M89" s="195">
        <v>193843.77913651144</v>
      </c>
      <c r="N89" s="195">
        <v>4647090.172193913</v>
      </c>
      <c r="O89" s="195">
        <v>1759074.9471648785</v>
      </c>
      <c r="P89" s="195">
        <v>6406165.119358791</v>
      </c>
      <c r="Q89" s="195">
        <v>114</v>
      </c>
      <c r="R89" s="195">
        <v>18</v>
      </c>
      <c r="S89" s="195">
        <v>114</v>
      </c>
      <c r="T89" s="195">
        <v>57</v>
      </c>
      <c r="U89" s="195">
        <v>63</v>
      </c>
      <c r="V89" s="195">
        <v>855</v>
      </c>
      <c r="W89" s="195">
        <v>266</v>
      </c>
      <c r="X89" s="195">
        <v>159</v>
      </c>
      <c r="Y89" s="195">
        <v>53</v>
      </c>
      <c r="Z89" s="195">
        <v>1</v>
      </c>
      <c r="AA89" s="195">
        <v>0</v>
      </c>
      <c r="AB89" s="195">
        <v>1685</v>
      </c>
      <c r="AC89" s="195">
        <v>13</v>
      </c>
      <c r="AD89" s="195">
        <v>478</v>
      </c>
      <c r="AE89" s="195">
        <v>1.238641262680689</v>
      </c>
      <c r="AF89" s="195">
        <v>2390404.3758339062</v>
      </c>
      <c r="AG89" s="195">
        <v>3952077.7744285893</v>
      </c>
      <c r="AH89" s="195">
        <v>1112215.340644721</v>
      </c>
      <c r="AI89" s="195">
        <v>347846.4833926861</v>
      </c>
      <c r="AJ89" s="195">
        <v>128</v>
      </c>
      <c r="AK89" s="195">
        <v>704</v>
      </c>
      <c r="AL89" s="195">
        <v>1.3693544520073901</v>
      </c>
      <c r="AM89" s="195">
        <v>13</v>
      </c>
      <c r="AN89" s="195">
        <v>0.007651559741024131</v>
      </c>
      <c r="AO89" s="195">
        <v>0.0036833057727701634</v>
      </c>
      <c r="AP89" s="195">
        <v>0</v>
      </c>
      <c r="AQ89" s="195">
        <v>1</v>
      </c>
      <c r="AR89" s="195">
        <v>0</v>
      </c>
      <c r="AS89" s="195">
        <v>0</v>
      </c>
      <c r="AT89" s="195">
        <v>0</v>
      </c>
      <c r="AU89" s="195">
        <v>460.19</v>
      </c>
      <c r="AV89" s="195">
        <v>3.6919533236271973</v>
      </c>
      <c r="AW89" s="195">
        <v>4.903993502174832</v>
      </c>
      <c r="AX89" s="195">
        <v>78</v>
      </c>
      <c r="AY89" s="195">
        <v>431</v>
      </c>
      <c r="AZ89" s="195">
        <v>0.18097447795823665</v>
      </c>
      <c r="BA89" s="195">
        <v>0.11595167775556818</v>
      </c>
      <c r="BB89" s="195">
        <v>1.286416</v>
      </c>
      <c r="BC89" s="195">
        <v>493</v>
      </c>
      <c r="BD89" s="195">
        <v>558</v>
      </c>
      <c r="BE89" s="195">
        <v>0.8835125448028673</v>
      </c>
      <c r="BF89" s="195">
        <v>0.45257102676056127</v>
      </c>
      <c r="BG89" s="195">
        <v>0</v>
      </c>
      <c r="BH89" s="195">
        <v>0</v>
      </c>
      <c r="BI89" s="195">
        <v>0</v>
      </c>
      <c r="BJ89" s="195">
        <v>-407.76</v>
      </c>
      <c r="BK89" s="195">
        <v>-6965.9</v>
      </c>
      <c r="BL89" s="195">
        <v>-475.72</v>
      </c>
      <c r="BM89" s="195">
        <v>-2429.5699999999997</v>
      </c>
      <c r="BN89" s="195">
        <v>-67.96000000000001</v>
      </c>
      <c r="BO89" s="195">
        <v>96914</v>
      </c>
      <c r="BP89" s="195">
        <v>-91538.45839834538</v>
      </c>
      <c r="BQ89" s="195">
        <v>-145213.53</v>
      </c>
      <c r="BR89" s="195">
        <v>7985.68745491188</v>
      </c>
      <c r="BS89" s="195">
        <v>175069</v>
      </c>
      <c r="BT89" s="195">
        <v>57344</v>
      </c>
      <c r="BU89" s="195">
        <v>155676.28894759898</v>
      </c>
      <c r="BV89" s="195">
        <v>8712.868785601755</v>
      </c>
      <c r="BW89" s="195">
        <v>29015.687809191466</v>
      </c>
      <c r="BX89" s="195">
        <v>73844.99649878072</v>
      </c>
      <c r="BY89" s="195">
        <v>86849.92761042874</v>
      </c>
      <c r="BZ89" s="195">
        <v>141637.73046884115</v>
      </c>
      <c r="CA89" s="195">
        <v>32190.71537726504</v>
      </c>
      <c r="CB89" s="195">
        <v>152.91</v>
      </c>
      <c r="CC89" s="195">
        <v>-13799.397084791897</v>
      </c>
      <c r="CD89" s="195">
        <v>851696.3558678278</v>
      </c>
      <c r="CE89" s="195">
        <v>554476.9574694824</v>
      </c>
      <c r="CF89" s="195">
        <v>193843.77913651144</v>
      </c>
      <c r="CG89" s="229">
        <v>1759074.9471648785</v>
      </c>
      <c r="CH89" s="195">
        <v>182758</v>
      </c>
      <c r="CI89" s="195">
        <v>130363.00000000003</v>
      </c>
      <c r="CJ89" s="195">
        <v>6588923.119358791</v>
      </c>
      <c r="CL89" s="195">
        <v>1745</v>
      </c>
    </row>
    <row r="90" spans="1:90" ht="9.75">
      <c r="A90" s="195">
        <v>257</v>
      </c>
      <c r="B90" s="195" t="s">
        <v>158</v>
      </c>
      <c r="C90" s="195">
        <v>39033</v>
      </c>
      <c r="D90" s="195">
        <v>130333840.71999998</v>
      </c>
      <c r="E90" s="195">
        <v>30117144.498918273</v>
      </c>
      <c r="F90" s="195">
        <v>11726417.163845409</v>
      </c>
      <c r="G90" s="195">
        <v>172177402.38276368</v>
      </c>
      <c r="H90" s="195">
        <v>3540.31</v>
      </c>
      <c r="I90" s="195">
        <v>138188920.23</v>
      </c>
      <c r="J90" s="195">
        <v>33988482.152763695</v>
      </c>
      <c r="K90" s="195">
        <v>425496.24835285405</v>
      </c>
      <c r="L90" s="195">
        <v>1332131.473585777</v>
      </c>
      <c r="M90" s="195">
        <v>0</v>
      </c>
      <c r="N90" s="195">
        <v>35746109.87470233</v>
      </c>
      <c r="O90" s="195">
        <v>-12184508.6384727</v>
      </c>
      <c r="P90" s="195">
        <v>23561601.23622963</v>
      </c>
      <c r="Q90" s="195">
        <v>2884</v>
      </c>
      <c r="R90" s="195">
        <v>609</v>
      </c>
      <c r="S90" s="195">
        <v>3583</v>
      </c>
      <c r="T90" s="195">
        <v>1713</v>
      </c>
      <c r="U90" s="195">
        <v>1573</v>
      </c>
      <c r="V90" s="195">
        <v>22869</v>
      </c>
      <c r="W90" s="195">
        <v>3789</v>
      </c>
      <c r="X90" s="195">
        <v>1598</v>
      </c>
      <c r="Y90" s="195">
        <v>415</v>
      </c>
      <c r="Z90" s="195">
        <v>6580</v>
      </c>
      <c r="AA90" s="195">
        <v>8</v>
      </c>
      <c r="AB90" s="195">
        <v>29681</v>
      </c>
      <c r="AC90" s="195">
        <v>2764</v>
      </c>
      <c r="AD90" s="195">
        <v>5802</v>
      </c>
      <c r="AE90" s="195">
        <v>0.6792809078378097</v>
      </c>
      <c r="AF90" s="195">
        <v>30117144.498918273</v>
      </c>
      <c r="AG90" s="195">
        <v>3147171.1245324267</v>
      </c>
      <c r="AH90" s="195">
        <v>736810.1152270952</v>
      </c>
      <c r="AI90" s="195">
        <v>294331.6397938113</v>
      </c>
      <c r="AJ90" s="195">
        <v>2020</v>
      </c>
      <c r="AK90" s="195">
        <v>19412</v>
      </c>
      <c r="AL90" s="195">
        <v>0.7837176984237638</v>
      </c>
      <c r="AM90" s="195">
        <v>2764</v>
      </c>
      <c r="AN90" s="195">
        <v>0.07081187712960828</v>
      </c>
      <c r="AO90" s="195">
        <v>0.06684362316135431</v>
      </c>
      <c r="AP90" s="195">
        <v>1</v>
      </c>
      <c r="AQ90" s="195">
        <v>6580</v>
      </c>
      <c r="AR90" s="195">
        <v>8</v>
      </c>
      <c r="AS90" s="195">
        <v>3</v>
      </c>
      <c r="AT90" s="195">
        <v>736</v>
      </c>
      <c r="AU90" s="195">
        <v>366.15</v>
      </c>
      <c r="AV90" s="195">
        <v>106.60385088078657</v>
      </c>
      <c r="AW90" s="195">
        <v>0.1698373460227759</v>
      </c>
      <c r="AX90" s="195">
        <v>2012</v>
      </c>
      <c r="AY90" s="195">
        <v>14176</v>
      </c>
      <c r="AZ90" s="195">
        <v>0.14193002257336343</v>
      </c>
      <c r="BA90" s="195">
        <v>0.07690722237069496</v>
      </c>
      <c r="BB90" s="195">
        <v>0</v>
      </c>
      <c r="BC90" s="195">
        <v>10624</v>
      </c>
      <c r="BD90" s="195">
        <v>17599</v>
      </c>
      <c r="BE90" s="195">
        <v>0.6036706631058583</v>
      </c>
      <c r="BF90" s="195">
        <v>0.1727291450635522</v>
      </c>
      <c r="BG90" s="195">
        <v>0</v>
      </c>
      <c r="BH90" s="195">
        <v>8</v>
      </c>
      <c r="BI90" s="195">
        <v>0</v>
      </c>
      <c r="BJ90" s="195">
        <v>-9367.92</v>
      </c>
      <c r="BK90" s="195">
        <v>-160035.3</v>
      </c>
      <c r="BL90" s="195">
        <v>-10929.240000000002</v>
      </c>
      <c r="BM90" s="195">
        <v>-55817.189999999995</v>
      </c>
      <c r="BN90" s="195">
        <v>-1561.32</v>
      </c>
      <c r="BO90" s="195">
        <v>95527</v>
      </c>
      <c r="BP90" s="195">
        <v>-2315973.018493656</v>
      </c>
      <c r="BQ90" s="195">
        <v>-3336150.51</v>
      </c>
      <c r="BR90" s="195">
        <v>-115756.35312727839</v>
      </c>
      <c r="BS90" s="195">
        <v>2071727</v>
      </c>
      <c r="BT90" s="195">
        <v>698246</v>
      </c>
      <c r="BU90" s="195">
        <v>1328514.603771267</v>
      </c>
      <c r="BV90" s="195">
        <v>-6999.652707042877</v>
      </c>
      <c r="BW90" s="195">
        <v>-330038.789723722</v>
      </c>
      <c r="BX90" s="195">
        <v>466855.0734799032</v>
      </c>
      <c r="BY90" s="195">
        <v>1443673.5638424095</v>
      </c>
      <c r="BZ90" s="195">
        <v>2195705.452450867</v>
      </c>
      <c r="CA90" s="195">
        <v>608924.8050791124</v>
      </c>
      <c r="CB90" s="195">
        <v>3512.97</v>
      </c>
      <c r="CC90" s="195">
        <v>-88794.18098608329</v>
      </c>
      <c r="CD90" s="195">
        <v>8373439.472079433</v>
      </c>
      <c r="CE90" s="195">
        <v>1332131.473585777</v>
      </c>
      <c r="CF90" s="195">
        <v>0</v>
      </c>
      <c r="CG90" s="229">
        <v>-12184508.6384727</v>
      </c>
      <c r="CH90" s="195">
        <v>-2526605</v>
      </c>
      <c r="CI90" s="195">
        <v>-854899.6959199999</v>
      </c>
      <c r="CJ90" s="195">
        <v>21034996.23622963</v>
      </c>
      <c r="CL90" s="195">
        <v>38649</v>
      </c>
    </row>
    <row r="91" spans="1:90" ht="9.75">
      <c r="A91" s="195">
        <v>260</v>
      </c>
      <c r="B91" s="195" t="s">
        <v>159</v>
      </c>
      <c r="C91" s="195">
        <v>10719</v>
      </c>
      <c r="D91" s="195">
        <v>37746665.080000006</v>
      </c>
      <c r="E91" s="195">
        <v>20305416.130123805</v>
      </c>
      <c r="F91" s="195">
        <v>3490900.0080740107</v>
      </c>
      <c r="G91" s="195">
        <v>61542981.218197815</v>
      </c>
      <c r="H91" s="195">
        <v>3540.31</v>
      </c>
      <c r="I91" s="195">
        <v>37948582.89</v>
      </c>
      <c r="J91" s="195">
        <v>23594398.328197815</v>
      </c>
      <c r="K91" s="195">
        <v>1686382.3254993898</v>
      </c>
      <c r="L91" s="195">
        <v>3627857.450770806</v>
      </c>
      <c r="M91" s="195">
        <v>0</v>
      </c>
      <c r="N91" s="195">
        <v>28908638.10446801</v>
      </c>
      <c r="O91" s="195">
        <v>8984475.070334546</v>
      </c>
      <c r="P91" s="195">
        <v>37893113.17480256</v>
      </c>
      <c r="Q91" s="195">
        <v>477</v>
      </c>
      <c r="R91" s="195">
        <v>90</v>
      </c>
      <c r="S91" s="195">
        <v>518</v>
      </c>
      <c r="T91" s="195">
        <v>309</v>
      </c>
      <c r="U91" s="195">
        <v>344</v>
      </c>
      <c r="V91" s="195">
        <v>5645</v>
      </c>
      <c r="W91" s="195">
        <v>1757</v>
      </c>
      <c r="X91" s="195">
        <v>1131</v>
      </c>
      <c r="Y91" s="195">
        <v>448</v>
      </c>
      <c r="Z91" s="195">
        <v>1</v>
      </c>
      <c r="AA91" s="195">
        <v>0</v>
      </c>
      <c r="AB91" s="195">
        <v>10213</v>
      </c>
      <c r="AC91" s="195">
        <v>505</v>
      </c>
      <c r="AD91" s="195">
        <v>3336</v>
      </c>
      <c r="AE91" s="195">
        <v>1.6677278085124394</v>
      </c>
      <c r="AF91" s="195">
        <v>20305416.130123805</v>
      </c>
      <c r="AG91" s="195">
        <v>38599836.60812279</v>
      </c>
      <c r="AH91" s="195">
        <v>7737468.49710285</v>
      </c>
      <c r="AI91" s="195">
        <v>3710362.489521986</v>
      </c>
      <c r="AJ91" s="195">
        <v>804</v>
      </c>
      <c r="AK91" s="195">
        <v>4582</v>
      </c>
      <c r="AL91" s="195">
        <v>1.321537622605124</v>
      </c>
      <c r="AM91" s="195">
        <v>505</v>
      </c>
      <c r="AN91" s="195">
        <v>0.04711260378766676</v>
      </c>
      <c r="AO91" s="195">
        <v>0.04314434981941279</v>
      </c>
      <c r="AP91" s="195">
        <v>0</v>
      </c>
      <c r="AQ91" s="195">
        <v>1</v>
      </c>
      <c r="AR91" s="195">
        <v>0</v>
      </c>
      <c r="AS91" s="195">
        <v>3</v>
      </c>
      <c r="AT91" s="195">
        <v>419</v>
      </c>
      <c r="AU91" s="195">
        <v>1253.6</v>
      </c>
      <c r="AV91" s="195">
        <v>8.550574345883856</v>
      </c>
      <c r="AW91" s="195">
        <v>2.117438475710843</v>
      </c>
      <c r="AX91" s="195">
        <v>431</v>
      </c>
      <c r="AY91" s="195">
        <v>2815</v>
      </c>
      <c r="AZ91" s="195">
        <v>0.1531083481349911</v>
      </c>
      <c r="BA91" s="195">
        <v>0.08808554793232264</v>
      </c>
      <c r="BB91" s="195">
        <v>0.581283</v>
      </c>
      <c r="BC91" s="195">
        <v>3646</v>
      </c>
      <c r="BD91" s="195">
        <v>3615</v>
      </c>
      <c r="BE91" s="195">
        <v>1.0085753803596127</v>
      </c>
      <c r="BF91" s="195">
        <v>0.5776338623173066</v>
      </c>
      <c r="BG91" s="195">
        <v>0</v>
      </c>
      <c r="BH91" s="195">
        <v>0</v>
      </c>
      <c r="BI91" s="195">
        <v>0</v>
      </c>
      <c r="BJ91" s="195">
        <v>-2572.56</v>
      </c>
      <c r="BK91" s="195">
        <v>-43947.899999999994</v>
      </c>
      <c r="BL91" s="195">
        <v>-3001.32</v>
      </c>
      <c r="BM91" s="195">
        <v>-15328.17</v>
      </c>
      <c r="BN91" s="195">
        <v>-428.76</v>
      </c>
      <c r="BO91" s="195">
        <v>489326</v>
      </c>
      <c r="BP91" s="195">
        <v>-374657.4062314791</v>
      </c>
      <c r="BQ91" s="195">
        <v>-916152.9299999999</v>
      </c>
      <c r="BR91" s="195">
        <v>-56715.47882780805</v>
      </c>
      <c r="BS91" s="195">
        <v>1158136</v>
      </c>
      <c r="BT91" s="195">
        <v>342783</v>
      </c>
      <c r="BU91" s="195">
        <v>900533.8584845748</v>
      </c>
      <c r="BV91" s="195">
        <v>48990.33472329932</v>
      </c>
      <c r="BW91" s="195">
        <v>122919.64991699434</v>
      </c>
      <c r="BX91" s="195">
        <v>445395.39128702896</v>
      </c>
      <c r="BY91" s="195">
        <v>568926.4470514387</v>
      </c>
      <c r="BZ91" s="195">
        <v>934562.5713683525</v>
      </c>
      <c r="CA91" s="195">
        <v>276666.79875036865</v>
      </c>
      <c r="CB91" s="195">
        <v>964.7099999999999</v>
      </c>
      <c r="CC91" s="195">
        <v>67024.57424803644</v>
      </c>
      <c r="CD91" s="195">
        <v>5300156.997002285</v>
      </c>
      <c r="CE91" s="195">
        <v>3627857.450770806</v>
      </c>
      <c r="CF91" s="195">
        <v>0</v>
      </c>
      <c r="CG91" s="229">
        <v>8984475.070334546</v>
      </c>
      <c r="CH91" s="195">
        <v>-590119</v>
      </c>
      <c r="CI91" s="195">
        <v>20180.1924</v>
      </c>
      <c r="CJ91" s="195">
        <v>37302994.17480256</v>
      </c>
      <c r="CL91" s="195">
        <v>10832</v>
      </c>
    </row>
    <row r="92" spans="1:90" ht="9.75">
      <c r="A92" s="195">
        <v>261</v>
      </c>
      <c r="B92" s="195" t="s">
        <v>160</v>
      </c>
      <c r="C92" s="195">
        <v>6383</v>
      </c>
      <c r="D92" s="195">
        <v>20734346.400000002</v>
      </c>
      <c r="E92" s="195">
        <v>7351996.04331625</v>
      </c>
      <c r="F92" s="195">
        <v>5947396.6676659845</v>
      </c>
      <c r="G92" s="195">
        <v>34033739.11098224</v>
      </c>
      <c r="H92" s="195">
        <v>3540.31</v>
      </c>
      <c r="I92" s="195">
        <v>22597798.73</v>
      </c>
      <c r="J92" s="195">
        <v>11435940.380982239</v>
      </c>
      <c r="K92" s="195">
        <v>6508644.753923386</v>
      </c>
      <c r="L92" s="195">
        <v>1831089.5546288975</v>
      </c>
      <c r="M92" s="195">
        <v>0</v>
      </c>
      <c r="N92" s="195">
        <v>19775674.689534523</v>
      </c>
      <c r="O92" s="195">
        <v>948929.5943229606</v>
      </c>
      <c r="P92" s="195">
        <v>20724604.283857483</v>
      </c>
      <c r="Q92" s="195">
        <v>421</v>
      </c>
      <c r="R92" s="195">
        <v>67</v>
      </c>
      <c r="S92" s="195">
        <v>406</v>
      </c>
      <c r="T92" s="195">
        <v>187</v>
      </c>
      <c r="U92" s="195">
        <v>183</v>
      </c>
      <c r="V92" s="195">
        <v>3839</v>
      </c>
      <c r="W92" s="195">
        <v>683</v>
      </c>
      <c r="X92" s="195">
        <v>441</v>
      </c>
      <c r="Y92" s="195">
        <v>156</v>
      </c>
      <c r="Z92" s="195">
        <v>22</v>
      </c>
      <c r="AA92" s="195">
        <v>17</v>
      </c>
      <c r="AB92" s="195">
        <v>6167</v>
      </c>
      <c r="AC92" s="195">
        <v>177</v>
      </c>
      <c r="AD92" s="195">
        <v>1280</v>
      </c>
      <c r="AE92" s="195">
        <v>1.0140233775486542</v>
      </c>
      <c r="AF92" s="195">
        <v>7351996.04331625</v>
      </c>
      <c r="AG92" s="195">
        <v>23492225.79080403</v>
      </c>
      <c r="AH92" s="195">
        <v>7320703.789672989</v>
      </c>
      <c r="AI92" s="195">
        <v>2211946.868753492</v>
      </c>
      <c r="AJ92" s="195">
        <v>449</v>
      </c>
      <c r="AK92" s="195">
        <v>3286</v>
      </c>
      <c r="AL92" s="195">
        <v>1.0290994580743302</v>
      </c>
      <c r="AM92" s="195">
        <v>177</v>
      </c>
      <c r="AN92" s="195">
        <v>0.027729907566974778</v>
      </c>
      <c r="AO92" s="195">
        <v>0.02376165359872081</v>
      </c>
      <c r="AP92" s="195">
        <v>0</v>
      </c>
      <c r="AQ92" s="195">
        <v>22</v>
      </c>
      <c r="AR92" s="195">
        <v>17</v>
      </c>
      <c r="AS92" s="195">
        <v>0</v>
      </c>
      <c r="AT92" s="195">
        <v>0</v>
      </c>
      <c r="AU92" s="195">
        <v>8094.25</v>
      </c>
      <c r="AV92" s="195">
        <v>0.7885844889890972</v>
      </c>
      <c r="AW92" s="195">
        <v>22.959258471606674</v>
      </c>
      <c r="AX92" s="195">
        <v>278</v>
      </c>
      <c r="AY92" s="195">
        <v>2093</v>
      </c>
      <c r="AZ92" s="195">
        <v>0.13282369804108934</v>
      </c>
      <c r="BA92" s="195">
        <v>0.06780089783842087</v>
      </c>
      <c r="BB92" s="195">
        <v>1.56535</v>
      </c>
      <c r="BC92" s="195">
        <v>3222</v>
      </c>
      <c r="BD92" s="195">
        <v>2889</v>
      </c>
      <c r="BE92" s="195">
        <v>1.115264797507788</v>
      </c>
      <c r="BF92" s="195">
        <v>0.684323279465482</v>
      </c>
      <c r="BG92" s="195">
        <v>0</v>
      </c>
      <c r="BH92" s="195">
        <v>17</v>
      </c>
      <c r="BI92" s="195">
        <v>0</v>
      </c>
      <c r="BJ92" s="195">
        <v>-1531.9199999999998</v>
      </c>
      <c r="BK92" s="195">
        <v>-26170.3</v>
      </c>
      <c r="BL92" s="195">
        <v>-1787.2400000000002</v>
      </c>
      <c r="BM92" s="195">
        <v>-9127.69</v>
      </c>
      <c r="BN92" s="195">
        <v>-255.32</v>
      </c>
      <c r="BO92" s="195">
        <v>76130</v>
      </c>
      <c r="BP92" s="195">
        <v>-147561.99577875345</v>
      </c>
      <c r="BQ92" s="195">
        <v>-545555.01</v>
      </c>
      <c r="BR92" s="195">
        <v>194464.53024873324</v>
      </c>
      <c r="BS92" s="195">
        <v>488612</v>
      </c>
      <c r="BT92" s="195">
        <v>183601</v>
      </c>
      <c r="BU92" s="195">
        <v>457147.0414309</v>
      </c>
      <c r="BV92" s="195">
        <v>22043.779874781118</v>
      </c>
      <c r="BW92" s="195">
        <v>46606.32555192929</v>
      </c>
      <c r="BX92" s="195">
        <v>166777.0942967512</v>
      </c>
      <c r="BY92" s="195">
        <v>428469.15121476783</v>
      </c>
      <c r="BZ92" s="195">
        <v>556199.9498196029</v>
      </c>
      <c r="CA92" s="195">
        <v>217170.80129531355</v>
      </c>
      <c r="CB92" s="195">
        <v>574.47</v>
      </c>
      <c r="CC92" s="195">
        <v>-86801.59332512844</v>
      </c>
      <c r="CD92" s="195">
        <v>2751377.530407651</v>
      </c>
      <c r="CE92" s="195">
        <v>1831089.5546288975</v>
      </c>
      <c r="CF92" s="195">
        <v>0</v>
      </c>
      <c r="CG92" s="229">
        <v>948929.5943229606</v>
      </c>
      <c r="CH92" s="195">
        <v>251739</v>
      </c>
      <c r="CI92" s="195">
        <v>46995.8615</v>
      </c>
      <c r="CJ92" s="195">
        <v>20976343.283857483</v>
      </c>
      <c r="CL92" s="195">
        <v>6416</v>
      </c>
    </row>
    <row r="93" spans="1:90" ht="9.75">
      <c r="A93" s="195">
        <v>263</v>
      </c>
      <c r="B93" s="195" t="s">
        <v>161</v>
      </c>
      <c r="C93" s="195">
        <v>8444</v>
      </c>
      <c r="D93" s="195">
        <v>31134994.47</v>
      </c>
      <c r="E93" s="195">
        <v>15658346.603986088</v>
      </c>
      <c r="F93" s="195">
        <v>2132940.999607519</v>
      </c>
      <c r="G93" s="195">
        <v>48926282.0735936</v>
      </c>
      <c r="H93" s="195">
        <v>3540.31</v>
      </c>
      <c r="I93" s="195">
        <v>29894377.64</v>
      </c>
      <c r="J93" s="195">
        <v>19031904.4335936</v>
      </c>
      <c r="K93" s="195">
        <v>763696.5928273747</v>
      </c>
      <c r="L93" s="195">
        <v>3016983.963080228</v>
      </c>
      <c r="M93" s="195">
        <v>0</v>
      </c>
      <c r="N93" s="195">
        <v>22812584.989501204</v>
      </c>
      <c r="O93" s="195">
        <v>8244264.042012528</v>
      </c>
      <c r="P93" s="195">
        <v>31056849.031513732</v>
      </c>
      <c r="Q93" s="195">
        <v>471</v>
      </c>
      <c r="R93" s="195">
        <v>82</v>
      </c>
      <c r="S93" s="195">
        <v>533</v>
      </c>
      <c r="T93" s="195">
        <v>262</v>
      </c>
      <c r="U93" s="195">
        <v>286</v>
      </c>
      <c r="V93" s="195">
        <v>4454</v>
      </c>
      <c r="W93" s="195">
        <v>1238</v>
      </c>
      <c r="X93" s="195">
        <v>742</v>
      </c>
      <c r="Y93" s="195">
        <v>376</v>
      </c>
      <c r="Z93" s="195">
        <v>2</v>
      </c>
      <c r="AA93" s="195">
        <v>0</v>
      </c>
      <c r="AB93" s="195">
        <v>8353</v>
      </c>
      <c r="AC93" s="195">
        <v>89</v>
      </c>
      <c r="AD93" s="195">
        <v>2356</v>
      </c>
      <c r="AE93" s="195">
        <v>1.63254523895476</v>
      </c>
      <c r="AF93" s="195">
        <v>15658346.603986088</v>
      </c>
      <c r="AG93" s="195">
        <v>9306051.70113302</v>
      </c>
      <c r="AH93" s="195">
        <v>2420888.2208475606</v>
      </c>
      <c r="AI93" s="195">
        <v>793803.5133833092</v>
      </c>
      <c r="AJ93" s="195">
        <v>548</v>
      </c>
      <c r="AK93" s="195">
        <v>3635</v>
      </c>
      <c r="AL93" s="195">
        <v>1.1354152182531703</v>
      </c>
      <c r="AM93" s="195">
        <v>89</v>
      </c>
      <c r="AN93" s="195">
        <v>0.010540028422548555</v>
      </c>
      <c r="AO93" s="195">
        <v>0.006571774454294587</v>
      </c>
      <c r="AP93" s="195">
        <v>0</v>
      </c>
      <c r="AQ93" s="195">
        <v>2</v>
      </c>
      <c r="AR93" s="195">
        <v>0</v>
      </c>
      <c r="AS93" s="195">
        <v>0</v>
      </c>
      <c r="AT93" s="195">
        <v>0</v>
      </c>
      <c r="AU93" s="195">
        <v>1328.13</v>
      </c>
      <c r="AV93" s="195">
        <v>6.357811358827825</v>
      </c>
      <c r="AW93" s="195">
        <v>2.8477276357470576</v>
      </c>
      <c r="AX93" s="195">
        <v>326</v>
      </c>
      <c r="AY93" s="195">
        <v>2286</v>
      </c>
      <c r="AZ93" s="195">
        <v>0.1426071741032371</v>
      </c>
      <c r="BA93" s="195">
        <v>0.07758437390056862</v>
      </c>
      <c r="BB93" s="195">
        <v>0.293066</v>
      </c>
      <c r="BC93" s="195">
        <v>2724</v>
      </c>
      <c r="BD93" s="195">
        <v>3032</v>
      </c>
      <c r="BE93" s="195">
        <v>0.8984168865435356</v>
      </c>
      <c r="BF93" s="195">
        <v>0.4674753685012295</v>
      </c>
      <c r="BG93" s="195">
        <v>0</v>
      </c>
      <c r="BH93" s="195">
        <v>0</v>
      </c>
      <c r="BI93" s="195">
        <v>0</v>
      </c>
      <c r="BJ93" s="195">
        <v>-2026.56</v>
      </c>
      <c r="BK93" s="195">
        <v>-34620.399999999994</v>
      </c>
      <c r="BL93" s="195">
        <v>-2364.32</v>
      </c>
      <c r="BM93" s="195">
        <v>-12074.92</v>
      </c>
      <c r="BN93" s="195">
        <v>-337.76</v>
      </c>
      <c r="BO93" s="195">
        <v>232429</v>
      </c>
      <c r="BP93" s="195">
        <v>-235098.77293564111</v>
      </c>
      <c r="BQ93" s="195">
        <v>-721708.6799999999</v>
      </c>
      <c r="BR93" s="195">
        <v>168045.4978406094</v>
      </c>
      <c r="BS93" s="195">
        <v>894473</v>
      </c>
      <c r="BT93" s="195">
        <v>268110</v>
      </c>
      <c r="BU93" s="195">
        <v>682456.22900401</v>
      </c>
      <c r="BV93" s="195">
        <v>33966.257956521804</v>
      </c>
      <c r="BW93" s="195">
        <v>110226.00985128019</v>
      </c>
      <c r="BX93" s="195">
        <v>363392.41017846076</v>
      </c>
      <c r="BY93" s="195">
        <v>470200.3889638611</v>
      </c>
      <c r="BZ93" s="195">
        <v>789309.2936602538</v>
      </c>
      <c r="CA93" s="195">
        <v>217568.08730886085</v>
      </c>
      <c r="CB93" s="195">
        <v>759.9599999999999</v>
      </c>
      <c r="CC93" s="195">
        <v>42870.60125201153</v>
      </c>
      <c r="CD93" s="195">
        <v>4274313.376015869</v>
      </c>
      <c r="CE93" s="195">
        <v>3016983.963080228</v>
      </c>
      <c r="CF93" s="195">
        <v>0</v>
      </c>
      <c r="CG93" s="229">
        <v>8244264.042012528</v>
      </c>
      <c r="CH93" s="195">
        <v>-580799</v>
      </c>
      <c r="CI93" s="195">
        <v>96155.74880000003</v>
      </c>
      <c r="CJ93" s="195">
        <v>30476050.031513732</v>
      </c>
      <c r="CL93" s="195">
        <v>8600</v>
      </c>
    </row>
    <row r="94" spans="1:90" ht="9.75">
      <c r="A94" s="195">
        <v>265</v>
      </c>
      <c r="B94" s="195" t="s">
        <v>162</v>
      </c>
      <c r="C94" s="195">
        <v>1161</v>
      </c>
      <c r="D94" s="195">
        <v>4182466.4800000004</v>
      </c>
      <c r="E94" s="195">
        <v>2213443.08182412</v>
      </c>
      <c r="F94" s="195">
        <v>571604.7036530325</v>
      </c>
      <c r="G94" s="195">
        <v>6967514.2654771535</v>
      </c>
      <c r="H94" s="195">
        <v>3540.31</v>
      </c>
      <c r="I94" s="195">
        <v>4110299.91</v>
      </c>
      <c r="J94" s="195">
        <v>2857214.3554771533</v>
      </c>
      <c r="K94" s="195">
        <v>458371.2239388149</v>
      </c>
      <c r="L94" s="195">
        <v>397666.0457983488</v>
      </c>
      <c r="M94" s="195">
        <v>203813.9047730425</v>
      </c>
      <c r="N94" s="195">
        <v>3917065.5299873594</v>
      </c>
      <c r="O94" s="195">
        <v>1168208.329135238</v>
      </c>
      <c r="P94" s="195">
        <v>5085273.859122598</v>
      </c>
      <c r="Q94" s="195">
        <v>48</v>
      </c>
      <c r="R94" s="195">
        <v>9</v>
      </c>
      <c r="S94" s="195">
        <v>72</v>
      </c>
      <c r="T94" s="195">
        <v>28</v>
      </c>
      <c r="U94" s="195">
        <v>29</v>
      </c>
      <c r="V94" s="195">
        <v>565</v>
      </c>
      <c r="W94" s="195">
        <v>215</v>
      </c>
      <c r="X94" s="195">
        <v>148</v>
      </c>
      <c r="Y94" s="195">
        <v>47</v>
      </c>
      <c r="Z94" s="195">
        <v>0</v>
      </c>
      <c r="AA94" s="195">
        <v>0</v>
      </c>
      <c r="AB94" s="195">
        <v>1147</v>
      </c>
      <c r="AC94" s="195">
        <v>14</v>
      </c>
      <c r="AD94" s="195">
        <v>410</v>
      </c>
      <c r="AE94" s="195">
        <v>1.6784317496872279</v>
      </c>
      <c r="AF94" s="195">
        <v>2213443.08182412</v>
      </c>
      <c r="AG94" s="195">
        <v>17879949.582312882</v>
      </c>
      <c r="AH94" s="195">
        <v>5274466.05916984</v>
      </c>
      <c r="AI94" s="195">
        <v>1819504.6823617427</v>
      </c>
      <c r="AJ94" s="195">
        <v>80</v>
      </c>
      <c r="AK94" s="195">
        <v>452</v>
      </c>
      <c r="AL94" s="195">
        <v>1.3329999090337425</v>
      </c>
      <c r="AM94" s="195">
        <v>14</v>
      </c>
      <c r="AN94" s="195">
        <v>0.012058570198105082</v>
      </c>
      <c r="AO94" s="195">
        <v>0.008090316229851114</v>
      </c>
      <c r="AP94" s="195">
        <v>0</v>
      </c>
      <c r="AQ94" s="195">
        <v>0</v>
      </c>
      <c r="AR94" s="195">
        <v>0</v>
      </c>
      <c r="AS94" s="195">
        <v>3</v>
      </c>
      <c r="AT94" s="195">
        <v>102</v>
      </c>
      <c r="AU94" s="195">
        <v>483.94</v>
      </c>
      <c r="AV94" s="195">
        <v>2.399057734429888</v>
      </c>
      <c r="AW94" s="195">
        <v>7.5468442670484945</v>
      </c>
      <c r="AX94" s="195">
        <v>47</v>
      </c>
      <c r="AY94" s="195">
        <v>261</v>
      </c>
      <c r="AZ94" s="195">
        <v>0.18007662835249041</v>
      </c>
      <c r="BA94" s="195">
        <v>0.11505382814982194</v>
      </c>
      <c r="BB94" s="195">
        <v>1.185383</v>
      </c>
      <c r="BC94" s="195">
        <v>299</v>
      </c>
      <c r="BD94" s="195">
        <v>361</v>
      </c>
      <c r="BE94" s="195">
        <v>0.8282548476454293</v>
      </c>
      <c r="BF94" s="195">
        <v>0.39731332960312327</v>
      </c>
      <c r="BG94" s="195">
        <v>0</v>
      </c>
      <c r="BH94" s="195">
        <v>0</v>
      </c>
      <c r="BI94" s="195">
        <v>0</v>
      </c>
      <c r="BJ94" s="195">
        <v>-278.64</v>
      </c>
      <c r="BK94" s="195">
        <v>-4760.099999999999</v>
      </c>
      <c r="BL94" s="195">
        <v>-325.08000000000004</v>
      </c>
      <c r="BM94" s="195">
        <v>-1660.23</v>
      </c>
      <c r="BN94" s="195">
        <v>-46.44</v>
      </c>
      <c r="BO94" s="195">
        <v>43455</v>
      </c>
      <c r="BP94" s="195">
        <v>-65027.320173687964</v>
      </c>
      <c r="BQ94" s="195">
        <v>-99230.67</v>
      </c>
      <c r="BR94" s="195">
        <v>8762.558215379715</v>
      </c>
      <c r="BS94" s="195">
        <v>130215</v>
      </c>
      <c r="BT94" s="195">
        <v>39878</v>
      </c>
      <c r="BU94" s="195">
        <v>113824.44832960851</v>
      </c>
      <c r="BV94" s="195">
        <v>7034.246968550097</v>
      </c>
      <c r="BW94" s="195">
        <v>18972.256087466867</v>
      </c>
      <c r="BX94" s="195">
        <v>56149.43615035633</v>
      </c>
      <c r="BY94" s="195">
        <v>64664.56799765929</v>
      </c>
      <c r="BZ94" s="195">
        <v>103518.21061302294</v>
      </c>
      <c r="CA94" s="195">
        <v>25253.144610346724</v>
      </c>
      <c r="CB94" s="195">
        <v>104.49</v>
      </c>
      <c r="CC94" s="195">
        <v>-8656.993000353701</v>
      </c>
      <c r="CD94" s="195">
        <v>603244.0259720368</v>
      </c>
      <c r="CE94" s="195">
        <v>397666.0457983488</v>
      </c>
      <c r="CF94" s="195">
        <v>203813.9047730425</v>
      </c>
      <c r="CG94" s="229">
        <v>1168208.329135238</v>
      </c>
      <c r="CH94" s="195">
        <v>-282462</v>
      </c>
      <c r="CI94" s="195">
        <v>-44388.6015</v>
      </c>
      <c r="CJ94" s="195">
        <v>4802811.859122598</v>
      </c>
      <c r="CL94" s="195">
        <v>1200</v>
      </c>
    </row>
    <row r="95" spans="1:90" ht="9.75">
      <c r="A95" s="195">
        <v>271</v>
      </c>
      <c r="B95" s="195" t="s">
        <v>163</v>
      </c>
      <c r="C95" s="195">
        <v>7498</v>
      </c>
      <c r="D95" s="195">
        <v>26383687.990000002</v>
      </c>
      <c r="E95" s="195">
        <v>9708184.328989878</v>
      </c>
      <c r="F95" s="195">
        <v>1598032.6310211255</v>
      </c>
      <c r="G95" s="195">
        <v>37689904.95001101</v>
      </c>
      <c r="H95" s="195">
        <v>3540.31</v>
      </c>
      <c r="I95" s="195">
        <v>26545244.38</v>
      </c>
      <c r="J95" s="195">
        <v>11144660.570011009</v>
      </c>
      <c r="K95" s="195">
        <v>211368.26903633357</v>
      </c>
      <c r="L95" s="195">
        <v>2008371.0496103875</v>
      </c>
      <c r="M95" s="195">
        <v>0</v>
      </c>
      <c r="N95" s="195">
        <v>13364399.88865773</v>
      </c>
      <c r="O95" s="195">
        <v>4444271.960527058</v>
      </c>
      <c r="P95" s="195">
        <v>17808671.84918479</v>
      </c>
      <c r="Q95" s="195">
        <v>356</v>
      </c>
      <c r="R95" s="195">
        <v>75</v>
      </c>
      <c r="S95" s="195">
        <v>461</v>
      </c>
      <c r="T95" s="195">
        <v>218</v>
      </c>
      <c r="U95" s="195">
        <v>230</v>
      </c>
      <c r="V95" s="195">
        <v>4024</v>
      </c>
      <c r="W95" s="195">
        <v>1156</v>
      </c>
      <c r="X95" s="195">
        <v>682</v>
      </c>
      <c r="Y95" s="195">
        <v>296</v>
      </c>
      <c r="Z95" s="195">
        <v>13</v>
      </c>
      <c r="AA95" s="195">
        <v>0</v>
      </c>
      <c r="AB95" s="195">
        <v>7288</v>
      </c>
      <c r="AC95" s="195">
        <v>197</v>
      </c>
      <c r="AD95" s="195">
        <v>2134</v>
      </c>
      <c r="AE95" s="195">
        <v>1.1398826012945258</v>
      </c>
      <c r="AF95" s="195">
        <v>9708184.328989878</v>
      </c>
      <c r="AG95" s="195">
        <v>3063515.281927671</v>
      </c>
      <c r="AH95" s="195">
        <v>632732.1486306122</v>
      </c>
      <c r="AI95" s="195">
        <v>222978.51499531162</v>
      </c>
      <c r="AJ95" s="195">
        <v>443</v>
      </c>
      <c r="AK95" s="195">
        <v>3426</v>
      </c>
      <c r="AL95" s="195">
        <v>0.973856427996499</v>
      </c>
      <c r="AM95" s="195">
        <v>197</v>
      </c>
      <c r="AN95" s="195">
        <v>0.02627367297946119</v>
      </c>
      <c r="AO95" s="195">
        <v>0.022305419011207223</v>
      </c>
      <c r="AP95" s="195">
        <v>0</v>
      </c>
      <c r="AQ95" s="195">
        <v>13</v>
      </c>
      <c r="AR95" s="195">
        <v>0</v>
      </c>
      <c r="AS95" s="195">
        <v>0</v>
      </c>
      <c r="AT95" s="195">
        <v>0</v>
      </c>
      <c r="AU95" s="195">
        <v>480.35</v>
      </c>
      <c r="AV95" s="195">
        <v>15.609451441657125</v>
      </c>
      <c r="AW95" s="195">
        <v>1.1598943868765743</v>
      </c>
      <c r="AX95" s="195">
        <v>364</v>
      </c>
      <c r="AY95" s="195">
        <v>2177</v>
      </c>
      <c r="AZ95" s="195">
        <v>0.16720257234726688</v>
      </c>
      <c r="BA95" s="195">
        <v>0.1021797721445984</v>
      </c>
      <c r="BB95" s="195">
        <v>0</v>
      </c>
      <c r="BC95" s="195">
        <v>2553</v>
      </c>
      <c r="BD95" s="195">
        <v>2909</v>
      </c>
      <c r="BE95" s="195">
        <v>0.8776211756617395</v>
      </c>
      <c r="BF95" s="195">
        <v>0.4466796576194334</v>
      </c>
      <c r="BG95" s="195">
        <v>0</v>
      </c>
      <c r="BH95" s="195">
        <v>0</v>
      </c>
      <c r="BI95" s="195">
        <v>0</v>
      </c>
      <c r="BJ95" s="195">
        <v>-1799.52</v>
      </c>
      <c r="BK95" s="195">
        <v>-30741.799999999996</v>
      </c>
      <c r="BL95" s="195">
        <v>-2099.44</v>
      </c>
      <c r="BM95" s="195">
        <v>-10722.14</v>
      </c>
      <c r="BN95" s="195">
        <v>-299.92</v>
      </c>
      <c r="BO95" s="195">
        <v>41830</v>
      </c>
      <c r="BP95" s="195">
        <v>-219092.04796981023</v>
      </c>
      <c r="BQ95" s="195">
        <v>-640854.0599999999</v>
      </c>
      <c r="BR95" s="195">
        <v>-17435.946478638798</v>
      </c>
      <c r="BS95" s="195">
        <v>687986</v>
      </c>
      <c r="BT95" s="195">
        <v>217878</v>
      </c>
      <c r="BU95" s="195">
        <v>550817.7150644845</v>
      </c>
      <c r="BV95" s="195">
        <v>28134.764337881366</v>
      </c>
      <c r="BW95" s="195">
        <v>78832.71425176546</v>
      </c>
      <c r="BX95" s="195">
        <v>250297.46366490252</v>
      </c>
      <c r="BY95" s="195">
        <v>386403.0682414612</v>
      </c>
      <c r="BZ95" s="195">
        <v>667130.2318773058</v>
      </c>
      <c r="CA95" s="195">
        <v>212628.1966088823</v>
      </c>
      <c r="CB95" s="195">
        <v>674.8199999999999</v>
      </c>
      <c r="CC95" s="195">
        <v>29544.070012153243</v>
      </c>
      <c r="CD95" s="195">
        <v>3135170.9775801976</v>
      </c>
      <c r="CE95" s="195">
        <v>2008371.0496103875</v>
      </c>
      <c r="CF95" s="195">
        <v>0</v>
      </c>
      <c r="CG95" s="229">
        <v>4444271.960527058</v>
      </c>
      <c r="CH95" s="195">
        <v>-462470</v>
      </c>
      <c r="CI95" s="195">
        <v>159173.2229999999</v>
      </c>
      <c r="CJ95" s="195">
        <v>17346201.84918479</v>
      </c>
      <c r="CL95" s="195">
        <v>7591</v>
      </c>
    </row>
    <row r="96" spans="1:90" ht="9.75">
      <c r="A96" s="195">
        <v>272</v>
      </c>
      <c r="B96" s="195" t="s">
        <v>164</v>
      </c>
      <c r="C96" s="195">
        <v>47723</v>
      </c>
      <c r="D96" s="195">
        <v>167843289.97</v>
      </c>
      <c r="E96" s="195">
        <v>53297196.78624011</v>
      </c>
      <c r="F96" s="195">
        <v>10362407.63163761</v>
      </c>
      <c r="G96" s="195">
        <v>231502894.3878777</v>
      </c>
      <c r="H96" s="195">
        <v>3540.31</v>
      </c>
      <c r="I96" s="195">
        <v>168954214.13</v>
      </c>
      <c r="J96" s="195">
        <v>62548680.25787771</v>
      </c>
      <c r="K96" s="195">
        <v>1816787.67885202</v>
      </c>
      <c r="L96" s="195">
        <v>10292594.666844357</v>
      </c>
      <c r="M96" s="195">
        <v>0</v>
      </c>
      <c r="N96" s="195">
        <v>74658062.60357408</v>
      </c>
      <c r="O96" s="195">
        <v>14749475.242641877</v>
      </c>
      <c r="P96" s="195">
        <v>89407537.84621596</v>
      </c>
      <c r="Q96" s="195">
        <v>3621</v>
      </c>
      <c r="R96" s="195">
        <v>626</v>
      </c>
      <c r="S96" s="195">
        <v>3666</v>
      </c>
      <c r="T96" s="195">
        <v>1726</v>
      </c>
      <c r="U96" s="195">
        <v>1695</v>
      </c>
      <c r="V96" s="195">
        <v>26489</v>
      </c>
      <c r="W96" s="195">
        <v>5706</v>
      </c>
      <c r="X96" s="195">
        <v>3001</v>
      </c>
      <c r="Y96" s="195">
        <v>1193</v>
      </c>
      <c r="Z96" s="195">
        <v>6039</v>
      </c>
      <c r="AA96" s="195">
        <v>0</v>
      </c>
      <c r="AB96" s="195">
        <v>40073</v>
      </c>
      <c r="AC96" s="195">
        <v>1611</v>
      </c>
      <c r="AD96" s="195">
        <v>9900</v>
      </c>
      <c r="AE96" s="195">
        <v>0.9832052252279316</v>
      </c>
      <c r="AF96" s="195">
        <v>53297196.78624011</v>
      </c>
      <c r="AG96" s="195">
        <v>12705478.891339745</v>
      </c>
      <c r="AH96" s="195">
        <v>2497229.673503356</v>
      </c>
      <c r="AI96" s="195">
        <v>1364628.511771307</v>
      </c>
      <c r="AJ96" s="195">
        <v>2444</v>
      </c>
      <c r="AK96" s="195">
        <v>21894</v>
      </c>
      <c r="AL96" s="195">
        <v>0.8407263425542768</v>
      </c>
      <c r="AM96" s="195">
        <v>1611</v>
      </c>
      <c r="AN96" s="195">
        <v>0.03375730779707898</v>
      </c>
      <c r="AO96" s="195">
        <v>0.02978905382882501</v>
      </c>
      <c r="AP96" s="195">
        <v>1</v>
      </c>
      <c r="AQ96" s="195">
        <v>6039</v>
      </c>
      <c r="AR96" s="195">
        <v>0</v>
      </c>
      <c r="AS96" s="195">
        <v>0</v>
      </c>
      <c r="AT96" s="195">
        <v>0</v>
      </c>
      <c r="AU96" s="195">
        <v>1445.01</v>
      </c>
      <c r="AV96" s="195">
        <v>33.02606902374378</v>
      </c>
      <c r="AW96" s="195">
        <v>0.5482128404801645</v>
      </c>
      <c r="AX96" s="195">
        <v>1434</v>
      </c>
      <c r="AY96" s="195">
        <v>14283</v>
      </c>
      <c r="AZ96" s="195">
        <v>0.10039907582440663</v>
      </c>
      <c r="BA96" s="195">
        <v>0.03537627562173816</v>
      </c>
      <c r="BB96" s="195">
        <v>0</v>
      </c>
      <c r="BC96" s="195">
        <v>19978</v>
      </c>
      <c r="BD96" s="195">
        <v>19318</v>
      </c>
      <c r="BE96" s="195">
        <v>1.0341650274355523</v>
      </c>
      <c r="BF96" s="195">
        <v>0.6032235093932462</v>
      </c>
      <c r="BG96" s="195">
        <v>0</v>
      </c>
      <c r="BH96" s="195">
        <v>0</v>
      </c>
      <c r="BI96" s="195">
        <v>0</v>
      </c>
      <c r="BJ96" s="195">
        <v>-11453.52</v>
      </c>
      <c r="BK96" s="195">
        <v>-195664.3</v>
      </c>
      <c r="BL96" s="195">
        <v>-13362.44</v>
      </c>
      <c r="BM96" s="195">
        <v>-68243.89</v>
      </c>
      <c r="BN96" s="195">
        <v>-1908.92</v>
      </c>
      <c r="BO96" s="195">
        <v>1459983</v>
      </c>
      <c r="BP96" s="195">
        <v>-1333560.2737157857</v>
      </c>
      <c r="BQ96" s="195">
        <v>-4078884.81</v>
      </c>
      <c r="BR96" s="195">
        <v>193897.22869046032</v>
      </c>
      <c r="BS96" s="195">
        <v>3497904</v>
      </c>
      <c r="BT96" s="195">
        <v>1150390</v>
      </c>
      <c r="BU96" s="195">
        <v>2560170.552761876</v>
      </c>
      <c r="BV96" s="195">
        <v>94908.11118518931</v>
      </c>
      <c r="BW96" s="195">
        <v>213758.12329429368</v>
      </c>
      <c r="BX96" s="195">
        <v>1350195.8835155452</v>
      </c>
      <c r="BY96" s="195">
        <v>2318477.82601972</v>
      </c>
      <c r="BZ96" s="195">
        <v>3666399.002961733</v>
      </c>
      <c r="CA96" s="195">
        <v>1085924.9165690157</v>
      </c>
      <c r="CB96" s="195">
        <v>4295.07</v>
      </c>
      <c r="CC96" s="195">
        <v>-195665.7744376876</v>
      </c>
      <c r="CD96" s="195">
        <v>17403501.320560142</v>
      </c>
      <c r="CE96" s="195">
        <v>10292594.666844357</v>
      </c>
      <c r="CF96" s="195">
        <v>0</v>
      </c>
      <c r="CG96" s="229">
        <v>14749475.242641877</v>
      </c>
      <c r="CH96" s="195">
        <v>-2376843</v>
      </c>
      <c r="CI96" s="195">
        <v>-156552.92670000007</v>
      </c>
      <c r="CJ96" s="195">
        <v>87030694.84621596</v>
      </c>
      <c r="CL96" s="195">
        <v>47570</v>
      </c>
    </row>
    <row r="97" spans="1:90" ht="9.75">
      <c r="A97" s="195">
        <v>273</v>
      </c>
      <c r="B97" s="195" t="s">
        <v>165</v>
      </c>
      <c r="C97" s="195">
        <v>3827</v>
      </c>
      <c r="D97" s="195">
        <v>12053540.780000001</v>
      </c>
      <c r="E97" s="195">
        <v>5144144.845157013</v>
      </c>
      <c r="F97" s="195">
        <v>2435370.694569201</v>
      </c>
      <c r="G97" s="195">
        <v>19633056.319726214</v>
      </c>
      <c r="H97" s="195">
        <v>3540.31</v>
      </c>
      <c r="I97" s="195">
        <v>13548766.37</v>
      </c>
      <c r="J97" s="195">
        <v>6084289.949726215</v>
      </c>
      <c r="K97" s="195">
        <v>4219015.172993078</v>
      </c>
      <c r="L97" s="195">
        <v>1175767.251265136</v>
      </c>
      <c r="M97" s="195">
        <v>0</v>
      </c>
      <c r="N97" s="195">
        <v>11479072.373984428</v>
      </c>
      <c r="O97" s="195">
        <v>2959422.3972639986</v>
      </c>
      <c r="P97" s="195">
        <v>14438494.771248426</v>
      </c>
      <c r="Q97" s="195">
        <v>226</v>
      </c>
      <c r="R97" s="195">
        <v>33</v>
      </c>
      <c r="S97" s="195">
        <v>223</v>
      </c>
      <c r="T97" s="195">
        <v>79</v>
      </c>
      <c r="U97" s="195">
        <v>85</v>
      </c>
      <c r="V97" s="195">
        <v>2197</v>
      </c>
      <c r="W97" s="195">
        <v>559</v>
      </c>
      <c r="X97" s="195">
        <v>332</v>
      </c>
      <c r="Y97" s="195">
        <v>93</v>
      </c>
      <c r="Z97" s="195">
        <v>26</v>
      </c>
      <c r="AA97" s="195">
        <v>2</v>
      </c>
      <c r="AB97" s="195">
        <v>3747</v>
      </c>
      <c r="AC97" s="195">
        <v>52</v>
      </c>
      <c r="AD97" s="195">
        <v>984</v>
      </c>
      <c r="AE97" s="195">
        <v>1.1833746826077898</v>
      </c>
      <c r="AF97" s="195">
        <v>5144144.845157013</v>
      </c>
      <c r="AG97" s="195">
        <v>66190009.2669968</v>
      </c>
      <c r="AH97" s="195">
        <v>15792152.145478377</v>
      </c>
      <c r="AI97" s="195">
        <v>7242342.16704772</v>
      </c>
      <c r="AJ97" s="195">
        <v>316</v>
      </c>
      <c r="AK97" s="195">
        <v>1829</v>
      </c>
      <c r="AL97" s="195">
        <v>1.3012236400157704</v>
      </c>
      <c r="AM97" s="195">
        <v>52</v>
      </c>
      <c r="AN97" s="195">
        <v>0.01358766657956624</v>
      </c>
      <c r="AO97" s="195">
        <v>0.009619412611312272</v>
      </c>
      <c r="AP97" s="195">
        <v>0</v>
      </c>
      <c r="AQ97" s="195">
        <v>26</v>
      </c>
      <c r="AR97" s="195">
        <v>2</v>
      </c>
      <c r="AS97" s="195">
        <v>0</v>
      </c>
      <c r="AT97" s="195">
        <v>0</v>
      </c>
      <c r="AU97" s="195">
        <v>2559.03</v>
      </c>
      <c r="AV97" s="195">
        <v>1.4954885249489063</v>
      </c>
      <c r="AW97" s="195">
        <v>12.106622556678676</v>
      </c>
      <c r="AX97" s="195">
        <v>180</v>
      </c>
      <c r="AY97" s="195">
        <v>1116</v>
      </c>
      <c r="AZ97" s="195">
        <v>0.16129032258064516</v>
      </c>
      <c r="BA97" s="195">
        <v>0.09626752237797669</v>
      </c>
      <c r="BB97" s="195">
        <v>1.713932</v>
      </c>
      <c r="BC97" s="195">
        <v>1452</v>
      </c>
      <c r="BD97" s="195">
        <v>1516</v>
      </c>
      <c r="BE97" s="195">
        <v>0.9577836411609498</v>
      </c>
      <c r="BF97" s="195">
        <v>0.5268421231186438</v>
      </c>
      <c r="BG97" s="195">
        <v>0</v>
      </c>
      <c r="BH97" s="195">
        <v>2</v>
      </c>
      <c r="BI97" s="195">
        <v>0</v>
      </c>
      <c r="BJ97" s="195">
        <v>-918.48</v>
      </c>
      <c r="BK97" s="195">
        <v>-15690.699999999999</v>
      </c>
      <c r="BL97" s="195">
        <v>-1071.5600000000002</v>
      </c>
      <c r="BM97" s="195">
        <v>-5472.61</v>
      </c>
      <c r="BN97" s="195">
        <v>-153.08</v>
      </c>
      <c r="BO97" s="195">
        <v>-16074</v>
      </c>
      <c r="BP97" s="195">
        <v>-106544.76305381182</v>
      </c>
      <c r="BQ97" s="195">
        <v>-327093.69</v>
      </c>
      <c r="BR97" s="195">
        <v>159790.83063413762</v>
      </c>
      <c r="BS97" s="195">
        <v>309744</v>
      </c>
      <c r="BT97" s="195">
        <v>129398</v>
      </c>
      <c r="BU97" s="195">
        <v>320372.58274171664</v>
      </c>
      <c r="BV97" s="195">
        <v>19615.74455248039</v>
      </c>
      <c r="BW97" s="195">
        <v>-4306.018548181757</v>
      </c>
      <c r="BX97" s="195">
        <v>105900.97151327858</v>
      </c>
      <c r="BY97" s="195">
        <v>256747.6903397223</v>
      </c>
      <c r="BZ97" s="195">
        <v>335575.45699918334</v>
      </c>
      <c r="CA97" s="195">
        <v>124301.45512926232</v>
      </c>
      <c r="CB97" s="195">
        <v>344.43</v>
      </c>
      <c r="CC97" s="195">
        <v>3967.8709573483357</v>
      </c>
      <c r="CD97" s="195">
        <v>1745608.6343189478</v>
      </c>
      <c r="CE97" s="195">
        <v>1175767.251265136</v>
      </c>
      <c r="CF97" s="195">
        <v>0</v>
      </c>
      <c r="CG97" s="229">
        <v>2959422.3972639986</v>
      </c>
      <c r="CH97" s="195">
        <v>-20465</v>
      </c>
      <c r="CI97" s="195">
        <v>122867.12749999999</v>
      </c>
      <c r="CJ97" s="195">
        <v>14418029.771248426</v>
      </c>
      <c r="CL97" s="195">
        <v>3848</v>
      </c>
    </row>
    <row r="98" spans="1:90" ht="9.75">
      <c r="A98" s="195">
        <v>275</v>
      </c>
      <c r="B98" s="195" t="s">
        <v>166</v>
      </c>
      <c r="C98" s="195">
        <v>2753</v>
      </c>
      <c r="D98" s="195">
        <v>10053381.96</v>
      </c>
      <c r="E98" s="195">
        <v>4009375.3036831454</v>
      </c>
      <c r="F98" s="195">
        <v>734256.2049302689</v>
      </c>
      <c r="G98" s="195">
        <v>14797013.468613414</v>
      </c>
      <c r="H98" s="195">
        <v>3540.31</v>
      </c>
      <c r="I98" s="195">
        <v>9746473.43</v>
      </c>
      <c r="J98" s="195">
        <v>5050540.038613414</v>
      </c>
      <c r="K98" s="195">
        <v>223109.2236835469</v>
      </c>
      <c r="L98" s="195">
        <v>1095655.5655830372</v>
      </c>
      <c r="M98" s="195">
        <v>114466.94926852922</v>
      </c>
      <c r="N98" s="195">
        <v>6483771.777148528</v>
      </c>
      <c r="O98" s="195">
        <v>2310385.722377675</v>
      </c>
      <c r="P98" s="195">
        <v>8794157.499526203</v>
      </c>
      <c r="Q98" s="195">
        <v>119</v>
      </c>
      <c r="R98" s="195">
        <v>28</v>
      </c>
      <c r="S98" s="195">
        <v>176</v>
      </c>
      <c r="T98" s="195">
        <v>82</v>
      </c>
      <c r="U98" s="195">
        <v>74</v>
      </c>
      <c r="V98" s="195">
        <v>1414</v>
      </c>
      <c r="W98" s="195">
        <v>445</v>
      </c>
      <c r="X98" s="195">
        <v>296</v>
      </c>
      <c r="Y98" s="195">
        <v>119</v>
      </c>
      <c r="Z98" s="195">
        <v>0</v>
      </c>
      <c r="AA98" s="195">
        <v>0</v>
      </c>
      <c r="AB98" s="195">
        <v>2727</v>
      </c>
      <c r="AC98" s="195">
        <v>26</v>
      </c>
      <c r="AD98" s="195">
        <v>860</v>
      </c>
      <c r="AE98" s="195">
        <v>1.2821476679687254</v>
      </c>
      <c r="AF98" s="195">
        <v>4009375.3036831454</v>
      </c>
      <c r="AG98" s="195">
        <v>6274518.589679838</v>
      </c>
      <c r="AH98" s="195">
        <v>1498979.3289142475</v>
      </c>
      <c r="AI98" s="195">
        <v>713531.2479849972</v>
      </c>
      <c r="AJ98" s="195">
        <v>176</v>
      </c>
      <c r="AK98" s="195">
        <v>1198</v>
      </c>
      <c r="AL98" s="195">
        <v>1.1064566857622316</v>
      </c>
      <c r="AM98" s="195">
        <v>26</v>
      </c>
      <c r="AN98" s="195">
        <v>0.00944424264438794</v>
      </c>
      <c r="AO98" s="195">
        <v>0.005475988676133973</v>
      </c>
      <c r="AP98" s="195">
        <v>0</v>
      </c>
      <c r="AQ98" s="195">
        <v>0</v>
      </c>
      <c r="AR98" s="195">
        <v>0</v>
      </c>
      <c r="AS98" s="195">
        <v>0</v>
      </c>
      <c r="AT98" s="195">
        <v>0</v>
      </c>
      <c r="AU98" s="195">
        <v>512.96</v>
      </c>
      <c r="AV98" s="195">
        <v>5.366890205864005</v>
      </c>
      <c r="AW98" s="195">
        <v>3.3735206823531083</v>
      </c>
      <c r="AX98" s="195">
        <v>100</v>
      </c>
      <c r="AY98" s="195">
        <v>720</v>
      </c>
      <c r="AZ98" s="195">
        <v>0.1388888888888889</v>
      </c>
      <c r="BA98" s="195">
        <v>0.07386608868622042</v>
      </c>
      <c r="BB98" s="195">
        <v>0.271333</v>
      </c>
      <c r="BC98" s="195">
        <v>826</v>
      </c>
      <c r="BD98" s="195">
        <v>1006</v>
      </c>
      <c r="BE98" s="195">
        <v>0.8210735586481114</v>
      </c>
      <c r="BF98" s="195">
        <v>0.3901320406058053</v>
      </c>
      <c r="BG98" s="195">
        <v>0</v>
      </c>
      <c r="BH98" s="195">
        <v>0</v>
      </c>
      <c r="BI98" s="195">
        <v>0</v>
      </c>
      <c r="BJ98" s="195">
        <v>-660.72</v>
      </c>
      <c r="BK98" s="195">
        <v>-11287.3</v>
      </c>
      <c r="BL98" s="195">
        <v>-770.84</v>
      </c>
      <c r="BM98" s="195">
        <v>-3936.79</v>
      </c>
      <c r="BN98" s="195">
        <v>-110.12</v>
      </c>
      <c r="BO98" s="195">
        <v>78006</v>
      </c>
      <c r="BP98" s="195">
        <v>-69029.00141514569</v>
      </c>
      <c r="BQ98" s="195">
        <v>-235298.91</v>
      </c>
      <c r="BR98" s="195">
        <v>212913.65034567937</v>
      </c>
      <c r="BS98" s="195">
        <v>294459</v>
      </c>
      <c r="BT98" s="195">
        <v>87146</v>
      </c>
      <c r="BU98" s="195">
        <v>235915.4548271972</v>
      </c>
      <c r="BV98" s="195">
        <v>10266.407253946101</v>
      </c>
      <c r="BW98" s="195">
        <v>901.3692978763046</v>
      </c>
      <c r="BX98" s="195">
        <v>107805.7106164793</v>
      </c>
      <c r="BY98" s="195">
        <v>154011.59345537188</v>
      </c>
      <c r="BZ98" s="195">
        <v>238896.83094941953</v>
      </c>
      <c r="CA98" s="195">
        <v>72307.61479671586</v>
      </c>
      <c r="CB98" s="195">
        <v>247.76999999999998</v>
      </c>
      <c r="CC98" s="195">
        <v>4920.165455497274</v>
      </c>
      <c r="CD98" s="195">
        <v>1497962.7469981827</v>
      </c>
      <c r="CE98" s="195">
        <v>1095655.5655830372</v>
      </c>
      <c r="CF98" s="195">
        <v>114466.94926852922</v>
      </c>
      <c r="CG98" s="229">
        <v>2310385.722377675</v>
      </c>
      <c r="CH98" s="195">
        <v>-75114</v>
      </c>
      <c r="CI98" s="195">
        <v>-10037.951000000001</v>
      </c>
      <c r="CJ98" s="195">
        <v>8719043.499526203</v>
      </c>
      <c r="CL98" s="195">
        <v>2757</v>
      </c>
    </row>
    <row r="99" spans="1:90" ht="9.75">
      <c r="A99" s="195">
        <v>276</v>
      </c>
      <c r="B99" s="195" t="s">
        <v>167</v>
      </c>
      <c r="C99" s="195">
        <v>14806</v>
      </c>
      <c r="D99" s="195">
        <v>51721140.22</v>
      </c>
      <c r="E99" s="195">
        <v>13545823.778329022</v>
      </c>
      <c r="F99" s="195">
        <v>2384403.6745203203</v>
      </c>
      <c r="G99" s="195">
        <v>67651367.67284934</v>
      </c>
      <c r="H99" s="195">
        <v>3540.31</v>
      </c>
      <c r="I99" s="195">
        <v>52417829.86</v>
      </c>
      <c r="J99" s="195">
        <v>15233537.812849343</v>
      </c>
      <c r="K99" s="195">
        <v>133581.93617880796</v>
      </c>
      <c r="L99" s="195">
        <v>2041939.8534127143</v>
      </c>
      <c r="M99" s="195">
        <v>0</v>
      </c>
      <c r="N99" s="195">
        <v>17409059.602440864</v>
      </c>
      <c r="O99" s="195">
        <v>6850118.131059508</v>
      </c>
      <c r="P99" s="195">
        <v>24259177.733500373</v>
      </c>
      <c r="Q99" s="195">
        <v>1276</v>
      </c>
      <c r="R99" s="195">
        <v>245</v>
      </c>
      <c r="S99" s="195">
        <v>1337</v>
      </c>
      <c r="T99" s="195">
        <v>663</v>
      </c>
      <c r="U99" s="195">
        <v>609</v>
      </c>
      <c r="V99" s="195">
        <v>8452</v>
      </c>
      <c r="W99" s="195">
        <v>1431</v>
      </c>
      <c r="X99" s="195">
        <v>584</v>
      </c>
      <c r="Y99" s="195">
        <v>209</v>
      </c>
      <c r="Z99" s="195">
        <v>11</v>
      </c>
      <c r="AA99" s="195">
        <v>0</v>
      </c>
      <c r="AB99" s="195">
        <v>14440</v>
      </c>
      <c r="AC99" s="195">
        <v>355</v>
      </c>
      <c r="AD99" s="195">
        <v>2224</v>
      </c>
      <c r="AE99" s="195">
        <v>0.8054437643745291</v>
      </c>
      <c r="AF99" s="195">
        <v>13545823.778329022</v>
      </c>
      <c r="AG99" s="195">
        <v>4976068.899961459</v>
      </c>
      <c r="AH99" s="195">
        <v>1104366.095883275</v>
      </c>
      <c r="AI99" s="195">
        <v>499471.873589498</v>
      </c>
      <c r="AJ99" s="195">
        <v>884</v>
      </c>
      <c r="AK99" s="195">
        <v>7230</v>
      </c>
      <c r="AL99" s="195">
        <v>0.9208577241576666</v>
      </c>
      <c r="AM99" s="195">
        <v>355</v>
      </c>
      <c r="AN99" s="195">
        <v>0.023976766175874645</v>
      </c>
      <c r="AO99" s="195">
        <v>0.020008512207620677</v>
      </c>
      <c r="AP99" s="195">
        <v>0</v>
      </c>
      <c r="AQ99" s="195">
        <v>11</v>
      </c>
      <c r="AR99" s="195">
        <v>0</v>
      </c>
      <c r="AS99" s="195">
        <v>0</v>
      </c>
      <c r="AT99" s="195">
        <v>0</v>
      </c>
      <c r="AU99" s="195">
        <v>799.18</v>
      </c>
      <c r="AV99" s="195">
        <v>18.526489651893193</v>
      </c>
      <c r="AW99" s="195">
        <v>0.9772663602006436</v>
      </c>
      <c r="AX99" s="195">
        <v>385</v>
      </c>
      <c r="AY99" s="195">
        <v>5127</v>
      </c>
      <c r="AZ99" s="195">
        <v>0.07509264677199141</v>
      </c>
      <c r="BA99" s="195">
        <v>0.010069846569322943</v>
      </c>
      <c r="BB99" s="195">
        <v>0</v>
      </c>
      <c r="BC99" s="195">
        <v>3615</v>
      </c>
      <c r="BD99" s="195">
        <v>6299</v>
      </c>
      <c r="BE99" s="195">
        <v>0.5739006191458962</v>
      </c>
      <c r="BF99" s="195">
        <v>0.1429591011035901</v>
      </c>
      <c r="BG99" s="195">
        <v>0</v>
      </c>
      <c r="BH99" s="195">
        <v>0</v>
      </c>
      <c r="BI99" s="195">
        <v>0</v>
      </c>
      <c r="BJ99" s="195">
        <v>-3553.44</v>
      </c>
      <c r="BK99" s="195">
        <v>-60704.59999999999</v>
      </c>
      <c r="BL99" s="195">
        <v>-4145.68</v>
      </c>
      <c r="BM99" s="195">
        <v>-21172.579999999998</v>
      </c>
      <c r="BN99" s="195">
        <v>-592.24</v>
      </c>
      <c r="BO99" s="195">
        <v>96865</v>
      </c>
      <c r="BP99" s="195">
        <v>-592248.8237357427</v>
      </c>
      <c r="BQ99" s="195">
        <v>-1265468.82</v>
      </c>
      <c r="BR99" s="195">
        <v>-31189.175071258098</v>
      </c>
      <c r="BS99" s="195">
        <v>949206</v>
      </c>
      <c r="BT99" s="195">
        <v>298870</v>
      </c>
      <c r="BU99" s="195">
        <v>652050.1110439254</v>
      </c>
      <c r="BV99" s="195">
        <v>10525.031466713928</v>
      </c>
      <c r="BW99" s="195">
        <v>-23583.385672022665</v>
      </c>
      <c r="BX99" s="195">
        <v>307887.29031200556</v>
      </c>
      <c r="BY99" s="195">
        <v>676315.8945541244</v>
      </c>
      <c r="BZ99" s="195">
        <v>1056294.202249494</v>
      </c>
      <c r="CA99" s="195">
        <v>356217.3073523076</v>
      </c>
      <c r="CB99" s="195">
        <v>1332.54</v>
      </c>
      <c r="CC99" s="195">
        <v>74923.86091316651</v>
      </c>
      <c r="CD99" s="195">
        <v>4426603.037148457</v>
      </c>
      <c r="CE99" s="195">
        <v>2041939.8534127143</v>
      </c>
      <c r="CF99" s="195">
        <v>0</v>
      </c>
      <c r="CG99" s="229">
        <v>6850118.131059508</v>
      </c>
      <c r="CH99" s="195">
        <v>-1238035</v>
      </c>
      <c r="CI99" s="195">
        <v>-32221.822710000037</v>
      </c>
      <c r="CJ99" s="195">
        <v>23021142.733500373</v>
      </c>
      <c r="CL99" s="195">
        <v>14827</v>
      </c>
    </row>
    <row r="100" spans="1:90" ht="9.75">
      <c r="A100" s="195">
        <v>280</v>
      </c>
      <c r="B100" s="195" t="s">
        <v>168</v>
      </c>
      <c r="C100" s="195">
        <v>2171</v>
      </c>
      <c r="D100" s="195">
        <v>7948401.89</v>
      </c>
      <c r="E100" s="195">
        <v>2340962.571199026</v>
      </c>
      <c r="F100" s="195">
        <v>1297628.5158608637</v>
      </c>
      <c r="G100" s="195">
        <v>11586992.97705989</v>
      </c>
      <c r="H100" s="195">
        <v>3540.31</v>
      </c>
      <c r="I100" s="195">
        <v>7686013.01</v>
      </c>
      <c r="J100" s="195">
        <v>3900979.96705989</v>
      </c>
      <c r="K100" s="195">
        <v>196844.26485847268</v>
      </c>
      <c r="L100" s="195">
        <v>1022671.4403414901</v>
      </c>
      <c r="M100" s="195">
        <v>0</v>
      </c>
      <c r="N100" s="195">
        <v>5120495.672259852</v>
      </c>
      <c r="O100" s="195">
        <v>1641536.0877485713</v>
      </c>
      <c r="P100" s="195">
        <v>6762031.760008424</v>
      </c>
      <c r="Q100" s="195">
        <v>126</v>
      </c>
      <c r="R100" s="195">
        <v>27</v>
      </c>
      <c r="S100" s="195">
        <v>117</v>
      </c>
      <c r="T100" s="195">
        <v>64</v>
      </c>
      <c r="U100" s="195">
        <v>74</v>
      </c>
      <c r="V100" s="195">
        <v>1177</v>
      </c>
      <c r="W100" s="195">
        <v>317</v>
      </c>
      <c r="X100" s="195">
        <v>164</v>
      </c>
      <c r="Y100" s="195">
        <v>105</v>
      </c>
      <c r="Z100" s="195">
        <v>1874</v>
      </c>
      <c r="AA100" s="195">
        <v>0</v>
      </c>
      <c r="AB100" s="195">
        <v>80</v>
      </c>
      <c r="AC100" s="195">
        <v>217</v>
      </c>
      <c r="AD100" s="195">
        <v>586</v>
      </c>
      <c r="AE100" s="195">
        <v>0.9492971865459483</v>
      </c>
      <c r="AF100" s="195">
        <v>2340962.571199026</v>
      </c>
      <c r="AG100" s="195">
        <v>18547114.838915505</v>
      </c>
      <c r="AH100" s="195">
        <v>3022298.8639397095</v>
      </c>
      <c r="AI100" s="195">
        <v>1712474.9951639934</v>
      </c>
      <c r="AJ100" s="195">
        <v>75</v>
      </c>
      <c r="AK100" s="195">
        <v>1042</v>
      </c>
      <c r="AL100" s="195">
        <v>0.5420908939088755</v>
      </c>
      <c r="AM100" s="195">
        <v>217</v>
      </c>
      <c r="AN100" s="195">
        <v>0.09995393827729157</v>
      </c>
      <c r="AO100" s="195">
        <v>0.0959856843090376</v>
      </c>
      <c r="AP100" s="195">
        <v>3</v>
      </c>
      <c r="AQ100" s="195">
        <v>1874</v>
      </c>
      <c r="AR100" s="195">
        <v>0</v>
      </c>
      <c r="AS100" s="195">
        <v>0</v>
      </c>
      <c r="AT100" s="195">
        <v>0</v>
      </c>
      <c r="AU100" s="195">
        <v>235.78</v>
      </c>
      <c r="AV100" s="195">
        <v>9.20773602510815</v>
      </c>
      <c r="AW100" s="195">
        <v>1.966315613309287</v>
      </c>
      <c r="AX100" s="195">
        <v>126</v>
      </c>
      <c r="AY100" s="195">
        <v>626</v>
      </c>
      <c r="AZ100" s="195">
        <v>0.2012779552715655</v>
      </c>
      <c r="BA100" s="195">
        <v>0.13625515506889702</v>
      </c>
      <c r="BB100" s="195">
        <v>0.3136</v>
      </c>
      <c r="BC100" s="195">
        <v>811</v>
      </c>
      <c r="BD100" s="195">
        <v>972</v>
      </c>
      <c r="BE100" s="195">
        <v>0.8343621399176955</v>
      </c>
      <c r="BF100" s="195">
        <v>0.4034206218753894</v>
      </c>
      <c r="BG100" s="195">
        <v>0</v>
      </c>
      <c r="BH100" s="195">
        <v>0</v>
      </c>
      <c r="BI100" s="195">
        <v>0</v>
      </c>
      <c r="BJ100" s="195">
        <v>-521.04</v>
      </c>
      <c r="BK100" s="195">
        <v>-8901.099999999999</v>
      </c>
      <c r="BL100" s="195">
        <v>-607.8800000000001</v>
      </c>
      <c r="BM100" s="195">
        <v>-3104.5299999999997</v>
      </c>
      <c r="BN100" s="195">
        <v>-86.84</v>
      </c>
      <c r="BO100" s="195">
        <v>-47819</v>
      </c>
      <c r="BP100" s="195">
        <v>-35014.710862755055</v>
      </c>
      <c r="BQ100" s="195">
        <v>-185555.37</v>
      </c>
      <c r="BR100" s="195">
        <v>307910.7989604967</v>
      </c>
      <c r="BS100" s="195">
        <v>215330</v>
      </c>
      <c r="BT100" s="195">
        <v>87084</v>
      </c>
      <c r="BU100" s="195">
        <v>208552.30023377578</v>
      </c>
      <c r="BV100" s="195">
        <v>13536.378379850774</v>
      </c>
      <c r="BW100" s="195">
        <v>38525.12046635463</v>
      </c>
      <c r="BX100" s="195">
        <v>77394.8217952806</v>
      </c>
      <c r="BY100" s="195">
        <v>160512.82890616357</v>
      </c>
      <c r="BZ100" s="195">
        <v>219656.9907228866</v>
      </c>
      <c r="CA100" s="195">
        <v>73173.66603551974</v>
      </c>
      <c r="CB100" s="195">
        <v>195.39</v>
      </c>
      <c r="CC100" s="195">
        <v>-33676.144296082806</v>
      </c>
      <c r="CD100" s="195">
        <v>1320507.4112042452</v>
      </c>
      <c r="CE100" s="195">
        <v>1022671.4403414901</v>
      </c>
      <c r="CF100" s="195">
        <v>0</v>
      </c>
      <c r="CG100" s="229">
        <v>1641536.0877485713</v>
      </c>
      <c r="CH100" s="195">
        <v>-398884</v>
      </c>
      <c r="CI100" s="195">
        <v>-631634.8076000001</v>
      </c>
      <c r="CJ100" s="195">
        <v>6363147.760008424</v>
      </c>
      <c r="CL100" s="195">
        <v>2201</v>
      </c>
    </row>
    <row r="101" spans="1:90" ht="9.75">
      <c r="A101" s="195">
        <v>284</v>
      </c>
      <c r="B101" s="195" t="s">
        <v>169</v>
      </c>
      <c r="C101" s="195">
        <v>2416</v>
      </c>
      <c r="D101" s="195">
        <v>9310352.299999999</v>
      </c>
      <c r="E101" s="195">
        <v>2767491.7678830842</v>
      </c>
      <c r="F101" s="195">
        <v>584551.1438054271</v>
      </c>
      <c r="G101" s="195">
        <v>12662395.211688511</v>
      </c>
      <c r="H101" s="195">
        <v>3540.31</v>
      </c>
      <c r="I101" s="195">
        <v>8553388.959999999</v>
      </c>
      <c r="J101" s="195">
        <v>4109006.251688512</v>
      </c>
      <c r="K101" s="195">
        <v>83877.5098987186</v>
      </c>
      <c r="L101" s="195">
        <v>850025.3337359128</v>
      </c>
      <c r="M101" s="195">
        <v>0</v>
      </c>
      <c r="N101" s="195">
        <v>5042909.0953231435</v>
      </c>
      <c r="O101" s="195">
        <v>1851171.5405210261</v>
      </c>
      <c r="P101" s="195">
        <v>6894080.635844169</v>
      </c>
      <c r="Q101" s="195">
        <v>129</v>
      </c>
      <c r="R101" s="195">
        <v>19</v>
      </c>
      <c r="S101" s="195">
        <v>140</v>
      </c>
      <c r="T101" s="195">
        <v>83</v>
      </c>
      <c r="U101" s="195">
        <v>93</v>
      </c>
      <c r="V101" s="195">
        <v>1205</v>
      </c>
      <c r="W101" s="195">
        <v>362</v>
      </c>
      <c r="X101" s="195">
        <v>268</v>
      </c>
      <c r="Y101" s="195">
        <v>117</v>
      </c>
      <c r="Z101" s="195">
        <v>8</v>
      </c>
      <c r="AA101" s="195">
        <v>0</v>
      </c>
      <c r="AB101" s="195">
        <v>2295</v>
      </c>
      <c r="AC101" s="195">
        <v>113</v>
      </c>
      <c r="AD101" s="195">
        <v>747</v>
      </c>
      <c r="AE101" s="195">
        <v>1.008456001745665</v>
      </c>
      <c r="AF101" s="195">
        <v>2767491.7678830842</v>
      </c>
      <c r="AG101" s="195">
        <v>3047226.8417996503</v>
      </c>
      <c r="AH101" s="195">
        <v>856058.256795219</v>
      </c>
      <c r="AI101" s="195">
        <v>267574.21799437393</v>
      </c>
      <c r="AJ101" s="195">
        <v>104</v>
      </c>
      <c r="AK101" s="195">
        <v>1052</v>
      </c>
      <c r="AL101" s="195">
        <v>0.7445539415857672</v>
      </c>
      <c r="AM101" s="195">
        <v>113</v>
      </c>
      <c r="AN101" s="195">
        <v>0.04677152317880795</v>
      </c>
      <c r="AO101" s="195">
        <v>0.04280326921055398</v>
      </c>
      <c r="AP101" s="195">
        <v>0</v>
      </c>
      <c r="AQ101" s="195">
        <v>8</v>
      </c>
      <c r="AR101" s="195">
        <v>0</v>
      </c>
      <c r="AS101" s="195">
        <v>0</v>
      </c>
      <c r="AT101" s="195">
        <v>0</v>
      </c>
      <c r="AU101" s="195">
        <v>191.46</v>
      </c>
      <c r="AV101" s="195">
        <v>12.618823775201086</v>
      </c>
      <c r="AW101" s="195">
        <v>1.434786271045459</v>
      </c>
      <c r="AX101" s="195">
        <v>112</v>
      </c>
      <c r="AY101" s="195">
        <v>677</v>
      </c>
      <c r="AZ101" s="195">
        <v>0.1654357459379616</v>
      </c>
      <c r="BA101" s="195">
        <v>0.10041294573529312</v>
      </c>
      <c r="BB101" s="195">
        <v>0</v>
      </c>
      <c r="BC101" s="195">
        <v>932</v>
      </c>
      <c r="BD101" s="195">
        <v>950</v>
      </c>
      <c r="BE101" s="195">
        <v>0.9810526315789474</v>
      </c>
      <c r="BF101" s="195">
        <v>0.5501111135366413</v>
      </c>
      <c r="BG101" s="195">
        <v>0</v>
      </c>
      <c r="BH101" s="195">
        <v>0</v>
      </c>
      <c r="BI101" s="195">
        <v>0</v>
      </c>
      <c r="BJ101" s="195">
        <v>-579.84</v>
      </c>
      <c r="BK101" s="195">
        <v>-9905.599999999999</v>
      </c>
      <c r="BL101" s="195">
        <v>-676.48</v>
      </c>
      <c r="BM101" s="195">
        <v>-3454.8799999999997</v>
      </c>
      <c r="BN101" s="195">
        <v>-96.64</v>
      </c>
      <c r="BO101" s="195">
        <v>-58672</v>
      </c>
      <c r="BP101" s="195">
        <v>-73530.89281178563</v>
      </c>
      <c r="BQ101" s="195">
        <v>-206495.52</v>
      </c>
      <c r="BR101" s="195">
        <v>240131.28113703616</v>
      </c>
      <c r="BS101" s="195">
        <v>238534</v>
      </c>
      <c r="BT101" s="195">
        <v>77683</v>
      </c>
      <c r="BU101" s="195">
        <v>183775.91836874714</v>
      </c>
      <c r="BV101" s="195">
        <v>9914.914833124469</v>
      </c>
      <c r="BW101" s="195">
        <v>25160.51397010668</v>
      </c>
      <c r="BX101" s="195">
        <v>84042.742812827</v>
      </c>
      <c r="BY101" s="195">
        <v>143275.3160113607</v>
      </c>
      <c r="BZ101" s="195">
        <v>216829.0949552883</v>
      </c>
      <c r="CA101" s="195">
        <v>59412.32013135843</v>
      </c>
      <c r="CB101" s="195">
        <v>217.44</v>
      </c>
      <c r="CC101" s="195">
        <v>-4412.315672150267</v>
      </c>
      <c r="CD101" s="195">
        <v>1216037.1865476985</v>
      </c>
      <c r="CE101" s="195">
        <v>850025.3337359128</v>
      </c>
      <c r="CF101" s="195">
        <v>0</v>
      </c>
      <c r="CG101" s="229">
        <v>1851171.5405210261</v>
      </c>
      <c r="CH101" s="195">
        <v>369489</v>
      </c>
      <c r="CI101" s="195">
        <v>986104.8409</v>
      </c>
      <c r="CJ101" s="195">
        <v>7263569.635844169</v>
      </c>
      <c r="CL101" s="195">
        <v>2399</v>
      </c>
    </row>
    <row r="102" spans="1:90" ht="9.75">
      <c r="A102" s="195">
        <v>285</v>
      </c>
      <c r="B102" s="195" t="s">
        <v>170</v>
      </c>
      <c r="C102" s="195">
        <v>54187</v>
      </c>
      <c r="D102" s="195">
        <v>181868037.24</v>
      </c>
      <c r="E102" s="195">
        <v>82989264.6468481</v>
      </c>
      <c r="F102" s="195">
        <v>18936170.44477745</v>
      </c>
      <c r="G102" s="195">
        <v>283793472.3316255</v>
      </c>
      <c r="H102" s="195">
        <v>3540.31</v>
      </c>
      <c r="I102" s="195">
        <v>191838777.97</v>
      </c>
      <c r="J102" s="195">
        <v>91954694.36162552</v>
      </c>
      <c r="K102" s="195">
        <v>2313453.329256738</v>
      </c>
      <c r="L102" s="195">
        <v>6241873.246040961</v>
      </c>
      <c r="M102" s="195">
        <v>0</v>
      </c>
      <c r="N102" s="195">
        <v>100510020.93692322</v>
      </c>
      <c r="O102" s="195">
        <v>12935260.572917057</v>
      </c>
      <c r="P102" s="195">
        <v>113445281.50984028</v>
      </c>
      <c r="Q102" s="195">
        <v>2853</v>
      </c>
      <c r="R102" s="195">
        <v>548</v>
      </c>
      <c r="S102" s="195">
        <v>3124</v>
      </c>
      <c r="T102" s="195">
        <v>1629</v>
      </c>
      <c r="U102" s="195">
        <v>1775</v>
      </c>
      <c r="V102" s="195">
        <v>30703</v>
      </c>
      <c r="W102" s="195">
        <v>7703</v>
      </c>
      <c r="X102" s="195">
        <v>4036</v>
      </c>
      <c r="Y102" s="195">
        <v>1816</v>
      </c>
      <c r="Z102" s="195">
        <v>519</v>
      </c>
      <c r="AA102" s="195">
        <v>2</v>
      </c>
      <c r="AB102" s="195">
        <v>48646</v>
      </c>
      <c r="AC102" s="195">
        <v>5020</v>
      </c>
      <c r="AD102" s="195">
        <v>13555</v>
      </c>
      <c r="AE102" s="195">
        <v>1.348324283067597</v>
      </c>
      <c r="AF102" s="195">
        <v>82989264.6468481</v>
      </c>
      <c r="AG102" s="195">
        <v>3394999.9062774032</v>
      </c>
      <c r="AH102" s="195">
        <v>906663.2434543502</v>
      </c>
      <c r="AI102" s="195">
        <v>276493.35859418643</v>
      </c>
      <c r="AJ102" s="195">
        <v>4953</v>
      </c>
      <c r="AK102" s="195">
        <v>24664</v>
      </c>
      <c r="AL102" s="195">
        <v>1.5124582105238127</v>
      </c>
      <c r="AM102" s="195">
        <v>5020</v>
      </c>
      <c r="AN102" s="195">
        <v>0.09264214664033808</v>
      </c>
      <c r="AO102" s="195">
        <v>0.08867389267208411</v>
      </c>
      <c r="AP102" s="195">
        <v>0</v>
      </c>
      <c r="AQ102" s="195">
        <v>519</v>
      </c>
      <c r="AR102" s="195">
        <v>2</v>
      </c>
      <c r="AS102" s="195">
        <v>3</v>
      </c>
      <c r="AT102" s="195">
        <v>504</v>
      </c>
      <c r="AU102" s="195">
        <v>272.01</v>
      </c>
      <c r="AV102" s="195">
        <v>199.20958788279844</v>
      </c>
      <c r="AW102" s="195">
        <v>0.09088576158318495</v>
      </c>
      <c r="AX102" s="195">
        <v>2773</v>
      </c>
      <c r="AY102" s="195">
        <v>16465</v>
      </c>
      <c r="AZ102" s="195">
        <v>0.1684178560583055</v>
      </c>
      <c r="BA102" s="195">
        <v>0.10339505585563703</v>
      </c>
      <c r="BB102" s="195">
        <v>0</v>
      </c>
      <c r="BC102" s="195">
        <v>21625</v>
      </c>
      <c r="BD102" s="195">
        <v>19527</v>
      </c>
      <c r="BE102" s="195">
        <v>1.1074409791570645</v>
      </c>
      <c r="BF102" s="195">
        <v>0.6764994611147584</v>
      </c>
      <c r="BG102" s="195">
        <v>0</v>
      </c>
      <c r="BH102" s="195">
        <v>2</v>
      </c>
      <c r="BI102" s="195">
        <v>0</v>
      </c>
      <c r="BJ102" s="195">
        <v>-13004.88</v>
      </c>
      <c r="BK102" s="195">
        <v>-222166.69999999998</v>
      </c>
      <c r="BL102" s="195">
        <v>-15172.36</v>
      </c>
      <c r="BM102" s="195">
        <v>-77487.41</v>
      </c>
      <c r="BN102" s="195">
        <v>-2167.48</v>
      </c>
      <c r="BO102" s="195">
        <v>1472159</v>
      </c>
      <c r="BP102" s="195">
        <v>-5124152.829686612</v>
      </c>
      <c r="BQ102" s="195">
        <v>-4631362.89</v>
      </c>
      <c r="BR102" s="195">
        <v>-573075.1788794994</v>
      </c>
      <c r="BS102" s="195">
        <v>3639803</v>
      </c>
      <c r="BT102" s="195">
        <v>1163250</v>
      </c>
      <c r="BU102" s="195">
        <v>2606864.8577143773</v>
      </c>
      <c r="BV102" s="195">
        <v>98405.03850020409</v>
      </c>
      <c r="BW102" s="195">
        <v>187240.83452947697</v>
      </c>
      <c r="BX102" s="195">
        <v>1470501.8591478586</v>
      </c>
      <c r="BY102" s="195">
        <v>2123241.615270677</v>
      </c>
      <c r="BZ102" s="195">
        <v>3781112.1653880496</v>
      </c>
      <c r="CA102" s="195">
        <v>1167022.9357729377</v>
      </c>
      <c r="CB102" s="195">
        <v>4876.83</v>
      </c>
      <c r="CC102" s="195">
        <v>781250.118283494</v>
      </c>
      <c r="CD102" s="195">
        <v>17925904.295727573</v>
      </c>
      <c r="CE102" s="195">
        <v>6241873.246040961</v>
      </c>
      <c r="CF102" s="195">
        <v>0</v>
      </c>
      <c r="CG102" s="229">
        <v>12935260.572917057</v>
      </c>
      <c r="CH102" s="195">
        <v>-1692485</v>
      </c>
      <c r="CI102" s="195">
        <v>-907219.5823400001</v>
      </c>
      <c r="CJ102" s="195">
        <v>111752796.50984028</v>
      </c>
      <c r="CL102" s="195">
        <v>54319</v>
      </c>
    </row>
    <row r="103" spans="1:90" ht="9.75">
      <c r="A103" s="195">
        <v>286</v>
      </c>
      <c r="B103" s="195" t="s">
        <v>171</v>
      </c>
      <c r="C103" s="195">
        <v>85306</v>
      </c>
      <c r="D103" s="195">
        <v>288159901.51</v>
      </c>
      <c r="E103" s="195">
        <v>112661316.75834338</v>
      </c>
      <c r="F103" s="195">
        <v>18865332.079429314</v>
      </c>
      <c r="G103" s="195">
        <v>419686550.3477727</v>
      </c>
      <c r="H103" s="195">
        <v>3540.31</v>
      </c>
      <c r="I103" s="195">
        <v>302009684.86</v>
      </c>
      <c r="J103" s="195">
        <v>117676865.4877727</v>
      </c>
      <c r="K103" s="195">
        <v>2914776.4020797913</v>
      </c>
      <c r="L103" s="195">
        <v>15781295.485396963</v>
      </c>
      <c r="M103" s="195">
        <v>0</v>
      </c>
      <c r="N103" s="195">
        <v>136372937.37524945</v>
      </c>
      <c r="O103" s="195">
        <v>18201803.767868888</v>
      </c>
      <c r="P103" s="195">
        <v>154574741.14311832</v>
      </c>
      <c r="Q103" s="195">
        <v>4472</v>
      </c>
      <c r="R103" s="195">
        <v>837</v>
      </c>
      <c r="S103" s="195">
        <v>4938</v>
      </c>
      <c r="T103" s="195">
        <v>2589</v>
      </c>
      <c r="U103" s="195">
        <v>2750</v>
      </c>
      <c r="V103" s="195">
        <v>47871</v>
      </c>
      <c r="W103" s="195">
        <v>12058</v>
      </c>
      <c r="X103" s="195">
        <v>6981</v>
      </c>
      <c r="Y103" s="195">
        <v>2810</v>
      </c>
      <c r="Z103" s="195">
        <v>296</v>
      </c>
      <c r="AA103" s="195">
        <v>1</v>
      </c>
      <c r="AB103" s="195">
        <v>81361</v>
      </c>
      <c r="AC103" s="195">
        <v>3648</v>
      </c>
      <c r="AD103" s="195">
        <v>21849</v>
      </c>
      <c r="AE103" s="195">
        <v>1.162686933284243</v>
      </c>
      <c r="AF103" s="195">
        <v>112661316.75834338</v>
      </c>
      <c r="AG103" s="195">
        <v>90394400.02120745</v>
      </c>
      <c r="AH103" s="195">
        <v>32116920.83212526</v>
      </c>
      <c r="AI103" s="195">
        <v>9686186.691396337</v>
      </c>
      <c r="AJ103" s="195">
        <v>5802</v>
      </c>
      <c r="AK103" s="195">
        <v>39355</v>
      </c>
      <c r="AL103" s="195">
        <v>1.1103409965190656</v>
      </c>
      <c r="AM103" s="195">
        <v>3648</v>
      </c>
      <c r="AN103" s="195">
        <v>0.042763697746934566</v>
      </c>
      <c r="AO103" s="195">
        <v>0.0387954437786806</v>
      </c>
      <c r="AP103" s="195">
        <v>0</v>
      </c>
      <c r="AQ103" s="195">
        <v>296</v>
      </c>
      <c r="AR103" s="195">
        <v>1</v>
      </c>
      <c r="AS103" s="195">
        <v>0</v>
      </c>
      <c r="AT103" s="195">
        <v>0</v>
      </c>
      <c r="AU103" s="195">
        <v>2558.37</v>
      </c>
      <c r="AV103" s="195">
        <v>33.34388692800494</v>
      </c>
      <c r="AW103" s="195">
        <v>0.5429875391700125</v>
      </c>
      <c r="AX103" s="195">
        <v>3510</v>
      </c>
      <c r="AY103" s="195">
        <v>25633</v>
      </c>
      <c r="AZ103" s="195">
        <v>0.13693285998517535</v>
      </c>
      <c r="BA103" s="195">
        <v>0.07191005978250688</v>
      </c>
      <c r="BB103" s="195">
        <v>0</v>
      </c>
      <c r="BC103" s="195">
        <v>32005</v>
      </c>
      <c r="BD103" s="195">
        <v>32915</v>
      </c>
      <c r="BE103" s="195">
        <v>0.9723530305331916</v>
      </c>
      <c r="BF103" s="195">
        <v>0.5414115124908855</v>
      </c>
      <c r="BG103" s="195">
        <v>0</v>
      </c>
      <c r="BH103" s="195">
        <v>1</v>
      </c>
      <c r="BI103" s="195">
        <v>0</v>
      </c>
      <c r="BJ103" s="195">
        <v>-20473.44</v>
      </c>
      <c r="BK103" s="195">
        <v>-349754.6</v>
      </c>
      <c r="BL103" s="195">
        <v>-23885.680000000004</v>
      </c>
      <c r="BM103" s="195">
        <v>-121987.58</v>
      </c>
      <c r="BN103" s="195">
        <v>-3412.2400000000002</v>
      </c>
      <c r="BO103" s="195">
        <v>1721663</v>
      </c>
      <c r="BP103" s="195">
        <v>-3791092.7661260082</v>
      </c>
      <c r="BQ103" s="195">
        <v>-7291103.82</v>
      </c>
      <c r="BR103" s="195">
        <v>-328800.80143755674</v>
      </c>
      <c r="BS103" s="195">
        <v>6029989</v>
      </c>
      <c r="BT103" s="195">
        <v>1994317</v>
      </c>
      <c r="BU103" s="195">
        <v>4685514.567385978</v>
      </c>
      <c r="BV103" s="195">
        <v>204266.15495217545</v>
      </c>
      <c r="BW103" s="195">
        <v>546399.8316247552</v>
      </c>
      <c r="BX103" s="195">
        <v>2240686.432876591</v>
      </c>
      <c r="BY103" s="195">
        <v>3866084.163918898</v>
      </c>
      <c r="BZ103" s="195">
        <v>6539303.329367374</v>
      </c>
      <c r="CA103" s="195">
        <v>2131832.1232177853</v>
      </c>
      <c r="CB103" s="195">
        <v>7677.54</v>
      </c>
      <c r="CC103" s="195">
        <v>255481.909616975</v>
      </c>
      <c r="CD103" s="195">
        <v>29899532.611522973</v>
      </c>
      <c r="CE103" s="195">
        <v>15781295.485396963</v>
      </c>
      <c r="CF103" s="195">
        <v>0</v>
      </c>
      <c r="CG103" s="229">
        <v>18201803.767868888</v>
      </c>
      <c r="CH103" s="195">
        <v>13352487</v>
      </c>
      <c r="CI103" s="195">
        <v>320110.2573900003</v>
      </c>
      <c r="CJ103" s="195">
        <v>167927228.14311832</v>
      </c>
      <c r="CL103" s="195">
        <v>85855</v>
      </c>
    </row>
    <row r="104" spans="1:90" ht="9.75">
      <c r="A104" s="195">
        <v>287</v>
      </c>
      <c r="B104" s="195" t="s">
        <v>172</v>
      </c>
      <c r="C104" s="195">
        <v>6727</v>
      </c>
      <c r="D104" s="195">
        <v>24621651.169999998</v>
      </c>
      <c r="E104" s="195">
        <v>8972737.167604826</v>
      </c>
      <c r="F104" s="195">
        <v>2625640.1443384835</v>
      </c>
      <c r="G104" s="195">
        <v>36220028.4819433</v>
      </c>
      <c r="H104" s="195">
        <v>3540.31</v>
      </c>
      <c r="I104" s="195">
        <v>23815665.37</v>
      </c>
      <c r="J104" s="195">
        <v>12404363.1119433</v>
      </c>
      <c r="K104" s="195">
        <v>863908.9481795854</v>
      </c>
      <c r="L104" s="195">
        <v>2264098.3094626945</v>
      </c>
      <c r="M104" s="195">
        <v>0</v>
      </c>
      <c r="N104" s="195">
        <v>15532370.369585581</v>
      </c>
      <c r="O104" s="195">
        <v>4152977.651319071</v>
      </c>
      <c r="P104" s="195">
        <v>19685348.020904653</v>
      </c>
      <c r="Q104" s="195">
        <v>306</v>
      </c>
      <c r="R104" s="195">
        <v>62</v>
      </c>
      <c r="S104" s="195">
        <v>315</v>
      </c>
      <c r="T104" s="195">
        <v>159</v>
      </c>
      <c r="U104" s="195">
        <v>198</v>
      </c>
      <c r="V104" s="195">
        <v>3461</v>
      </c>
      <c r="W104" s="195">
        <v>1182</v>
      </c>
      <c r="X104" s="195">
        <v>685</v>
      </c>
      <c r="Y104" s="195">
        <v>359</v>
      </c>
      <c r="Z104" s="195">
        <v>3707</v>
      </c>
      <c r="AA104" s="195">
        <v>0</v>
      </c>
      <c r="AB104" s="195">
        <v>2754</v>
      </c>
      <c r="AC104" s="195">
        <v>266</v>
      </c>
      <c r="AD104" s="195">
        <v>2226</v>
      </c>
      <c r="AE104" s="195">
        <v>1.1742783825856262</v>
      </c>
      <c r="AF104" s="195">
        <v>8972737.167604826</v>
      </c>
      <c r="AG104" s="195">
        <v>141266271.2082167</v>
      </c>
      <c r="AH104" s="195">
        <v>31117915.75246294</v>
      </c>
      <c r="AI104" s="195">
        <v>15867151.127066376</v>
      </c>
      <c r="AJ104" s="195">
        <v>212</v>
      </c>
      <c r="AK104" s="195">
        <v>2994</v>
      </c>
      <c r="AL104" s="195">
        <v>0.5332890083635994</v>
      </c>
      <c r="AM104" s="195">
        <v>266</v>
      </c>
      <c r="AN104" s="195">
        <v>0.03954214360041623</v>
      </c>
      <c r="AO104" s="195">
        <v>0.035573889632162264</v>
      </c>
      <c r="AP104" s="195">
        <v>3</v>
      </c>
      <c r="AQ104" s="195">
        <v>3707</v>
      </c>
      <c r="AR104" s="195">
        <v>0</v>
      </c>
      <c r="AS104" s="195">
        <v>0</v>
      </c>
      <c r="AT104" s="195">
        <v>0</v>
      </c>
      <c r="AU104" s="195">
        <v>683.03</v>
      </c>
      <c r="AV104" s="195">
        <v>9.848762133434843</v>
      </c>
      <c r="AW104" s="195">
        <v>1.8383340834211175</v>
      </c>
      <c r="AX104" s="195">
        <v>317</v>
      </c>
      <c r="AY104" s="195">
        <v>1734</v>
      </c>
      <c r="AZ104" s="195">
        <v>0.18281430219146483</v>
      </c>
      <c r="BA104" s="195">
        <v>0.11779150198879636</v>
      </c>
      <c r="BB104" s="195">
        <v>0.462666</v>
      </c>
      <c r="BC104" s="195">
        <v>2556</v>
      </c>
      <c r="BD104" s="195">
        <v>2715</v>
      </c>
      <c r="BE104" s="195">
        <v>0.9414364640883978</v>
      </c>
      <c r="BF104" s="195">
        <v>0.5104949460460917</v>
      </c>
      <c r="BG104" s="195">
        <v>0</v>
      </c>
      <c r="BH104" s="195">
        <v>0</v>
      </c>
      <c r="BI104" s="195">
        <v>0</v>
      </c>
      <c r="BJ104" s="195">
        <v>-1614.48</v>
      </c>
      <c r="BK104" s="195">
        <v>-27580.699999999997</v>
      </c>
      <c r="BL104" s="195">
        <v>-1883.5600000000002</v>
      </c>
      <c r="BM104" s="195">
        <v>-9619.609999999999</v>
      </c>
      <c r="BN104" s="195">
        <v>-269.08</v>
      </c>
      <c r="BO104" s="195">
        <v>-114657</v>
      </c>
      <c r="BP104" s="195">
        <v>-75031.52327733226</v>
      </c>
      <c r="BQ104" s="195">
        <v>-574956.69</v>
      </c>
      <c r="BR104" s="195">
        <v>168304.4416630827</v>
      </c>
      <c r="BS104" s="195">
        <v>692802</v>
      </c>
      <c r="BT104" s="195">
        <v>228414</v>
      </c>
      <c r="BU104" s="195">
        <v>568548.2001782603</v>
      </c>
      <c r="BV104" s="195">
        <v>30177.065317712404</v>
      </c>
      <c r="BW104" s="195">
        <v>84240.24277662033</v>
      </c>
      <c r="BX104" s="195">
        <v>255219.49443637565</v>
      </c>
      <c r="BY104" s="195">
        <v>392060.7792299144</v>
      </c>
      <c r="BZ104" s="195">
        <v>659173.8744729864</v>
      </c>
      <c r="CA104" s="195">
        <v>200029.05387264123</v>
      </c>
      <c r="CB104" s="195">
        <v>605.43</v>
      </c>
      <c r="CC104" s="195">
        <v>-11820.749207567504</v>
      </c>
      <c r="CD104" s="195">
        <v>3153500.4527400266</v>
      </c>
      <c r="CE104" s="195">
        <v>2264098.3094626945</v>
      </c>
      <c r="CF104" s="195">
        <v>0</v>
      </c>
      <c r="CG104" s="229">
        <v>4152977.651319071</v>
      </c>
      <c r="CH104" s="195">
        <v>675144</v>
      </c>
      <c r="CI104" s="195">
        <v>722080.6570000001</v>
      </c>
      <c r="CJ104" s="195">
        <v>20360492.020904653</v>
      </c>
      <c r="CL104" s="195">
        <v>6793</v>
      </c>
    </row>
    <row r="105" spans="1:90" ht="9.75">
      <c r="A105" s="195">
        <v>288</v>
      </c>
      <c r="B105" s="195" t="s">
        <v>173</v>
      </c>
      <c r="C105" s="195">
        <v>6620</v>
      </c>
      <c r="D105" s="195">
        <v>24707934.53</v>
      </c>
      <c r="E105" s="195">
        <v>6334422.74871245</v>
      </c>
      <c r="F105" s="195">
        <v>2735738.5632855687</v>
      </c>
      <c r="G105" s="195">
        <v>33778095.84199802</v>
      </c>
      <c r="H105" s="195">
        <v>3540.31</v>
      </c>
      <c r="I105" s="195">
        <v>23436852.2</v>
      </c>
      <c r="J105" s="195">
        <v>10341243.64199802</v>
      </c>
      <c r="K105" s="195">
        <v>184339.1080500586</v>
      </c>
      <c r="L105" s="195">
        <v>1792603.6299727801</v>
      </c>
      <c r="M105" s="195">
        <v>0</v>
      </c>
      <c r="N105" s="195">
        <v>12318186.380020859</v>
      </c>
      <c r="O105" s="195">
        <v>3824119.0069860253</v>
      </c>
      <c r="P105" s="195">
        <v>16142305.387006884</v>
      </c>
      <c r="Q105" s="195">
        <v>417</v>
      </c>
      <c r="R105" s="195">
        <v>95</v>
      </c>
      <c r="S105" s="195">
        <v>494</v>
      </c>
      <c r="T105" s="195">
        <v>232</v>
      </c>
      <c r="U105" s="195">
        <v>254</v>
      </c>
      <c r="V105" s="195">
        <v>3525</v>
      </c>
      <c r="W105" s="195">
        <v>859</v>
      </c>
      <c r="X105" s="195">
        <v>482</v>
      </c>
      <c r="Y105" s="195">
        <v>262</v>
      </c>
      <c r="Z105" s="195">
        <v>5228</v>
      </c>
      <c r="AA105" s="195">
        <v>0</v>
      </c>
      <c r="AB105" s="195">
        <v>1198</v>
      </c>
      <c r="AC105" s="195">
        <v>194</v>
      </c>
      <c r="AD105" s="195">
        <v>1603</v>
      </c>
      <c r="AE105" s="195">
        <v>0.8423965933053609</v>
      </c>
      <c r="AF105" s="195">
        <v>6334422.74871245</v>
      </c>
      <c r="AG105" s="195">
        <v>11302789.792688506</v>
      </c>
      <c r="AH105" s="195">
        <v>2804218.1645339536</v>
      </c>
      <c r="AI105" s="195">
        <v>918671.481780684</v>
      </c>
      <c r="AJ105" s="195">
        <v>188</v>
      </c>
      <c r="AK105" s="195">
        <v>3152</v>
      </c>
      <c r="AL105" s="195">
        <v>0.44921081959887094</v>
      </c>
      <c r="AM105" s="195">
        <v>194</v>
      </c>
      <c r="AN105" s="195">
        <v>0.02930513595166163</v>
      </c>
      <c r="AO105" s="195">
        <v>0.025336881983407663</v>
      </c>
      <c r="AP105" s="195">
        <v>3</v>
      </c>
      <c r="AQ105" s="195">
        <v>5228</v>
      </c>
      <c r="AR105" s="195">
        <v>0</v>
      </c>
      <c r="AS105" s="195">
        <v>0</v>
      </c>
      <c r="AT105" s="195">
        <v>0</v>
      </c>
      <c r="AU105" s="195">
        <v>712.68</v>
      </c>
      <c r="AV105" s="195">
        <v>9.288881405399339</v>
      </c>
      <c r="AW105" s="195">
        <v>1.9491383643757678</v>
      </c>
      <c r="AX105" s="195">
        <v>286</v>
      </c>
      <c r="AY105" s="195">
        <v>1971</v>
      </c>
      <c r="AZ105" s="195">
        <v>0.14510400811770674</v>
      </c>
      <c r="BA105" s="195">
        <v>0.08008120791503827</v>
      </c>
      <c r="BB105" s="195">
        <v>0</v>
      </c>
      <c r="BC105" s="195">
        <v>2579</v>
      </c>
      <c r="BD105" s="195">
        <v>2957</v>
      </c>
      <c r="BE105" s="195">
        <v>0.8721677375718634</v>
      </c>
      <c r="BF105" s="195">
        <v>0.4412262195295573</v>
      </c>
      <c r="BG105" s="195">
        <v>0</v>
      </c>
      <c r="BH105" s="195">
        <v>0</v>
      </c>
      <c r="BI105" s="195">
        <v>0</v>
      </c>
      <c r="BJ105" s="195">
        <v>-1588.8</v>
      </c>
      <c r="BK105" s="195">
        <v>-27141.999999999996</v>
      </c>
      <c r="BL105" s="195">
        <v>-1853.6000000000001</v>
      </c>
      <c r="BM105" s="195">
        <v>-9466.6</v>
      </c>
      <c r="BN105" s="195">
        <v>-264.8</v>
      </c>
      <c r="BO105" s="195">
        <v>-32538</v>
      </c>
      <c r="BP105" s="195">
        <v>-70529.63188069234</v>
      </c>
      <c r="BQ105" s="195">
        <v>-565811.4</v>
      </c>
      <c r="BR105" s="195">
        <v>-40340.352658394724</v>
      </c>
      <c r="BS105" s="195">
        <v>575682</v>
      </c>
      <c r="BT105" s="195">
        <v>200208</v>
      </c>
      <c r="BU105" s="195">
        <v>498934.73935790296</v>
      </c>
      <c r="BV105" s="195">
        <v>26028.434395778844</v>
      </c>
      <c r="BW105" s="195">
        <v>65840.18374348737</v>
      </c>
      <c r="BX105" s="195">
        <v>210501.86059898874</v>
      </c>
      <c r="BY105" s="195">
        <v>389555.4606137078</v>
      </c>
      <c r="BZ105" s="195">
        <v>647069.5953866849</v>
      </c>
      <c r="CA105" s="195">
        <v>198699.05947097795</v>
      </c>
      <c r="CB105" s="195">
        <v>595.8</v>
      </c>
      <c r="CC105" s="195">
        <v>-76083.51905566148</v>
      </c>
      <c r="CD105" s="195">
        <v>2664550.4618534725</v>
      </c>
      <c r="CE105" s="195">
        <v>1792603.6299727801</v>
      </c>
      <c r="CF105" s="195">
        <v>0</v>
      </c>
      <c r="CG105" s="229">
        <v>3824119.0069860253</v>
      </c>
      <c r="CH105" s="195">
        <v>-76939</v>
      </c>
      <c r="CI105" s="195">
        <v>-305440.50899999996</v>
      </c>
      <c r="CJ105" s="195">
        <v>16065366.387006884</v>
      </c>
      <c r="CL105" s="195">
        <v>6682</v>
      </c>
    </row>
    <row r="106" spans="1:90" ht="9.75">
      <c r="A106" s="195">
        <v>290</v>
      </c>
      <c r="B106" s="195" t="s">
        <v>174</v>
      </c>
      <c r="C106" s="195">
        <v>8647</v>
      </c>
      <c r="D106" s="195">
        <v>29893680.53</v>
      </c>
      <c r="E106" s="195">
        <v>15121589.336265184</v>
      </c>
      <c r="F106" s="195">
        <v>4918436.1496047145</v>
      </c>
      <c r="G106" s="195">
        <v>49933706.0158699</v>
      </c>
      <c r="H106" s="195">
        <v>3540.31</v>
      </c>
      <c r="I106" s="195">
        <v>30613060.57</v>
      </c>
      <c r="J106" s="195">
        <v>19320645.4458699</v>
      </c>
      <c r="K106" s="195">
        <v>3803175.5835444974</v>
      </c>
      <c r="L106" s="195">
        <v>3189088.877804945</v>
      </c>
      <c r="M106" s="195">
        <v>0</v>
      </c>
      <c r="N106" s="195">
        <v>26312909.907219343</v>
      </c>
      <c r="O106" s="195">
        <v>6150491.237533027</v>
      </c>
      <c r="P106" s="195">
        <v>32463401.14475237</v>
      </c>
      <c r="Q106" s="195">
        <v>327</v>
      </c>
      <c r="R106" s="195">
        <v>72</v>
      </c>
      <c r="S106" s="195">
        <v>476</v>
      </c>
      <c r="T106" s="195">
        <v>234</v>
      </c>
      <c r="U106" s="195">
        <v>228</v>
      </c>
      <c r="V106" s="195">
        <v>4521</v>
      </c>
      <c r="W106" s="195">
        <v>1475</v>
      </c>
      <c r="X106" s="195">
        <v>984</v>
      </c>
      <c r="Y106" s="195">
        <v>330</v>
      </c>
      <c r="Z106" s="195">
        <v>6</v>
      </c>
      <c r="AA106" s="195">
        <v>1</v>
      </c>
      <c r="AB106" s="195">
        <v>8471</v>
      </c>
      <c r="AC106" s="195">
        <v>169</v>
      </c>
      <c r="AD106" s="195">
        <v>2789</v>
      </c>
      <c r="AE106" s="195">
        <v>1.5395703117750164</v>
      </c>
      <c r="AF106" s="195">
        <v>15121589.336265184</v>
      </c>
      <c r="AG106" s="195">
        <v>7876501.544015083</v>
      </c>
      <c r="AH106" s="195">
        <v>2014765.2779500438</v>
      </c>
      <c r="AI106" s="195">
        <v>740288.6697844347</v>
      </c>
      <c r="AJ106" s="195">
        <v>719</v>
      </c>
      <c r="AK106" s="195">
        <v>3824</v>
      </c>
      <c r="AL106" s="195">
        <v>1.416085821250843</v>
      </c>
      <c r="AM106" s="195">
        <v>169</v>
      </c>
      <c r="AN106" s="195">
        <v>0.0195443506418411</v>
      </c>
      <c r="AO106" s="195">
        <v>0.015576096673587132</v>
      </c>
      <c r="AP106" s="195">
        <v>0</v>
      </c>
      <c r="AQ106" s="195">
        <v>6</v>
      </c>
      <c r="AR106" s="195">
        <v>1</v>
      </c>
      <c r="AS106" s="195">
        <v>0</v>
      </c>
      <c r="AT106" s="195">
        <v>0</v>
      </c>
      <c r="AU106" s="195">
        <v>4806.31</v>
      </c>
      <c r="AV106" s="195">
        <v>1.7990932752985136</v>
      </c>
      <c r="AW106" s="195">
        <v>10.063577779977214</v>
      </c>
      <c r="AX106" s="195">
        <v>313</v>
      </c>
      <c r="AY106" s="195">
        <v>2330</v>
      </c>
      <c r="AZ106" s="195">
        <v>0.13433476394849786</v>
      </c>
      <c r="BA106" s="195">
        <v>0.06931196374582939</v>
      </c>
      <c r="BB106" s="195">
        <v>1.304849</v>
      </c>
      <c r="BC106" s="195">
        <v>2804</v>
      </c>
      <c r="BD106" s="195">
        <v>2948</v>
      </c>
      <c r="BE106" s="195">
        <v>0.9511533242876526</v>
      </c>
      <c r="BF106" s="195">
        <v>0.5202118062453466</v>
      </c>
      <c r="BG106" s="195">
        <v>0</v>
      </c>
      <c r="BH106" s="195">
        <v>1</v>
      </c>
      <c r="BI106" s="195">
        <v>0</v>
      </c>
      <c r="BJ106" s="195">
        <v>-2075.2799999999997</v>
      </c>
      <c r="BK106" s="195">
        <v>-35452.7</v>
      </c>
      <c r="BL106" s="195">
        <v>-2421.1600000000003</v>
      </c>
      <c r="BM106" s="195">
        <v>-12365.21</v>
      </c>
      <c r="BN106" s="195">
        <v>-345.88</v>
      </c>
      <c r="BO106" s="195">
        <v>576522</v>
      </c>
      <c r="BP106" s="195">
        <v>-265111.38224657404</v>
      </c>
      <c r="BQ106" s="195">
        <v>-739059.09</v>
      </c>
      <c r="BR106" s="195">
        <v>45840.17907136306</v>
      </c>
      <c r="BS106" s="195">
        <v>879743</v>
      </c>
      <c r="BT106" s="195">
        <v>272146</v>
      </c>
      <c r="BU106" s="195">
        <v>703979.2439260354</v>
      </c>
      <c r="BV106" s="195">
        <v>36783.39677402133</v>
      </c>
      <c r="BW106" s="195">
        <v>141222.52031815654</v>
      </c>
      <c r="BX106" s="195">
        <v>373179.4735321675</v>
      </c>
      <c r="BY106" s="195">
        <v>459507.82671199803</v>
      </c>
      <c r="BZ106" s="195">
        <v>735798.274178321</v>
      </c>
      <c r="CA106" s="195">
        <v>237475.52173028167</v>
      </c>
      <c r="CB106" s="195">
        <v>778.23</v>
      </c>
      <c r="CC106" s="195">
        <v>37511.5938091742</v>
      </c>
      <c r="CD106" s="195">
        <v>4501006.080051519</v>
      </c>
      <c r="CE106" s="195">
        <v>3189088.877804945</v>
      </c>
      <c r="CF106" s="195">
        <v>0</v>
      </c>
      <c r="CG106" s="229">
        <v>6150491.237533027</v>
      </c>
      <c r="CH106" s="195">
        <v>-478096</v>
      </c>
      <c r="CI106" s="195">
        <v>-82193.87150000001</v>
      </c>
      <c r="CJ106" s="195">
        <v>31985305.14475237</v>
      </c>
      <c r="CL106" s="195">
        <v>8806</v>
      </c>
    </row>
    <row r="107" spans="1:90" ht="9.75">
      <c r="A107" s="195">
        <v>291</v>
      </c>
      <c r="B107" s="195" t="s">
        <v>175</v>
      </c>
      <c r="C107" s="195">
        <v>2286</v>
      </c>
      <c r="D107" s="195">
        <v>8845583.07</v>
      </c>
      <c r="E107" s="195">
        <v>3976443.9417708917</v>
      </c>
      <c r="F107" s="195">
        <v>885599.5290254664</v>
      </c>
      <c r="G107" s="195">
        <v>13707626.54079636</v>
      </c>
      <c r="H107" s="195">
        <v>3540.31</v>
      </c>
      <c r="I107" s="195">
        <v>8093148.66</v>
      </c>
      <c r="J107" s="195">
        <v>5614477.88079636</v>
      </c>
      <c r="K107" s="195">
        <v>424567.40284113033</v>
      </c>
      <c r="L107" s="195">
        <v>712143.952547428</v>
      </c>
      <c r="M107" s="195">
        <v>99365.88662265433</v>
      </c>
      <c r="N107" s="195">
        <v>6850555.122807573</v>
      </c>
      <c r="O107" s="195">
        <v>1699854.8615363853</v>
      </c>
      <c r="P107" s="195">
        <v>8550409.984343957</v>
      </c>
      <c r="Q107" s="195">
        <v>66</v>
      </c>
      <c r="R107" s="195">
        <v>15</v>
      </c>
      <c r="S107" s="195">
        <v>85</v>
      </c>
      <c r="T107" s="195">
        <v>60</v>
      </c>
      <c r="U107" s="195">
        <v>51</v>
      </c>
      <c r="V107" s="195">
        <v>1045</v>
      </c>
      <c r="W107" s="195">
        <v>489</v>
      </c>
      <c r="X107" s="195">
        <v>332</v>
      </c>
      <c r="Y107" s="195">
        <v>143</v>
      </c>
      <c r="Z107" s="195">
        <v>6</v>
      </c>
      <c r="AA107" s="195">
        <v>0</v>
      </c>
      <c r="AB107" s="195">
        <v>2255</v>
      </c>
      <c r="AC107" s="195">
        <v>25</v>
      </c>
      <c r="AD107" s="195">
        <v>964</v>
      </c>
      <c r="AE107" s="195">
        <v>1.5313913352871995</v>
      </c>
      <c r="AF107" s="195">
        <v>3976443.9417708917</v>
      </c>
      <c r="AG107" s="195">
        <v>19125635.29863482</v>
      </c>
      <c r="AH107" s="195">
        <v>4317537.459839304</v>
      </c>
      <c r="AI107" s="195">
        <v>1837342.9635613677</v>
      </c>
      <c r="AJ107" s="195">
        <v>156</v>
      </c>
      <c r="AK107" s="195">
        <v>899</v>
      </c>
      <c r="AL107" s="195">
        <v>1.306903359090479</v>
      </c>
      <c r="AM107" s="195">
        <v>25</v>
      </c>
      <c r="AN107" s="195">
        <v>0.010936132983377077</v>
      </c>
      <c r="AO107" s="195">
        <v>0.006967879015123109</v>
      </c>
      <c r="AP107" s="195">
        <v>0</v>
      </c>
      <c r="AQ107" s="195">
        <v>6</v>
      </c>
      <c r="AR107" s="195">
        <v>0</v>
      </c>
      <c r="AS107" s="195">
        <v>3</v>
      </c>
      <c r="AT107" s="195">
        <v>194</v>
      </c>
      <c r="AU107" s="195">
        <v>660.96</v>
      </c>
      <c r="AV107" s="195">
        <v>3.4586056644880174</v>
      </c>
      <c r="AW107" s="195">
        <v>5.234859612733765</v>
      </c>
      <c r="AX107" s="195">
        <v>79</v>
      </c>
      <c r="AY107" s="195">
        <v>518</v>
      </c>
      <c r="AZ107" s="195">
        <v>0.1525096525096525</v>
      </c>
      <c r="BA107" s="195">
        <v>0.08748685230698404</v>
      </c>
      <c r="BB107" s="195">
        <v>0.743866</v>
      </c>
      <c r="BC107" s="195">
        <v>682</v>
      </c>
      <c r="BD107" s="195">
        <v>739</v>
      </c>
      <c r="BE107" s="195">
        <v>0.9228687415426252</v>
      </c>
      <c r="BF107" s="195">
        <v>0.49192722350031914</v>
      </c>
      <c r="BG107" s="195">
        <v>0</v>
      </c>
      <c r="BH107" s="195">
        <v>0</v>
      </c>
      <c r="BI107" s="195">
        <v>0</v>
      </c>
      <c r="BJ107" s="195">
        <v>-548.64</v>
      </c>
      <c r="BK107" s="195">
        <v>-9372.599999999999</v>
      </c>
      <c r="BL107" s="195">
        <v>-640.08</v>
      </c>
      <c r="BM107" s="195">
        <v>-3268.98</v>
      </c>
      <c r="BN107" s="195">
        <v>-91.44</v>
      </c>
      <c r="BO107" s="195">
        <v>41818</v>
      </c>
      <c r="BP107" s="195">
        <v>-65527.53032887018</v>
      </c>
      <c r="BQ107" s="195">
        <v>-195384.41999999998</v>
      </c>
      <c r="BR107" s="195">
        <v>7533.050449972972</v>
      </c>
      <c r="BS107" s="195">
        <v>263880</v>
      </c>
      <c r="BT107" s="195">
        <v>73319</v>
      </c>
      <c r="BU107" s="195">
        <v>170391.72029912568</v>
      </c>
      <c r="BV107" s="195">
        <v>10287.71598803778</v>
      </c>
      <c r="BW107" s="195">
        <v>30345.713254875387</v>
      </c>
      <c r="BX107" s="195">
        <v>102649.1409805688</v>
      </c>
      <c r="BY107" s="195">
        <v>114930.21923193669</v>
      </c>
      <c r="BZ107" s="195">
        <v>197835.3142036988</v>
      </c>
      <c r="CA107" s="195">
        <v>51922.591588854164</v>
      </c>
      <c r="CB107" s="195">
        <v>205.73999999999998</v>
      </c>
      <c r="CC107" s="195">
        <v>-10840.723120772134</v>
      </c>
      <c r="CD107" s="195">
        <v>1054414.6428762982</v>
      </c>
      <c r="CE107" s="195">
        <v>712143.952547428</v>
      </c>
      <c r="CF107" s="195">
        <v>99365.88662265433</v>
      </c>
      <c r="CG107" s="229">
        <v>1699854.8615363853</v>
      </c>
      <c r="CH107" s="195">
        <v>-197990</v>
      </c>
      <c r="CI107" s="195">
        <v>-22213.85519999999</v>
      </c>
      <c r="CJ107" s="195">
        <v>8352419.984343957</v>
      </c>
      <c r="CL107" s="195">
        <v>2334</v>
      </c>
    </row>
    <row r="108" spans="1:90" ht="9.75">
      <c r="A108" s="195">
        <v>297</v>
      </c>
      <c r="B108" s="195" t="s">
        <v>176</v>
      </c>
      <c r="C108" s="195">
        <v>117740</v>
      </c>
      <c r="D108" s="195">
        <v>374423843.78999996</v>
      </c>
      <c r="E108" s="195">
        <v>164614139.012196</v>
      </c>
      <c r="F108" s="195">
        <v>21854955.762898993</v>
      </c>
      <c r="G108" s="195">
        <v>560892938.5650951</v>
      </c>
      <c r="H108" s="195">
        <v>3540.31</v>
      </c>
      <c r="I108" s="195">
        <v>416836099.4</v>
      </c>
      <c r="J108" s="195">
        <v>144056839.1650951</v>
      </c>
      <c r="K108" s="195">
        <v>4635573.66285363</v>
      </c>
      <c r="L108" s="195">
        <v>17661296.102817684</v>
      </c>
      <c r="M108" s="195">
        <v>0</v>
      </c>
      <c r="N108" s="195">
        <v>166353708.9307664</v>
      </c>
      <c r="O108" s="195">
        <v>32539504.550342448</v>
      </c>
      <c r="P108" s="195">
        <v>198893213.48110884</v>
      </c>
      <c r="Q108" s="195">
        <v>7218</v>
      </c>
      <c r="R108" s="195">
        <v>1189</v>
      </c>
      <c r="S108" s="195">
        <v>6957</v>
      </c>
      <c r="T108" s="195">
        <v>3501</v>
      </c>
      <c r="U108" s="195">
        <v>3772</v>
      </c>
      <c r="V108" s="195">
        <v>71740</v>
      </c>
      <c r="W108" s="195">
        <v>13114</v>
      </c>
      <c r="X108" s="195">
        <v>7314</v>
      </c>
      <c r="Y108" s="195">
        <v>2935</v>
      </c>
      <c r="Z108" s="195">
        <v>120</v>
      </c>
      <c r="AA108" s="195">
        <v>3</v>
      </c>
      <c r="AB108" s="195">
        <v>113357</v>
      </c>
      <c r="AC108" s="195">
        <v>4260</v>
      </c>
      <c r="AD108" s="195">
        <v>23363</v>
      </c>
      <c r="AE108" s="195">
        <v>1.2308656462163157</v>
      </c>
      <c r="AF108" s="195">
        <v>164614139.012196</v>
      </c>
      <c r="AG108" s="195">
        <v>4498847.339699569</v>
      </c>
      <c r="AH108" s="195">
        <v>1683021.4765179625</v>
      </c>
      <c r="AI108" s="195">
        <v>347846.4833926861</v>
      </c>
      <c r="AJ108" s="195">
        <v>7371</v>
      </c>
      <c r="AK108" s="195">
        <v>55701</v>
      </c>
      <c r="AL108" s="195">
        <v>0.9966484293209386</v>
      </c>
      <c r="AM108" s="195">
        <v>4260</v>
      </c>
      <c r="AN108" s="195">
        <v>0.03618141668082215</v>
      </c>
      <c r="AO108" s="195">
        <v>0.03221316271256818</v>
      </c>
      <c r="AP108" s="195">
        <v>0</v>
      </c>
      <c r="AQ108" s="195">
        <v>120</v>
      </c>
      <c r="AR108" s="195">
        <v>3</v>
      </c>
      <c r="AS108" s="195">
        <v>3</v>
      </c>
      <c r="AT108" s="195">
        <v>844</v>
      </c>
      <c r="AU108" s="195">
        <v>3241</v>
      </c>
      <c r="AV108" s="195">
        <v>36.32829373650108</v>
      </c>
      <c r="AW108" s="195">
        <v>0.4983805526547238</v>
      </c>
      <c r="AX108" s="195">
        <v>3680</v>
      </c>
      <c r="AY108" s="195">
        <v>35639</v>
      </c>
      <c r="AZ108" s="195">
        <v>0.10325766716237829</v>
      </c>
      <c r="BA108" s="195">
        <v>0.03823486695970982</v>
      </c>
      <c r="BB108" s="195">
        <v>0</v>
      </c>
      <c r="BC108" s="195">
        <v>50571</v>
      </c>
      <c r="BD108" s="195">
        <v>47944</v>
      </c>
      <c r="BE108" s="195">
        <v>1.0547930919405974</v>
      </c>
      <c r="BF108" s="195">
        <v>0.6238515738982914</v>
      </c>
      <c r="BG108" s="195">
        <v>0</v>
      </c>
      <c r="BH108" s="195">
        <v>3</v>
      </c>
      <c r="BI108" s="195">
        <v>0</v>
      </c>
      <c r="BJ108" s="195">
        <v>-28257.6</v>
      </c>
      <c r="BK108" s="195">
        <v>-482733.99999999994</v>
      </c>
      <c r="BL108" s="195">
        <v>-32967.200000000004</v>
      </c>
      <c r="BM108" s="195">
        <v>-168368.19999999998</v>
      </c>
      <c r="BN108" s="195">
        <v>-4709.6</v>
      </c>
      <c r="BO108" s="195">
        <v>344001</v>
      </c>
      <c r="BP108" s="195">
        <v>-8992277.959710682</v>
      </c>
      <c r="BQ108" s="195">
        <v>-10063237.8</v>
      </c>
      <c r="BR108" s="195">
        <v>568576.9896894507</v>
      </c>
      <c r="BS108" s="195">
        <v>8192552</v>
      </c>
      <c r="BT108" s="195">
        <v>2780481</v>
      </c>
      <c r="BU108" s="195">
        <v>6685946.670357633</v>
      </c>
      <c r="BV108" s="195">
        <v>274340.2053332768</v>
      </c>
      <c r="BW108" s="195">
        <v>542984.4859595057</v>
      </c>
      <c r="BX108" s="195">
        <v>3006730.6654707086</v>
      </c>
      <c r="BY108" s="195">
        <v>6029936.960660052</v>
      </c>
      <c r="BZ108" s="195">
        <v>8709832.970961055</v>
      </c>
      <c r="CA108" s="195">
        <v>3025502.660494375</v>
      </c>
      <c r="CB108" s="195">
        <v>10596.6</v>
      </c>
      <c r="CC108" s="195">
        <v>728631.8536023047</v>
      </c>
      <c r="CD108" s="195">
        <v>40907178.46252836</v>
      </c>
      <c r="CE108" s="195">
        <v>17661296.102817684</v>
      </c>
      <c r="CF108" s="195">
        <v>0</v>
      </c>
      <c r="CG108" s="229">
        <v>32539504.550342448</v>
      </c>
      <c r="CH108" s="195">
        <v>-3328558</v>
      </c>
      <c r="CI108" s="195">
        <v>-1700362.4142699996</v>
      </c>
      <c r="CJ108" s="195">
        <v>195564655.48110884</v>
      </c>
      <c r="CL108" s="195">
        <v>116921</v>
      </c>
    </row>
    <row r="109" spans="1:90" ht="9.75">
      <c r="A109" s="195">
        <v>300</v>
      </c>
      <c r="B109" s="195" t="s">
        <v>177</v>
      </c>
      <c r="C109" s="195">
        <v>3690</v>
      </c>
      <c r="D109" s="195">
        <v>14210057.540000001</v>
      </c>
      <c r="E109" s="195">
        <v>6240950.741950916</v>
      </c>
      <c r="F109" s="195">
        <v>715773.3238631123</v>
      </c>
      <c r="G109" s="195">
        <v>21166781.60581403</v>
      </c>
      <c r="H109" s="195">
        <v>3540.31</v>
      </c>
      <c r="I109" s="195">
        <v>13063743.9</v>
      </c>
      <c r="J109" s="195">
        <v>8103037.705814028</v>
      </c>
      <c r="K109" s="195">
        <v>113642.57469199084</v>
      </c>
      <c r="L109" s="195">
        <v>1175769.8481796824</v>
      </c>
      <c r="M109" s="195">
        <v>0</v>
      </c>
      <c r="N109" s="195">
        <v>9392450.128685702</v>
      </c>
      <c r="O109" s="195">
        <v>3259378.9060838087</v>
      </c>
      <c r="P109" s="195">
        <v>12651829.03476951</v>
      </c>
      <c r="Q109" s="195">
        <v>175</v>
      </c>
      <c r="R109" s="195">
        <v>35</v>
      </c>
      <c r="S109" s="195">
        <v>256</v>
      </c>
      <c r="T109" s="195">
        <v>132</v>
      </c>
      <c r="U109" s="195">
        <v>129</v>
      </c>
      <c r="V109" s="195">
        <v>1870</v>
      </c>
      <c r="W109" s="195">
        <v>548</v>
      </c>
      <c r="X109" s="195">
        <v>365</v>
      </c>
      <c r="Y109" s="195">
        <v>180</v>
      </c>
      <c r="Z109" s="195">
        <v>2</v>
      </c>
      <c r="AA109" s="195">
        <v>0</v>
      </c>
      <c r="AB109" s="195">
        <v>3627</v>
      </c>
      <c r="AC109" s="195">
        <v>61</v>
      </c>
      <c r="AD109" s="195">
        <v>1093</v>
      </c>
      <c r="AE109" s="195">
        <v>1.4889905308785614</v>
      </c>
      <c r="AF109" s="195">
        <v>6240950.741950916</v>
      </c>
      <c r="AG109" s="195">
        <v>193044447.06287637</v>
      </c>
      <c r="AH109" s="195">
        <v>42177124.25380393</v>
      </c>
      <c r="AI109" s="195">
        <v>21468371.423748605</v>
      </c>
      <c r="AJ109" s="195">
        <v>131</v>
      </c>
      <c r="AK109" s="195">
        <v>1587</v>
      </c>
      <c r="AL109" s="195">
        <v>0.6216886469258504</v>
      </c>
      <c r="AM109" s="195">
        <v>61</v>
      </c>
      <c r="AN109" s="195">
        <v>0.016531165311653117</v>
      </c>
      <c r="AO109" s="195">
        <v>0.012562911343399149</v>
      </c>
      <c r="AP109" s="195">
        <v>0</v>
      </c>
      <c r="AQ109" s="195">
        <v>2</v>
      </c>
      <c r="AR109" s="195">
        <v>0</v>
      </c>
      <c r="AS109" s="195">
        <v>0</v>
      </c>
      <c r="AT109" s="195">
        <v>0</v>
      </c>
      <c r="AU109" s="195">
        <v>462.16</v>
      </c>
      <c r="AV109" s="195">
        <v>7.984247879522243</v>
      </c>
      <c r="AW109" s="195">
        <v>2.2676293850841622</v>
      </c>
      <c r="AX109" s="195">
        <v>145</v>
      </c>
      <c r="AY109" s="195">
        <v>1063</v>
      </c>
      <c r="AZ109" s="195">
        <v>0.13640639698965193</v>
      </c>
      <c r="BA109" s="195">
        <v>0.07138359678698346</v>
      </c>
      <c r="BB109" s="195">
        <v>0</v>
      </c>
      <c r="BC109" s="195">
        <v>1315</v>
      </c>
      <c r="BD109" s="195">
        <v>1431</v>
      </c>
      <c r="BE109" s="195">
        <v>0.9189378057302585</v>
      </c>
      <c r="BF109" s="195">
        <v>0.48799628768795245</v>
      </c>
      <c r="BG109" s="195">
        <v>0</v>
      </c>
      <c r="BH109" s="195">
        <v>0</v>
      </c>
      <c r="BI109" s="195">
        <v>0</v>
      </c>
      <c r="BJ109" s="195">
        <v>-885.6</v>
      </c>
      <c r="BK109" s="195">
        <v>-15128.999999999998</v>
      </c>
      <c r="BL109" s="195">
        <v>-1033.2</v>
      </c>
      <c r="BM109" s="195">
        <v>-5276.7</v>
      </c>
      <c r="BN109" s="195">
        <v>-147.6</v>
      </c>
      <c r="BO109" s="195">
        <v>-28763</v>
      </c>
      <c r="BP109" s="195">
        <v>-45519.124121581575</v>
      </c>
      <c r="BQ109" s="195">
        <v>-315384.3</v>
      </c>
      <c r="BR109" s="195">
        <v>43572.96139998175</v>
      </c>
      <c r="BS109" s="195">
        <v>402441</v>
      </c>
      <c r="BT109" s="195">
        <v>120659</v>
      </c>
      <c r="BU109" s="195">
        <v>305156.2929916715</v>
      </c>
      <c r="BV109" s="195">
        <v>18450.74644536792</v>
      </c>
      <c r="BW109" s="195">
        <v>1795.9278249640176</v>
      </c>
      <c r="BX109" s="195">
        <v>137432.4563507495</v>
      </c>
      <c r="BY109" s="195">
        <v>220951.71960317195</v>
      </c>
      <c r="BZ109" s="195">
        <v>351056.0725939158</v>
      </c>
      <c r="CA109" s="195">
        <v>105282.87559587731</v>
      </c>
      <c r="CB109" s="195">
        <v>332.09999999999997</v>
      </c>
      <c r="CC109" s="195">
        <v>-10589.180504435826</v>
      </c>
      <c r="CD109" s="195">
        <v>1668000.372301264</v>
      </c>
      <c r="CE109" s="195">
        <v>1175769.8481796824</v>
      </c>
      <c r="CF109" s="195">
        <v>0</v>
      </c>
      <c r="CG109" s="229">
        <v>3259378.9060838087</v>
      </c>
      <c r="CH109" s="195">
        <v>468826</v>
      </c>
      <c r="CI109" s="195">
        <v>125409.206</v>
      </c>
      <c r="CJ109" s="195">
        <v>13120655.03476951</v>
      </c>
      <c r="CL109" s="195">
        <v>3715</v>
      </c>
    </row>
    <row r="110" spans="1:90" ht="9.75">
      <c r="A110" s="195">
        <v>301</v>
      </c>
      <c r="B110" s="195" t="s">
        <v>178</v>
      </c>
      <c r="C110" s="195">
        <v>21501</v>
      </c>
      <c r="D110" s="195">
        <v>77521736.75</v>
      </c>
      <c r="E110" s="195">
        <v>33098552.49455295</v>
      </c>
      <c r="F110" s="195">
        <v>3785368.474067468</v>
      </c>
      <c r="G110" s="195">
        <v>114405657.71862042</v>
      </c>
      <c r="H110" s="195">
        <v>3540.31</v>
      </c>
      <c r="I110" s="195">
        <v>76120205.31</v>
      </c>
      <c r="J110" s="195">
        <v>38285452.40862042</v>
      </c>
      <c r="K110" s="195">
        <v>621690.2495445646</v>
      </c>
      <c r="L110" s="195">
        <v>6228652.441318274</v>
      </c>
      <c r="M110" s="195">
        <v>0</v>
      </c>
      <c r="N110" s="195">
        <v>45135795.09948325</v>
      </c>
      <c r="O110" s="195">
        <v>17799310.318543985</v>
      </c>
      <c r="P110" s="195">
        <v>62935105.41802724</v>
      </c>
      <c r="Q110" s="195">
        <v>1235</v>
      </c>
      <c r="R110" s="195">
        <v>249</v>
      </c>
      <c r="S110" s="195">
        <v>1366</v>
      </c>
      <c r="T110" s="195">
        <v>721</v>
      </c>
      <c r="U110" s="195">
        <v>695</v>
      </c>
      <c r="V110" s="195">
        <v>11410</v>
      </c>
      <c r="W110" s="195">
        <v>3184</v>
      </c>
      <c r="X110" s="195">
        <v>1833</v>
      </c>
      <c r="Y110" s="195">
        <v>808</v>
      </c>
      <c r="Z110" s="195">
        <v>70</v>
      </c>
      <c r="AA110" s="195">
        <v>0</v>
      </c>
      <c r="AB110" s="195">
        <v>21107</v>
      </c>
      <c r="AC110" s="195">
        <v>324</v>
      </c>
      <c r="AD110" s="195">
        <v>5825</v>
      </c>
      <c r="AE110" s="195">
        <v>1.3552452354774978</v>
      </c>
      <c r="AF110" s="195">
        <v>33098552.49455295</v>
      </c>
      <c r="AG110" s="195">
        <v>6897245.809827728</v>
      </c>
      <c r="AH110" s="195">
        <v>2556853.744287418</v>
      </c>
      <c r="AI110" s="195">
        <v>552986.7171883729</v>
      </c>
      <c r="AJ110" s="195">
        <v>1076</v>
      </c>
      <c r="AK110" s="195">
        <v>9685</v>
      </c>
      <c r="AL110" s="195">
        <v>0.8367413161569163</v>
      </c>
      <c r="AM110" s="195">
        <v>324</v>
      </c>
      <c r="AN110" s="195">
        <v>0.01506906655504395</v>
      </c>
      <c r="AO110" s="195">
        <v>0.011100812586789983</v>
      </c>
      <c r="AP110" s="195">
        <v>0</v>
      </c>
      <c r="AQ110" s="195">
        <v>70</v>
      </c>
      <c r="AR110" s="195">
        <v>0</v>
      </c>
      <c r="AS110" s="195">
        <v>0</v>
      </c>
      <c r="AT110" s="195">
        <v>0</v>
      </c>
      <c r="AU110" s="195">
        <v>1724.16</v>
      </c>
      <c r="AV110" s="195">
        <v>12.470420378619153</v>
      </c>
      <c r="AW110" s="195">
        <v>1.451860848287245</v>
      </c>
      <c r="AX110" s="195">
        <v>774</v>
      </c>
      <c r="AY110" s="195">
        <v>5982</v>
      </c>
      <c r="AZ110" s="195">
        <v>0.12938816449348045</v>
      </c>
      <c r="BA110" s="195">
        <v>0.06436536429081198</v>
      </c>
      <c r="BB110" s="195">
        <v>0</v>
      </c>
      <c r="BC110" s="195">
        <v>7432</v>
      </c>
      <c r="BD110" s="195">
        <v>8359</v>
      </c>
      <c r="BE110" s="195">
        <v>0.8891015671731068</v>
      </c>
      <c r="BF110" s="195">
        <v>0.4581600491308008</v>
      </c>
      <c r="BG110" s="195">
        <v>0</v>
      </c>
      <c r="BH110" s="195">
        <v>0</v>
      </c>
      <c r="BI110" s="195">
        <v>0</v>
      </c>
      <c r="BJ110" s="195">
        <v>-5160.24</v>
      </c>
      <c r="BK110" s="195">
        <v>-88154.09999999999</v>
      </c>
      <c r="BL110" s="195">
        <v>-6020.280000000001</v>
      </c>
      <c r="BM110" s="195">
        <v>-30746.43</v>
      </c>
      <c r="BN110" s="195">
        <v>-860.04</v>
      </c>
      <c r="BO110" s="195">
        <v>-113946</v>
      </c>
      <c r="BP110" s="195">
        <v>-662778.455616435</v>
      </c>
      <c r="BQ110" s="195">
        <v>-1837690.47</v>
      </c>
      <c r="BR110" s="195">
        <v>261876.34645608068</v>
      </c>
      <c r="BS110" s="195">
        <v>2077689</v>
      </c>
      <c r="BT110" s="195">
        <v>680804</v>
      </c>
      <c r="BU110" s="195">
        <v>1686262.0985350716</v>
      </c>
      <c r="BV110" s="195">
        <v>83240.06106929644</v>
      </c>
      <c r="BW110" s="195">
        <v>147392.0110943074</v>
      </c>
      <c r="BX110" s="195">
        <v>733409.5022579217</v>
      </c>
      <c r="BY110" s="195">
        <v>1300647.7488145032</v>
      </c>
      <c r="BZ110" s="195">
        <v>1980529.4052533626</v>
      </c>
      <c r="CA110" s="195">
        <v>645307.4053756819</v>
      </c>
      <c r="CB110" s="195">
        <v>1935.09</v>
      </c>
      <c r="CC110" s="195">
        <v>7905.22807848356</v>
      </c>
      <c r="CD110" s="195">
        <v>9494341.95693471</v>
      </c>
      <c r="CE110" s="195">
        <v>6228652.441318274</v>
      </c>
      <c r="CF110" s="195">
        <v>0</v>
      </c>
      <c r="CG110" s="229">
        <v>17799310.318543985</v>
      </c>
      <c r="CH110" s="195">
        <v>-2569667</v>
      </c>
      <c r="CI110" s="195">
        <v>379421.51149999996</v>
      </c>
      <c r="CJ110" s="195">
        <v>60365438.41802724</v>
      </c>
      <c r="CL110" s="195">
        <v>21734</v>
      </c>
    </row>
    <row r="111" spans="1:90" ht="9.75">
      <c r="A111" s="195">
        <v>304</v>
      </c>
      <c r="B111" s="195" t="s">
        <v>179</v>
      </c>
      <c r="C111" s="195">
        <v>908</v>
      </c>
      <c r="D111" s="195">
        <v>3008297.3499999996</v>
      </c>
      <c r="E111" s="195">
        <v>1165009.8549172846</v>
      </c>
      <c r="F111" s="195">
        <v>614626.8530017587</v>
      </c>
      <c r="G111" s="195">
        <v>4787934.057919043</v>
      </c>
      <c r="H111" s="195">
        <v>3540.31</v>
      </c>
      <c r="I111" s="195">
        <v>3214601.48</v>
      </c>
      <c r="J111" s="195">
        <v>1573332.5779190431</v>
      </c>
      <c r="K111" s="195">
        <v>121357.679359092</v>
      </c>
      <c r="L111" s="195">
        <v>296023.48601377895</v>
      </c>
      <c r="M111" s="195">
        <v>0</v>
      </c>
      <c r="N111" s="195">
        <v>1990713.743291914</v>
      </c>
      <c r="O111" s="195">
        <v>457347.06798961037</v>
      </c>
      <c r="P111" s="195">
        <v>2448060.8112815246</v>
      </c>
      <c r="Q111" s="195">
        <v>29</v>
      </c>
      <c r="R111" s="195">
        <v>7</v>
      </c>
      <c r="S111" s="195">
        <v>34</v>
      </c>
      <c r="T111" s="195">
        <v>10</v>
      </c>
      <c r="U111" s="195">
        <v>25</v>
      </c>
      <c r="V111" s="195">
        <v>461</v>
      </c>
      <c r="W111" s="195">
        <v>211</v>
      </c>
      <c r="X111" s="195">
        <v>85</v>
      </c>
      <c r="Y111" s="195">
        <v>46</v>
      </c>
      <c r="Z111" s="195">
        <v>10</v>
      </c>
      <c r="AA111" s="195">
        <v>0</v>
      </c>
      <c r="AB111" s="195">
        <v>872</v>
      </c>
      <c r="AC111" s="195">
        <v>26</v>
      </c>
      <c r="AD111" s="195">
        <v>342</v>
      </c>
      <c r="AE111" s="195">
        <v>1.1295651838312366</v>
      </c>
      <c r="AF111" s="195">
        <v>1165009.8549172846</v>
      </c>
      <c r="AG111" s="195">
        <v>39805808.92681008</v>
      </c>
      <c r="AH111" s="195">
        <v>11776131.34738885</v>
      </c>
      <c r="AI111" s="195">
        <v>3433869.1309277993</v>
      </c>
      <c r="AJ111" s="195">
        <v>40</v>
      </c>
      <c r="AK111" s="195">
        <v>366</v>
      </c>
      <c r="AL111" s="195">
        <v>0.823109233447065</v>
      </c>
      <c r="AM111" s="195">
        <v>26</v>
      </c>
      <c r="AN111" s="195">
        <v>0.028634361233480177</v>
      </c>
      <c r="AO111" s="195">
        <v>0.02466610726522621</v>
      </c>
      <c r="AP111" s="195">
        <v>0</v>
      </c>
      <c r="AQ111" s="195">
        <v>10</v>
      </c>
      <c r="AR111" s="195">
        <v>0</v>
      </c>
      <c r="AS111" s="195">
        <v>1</v>
      </c>
      <c r="AT111" s="195">
        <v>0</v>
      </c>
      <c r="AU111" s="195">
        <v>165.83</v>
      </c>
      <c r="AV111" s="195">
        <v>5.475486944461195</v>
      </c>
      <c r="AW111" s="195">
        <v>3.306612780387548</v>
      </c>
      <c r="AX111" s="195">
        <v>43</v>
      </c>
      <c r="AY111" s="195">
        <v>208</v>
      </c>
      <c r="AZ111" s="195">
        <v>0.20673076923076922</v>
      </c>
      <c r="BA111" s="195">
        <v>0.14170796902810073</v>
      </c>
      <c r="BB111" s="195">
        <v>0.513933</v>
      </c>
      <c r="BC111" s="195">
        <v>278</v>
      </c>
      <c r="BD111" s="195">
        <v>325</v>
      </c>
      <c r="BE111" s="195">
        <v>0.8553846153846154</v>
      </c>
      <c r="BF111" s="195">
        <v>0.42444309734230934</v>
      </c>
      <c r="BG111" s="195">
        <v>0</v>
      </c>
      <c r="BH111" s="195">
        <v>0</v>
      </c>
      <c r="BI111" s="195">
        <v>0</v>
      </c>
      <c r="BJ111" s="195">
        <v>-217.92</v>
      </c>
      <c r="BK111" s="195">
        <v>-3722.7999999999997</v>
      </c>
      <c r="BL111" s="195">
        <v>-254.24000000000004</v>
      </c>
      <c r="BM111" s="195">
        <v>-1298.44</v>
      </c>
      <c r="BN111" s="195">
        <v>-36.32</v>
      </c>
      <c r="BO111" s="195">
        <v>14097</v>
      </c>
      <c r="BP111" s="195">
        <v>-32513.660086843982</v>
      </c>
      <c r="BQ111" s="195">
        <v>-77606.76</v>
      </c>
      <c r="BR111" s="195">
        <v>44742.655345892534</v>
      </c>
      <c r="BS111" s="195">
        <v>85842</v>
      </c>
      <c r="BT111" s="195">
        <v>32620</v>
      </c>
      <c r="BU111" s="195">
        <v>75487.32994316822</v>
      </c>
      <c r="BV111" s="195">
        <v>4273.189155356878</v>
      </c>
      <c r="BW111" s="195">
        <v>8143.4788131842</v>
      </c>
      <c r="BX111" s="195">
        <v>29434.574132182515</v>
      </c>
      <c r="BY111" s="195">
        <v>45615.810298082986</v>
      </c>
      <c r="BZ111" s="195">
        <v>79648.67830292518</v>
      </c>
      <c r="CA111" s="195">
        <v>22707.11388133688</v>
      </c>
      <c r="CB111" s="195">
        <v>81.72</v>
      </c>
      <c r="CC111" s="195">
        <v>-4288.403771506481</v>
      </c>
      <c r="CD111" s="195">
        <v>438459.6261006229</v>
      </c>
      <c r="CE111" s="195">
        <v>296023.48601377895</v>
      </c>
      <c r="CF111" s="195">
        <v>0</v>
      </c>
      <c r="CG111" s="229">
        <v>457347.06798961037</v>
      </c>
      <c r="CH111" s="195">
        <v>-101233</v>
      </c>
      <c r="CI111" s="195">
        <v>-83432.32</v>
      </c>
      <c r="CJ111" s="195">
        <v>2346827.8112815246</v>
      </c>
      <c r="CL111" s="195">
        <v>895</v>
      </c>
    </row>
    <row r="112" spans="1:90" ht="9.75">
      <c r="A112" s="195">
        <v>305</v>
      </c>
      <c r="B112" s="195" t="s">
        <v>180</v>
      </c>
      <c r="C112" s="195">
        <v>15533</v>
      </c>
      <c r="D112" s="195">
        <v>52998029.58</v>
      </c>
      <c r="E112" s="195">
        <v>25602234.27635428</v>
      </c>
      <c r="F112" s="195">
        <v>5475397.834153393</v>
      </c>
      <c r="G112" s="195">
        <v>84075661.69050768</v>
      </c>
      <c r="H112" s="195">
        <v>3540.31</v>
      </c>
      <c r="I112" s="195">
        <v>54991635.23</v>
      </c>
      <c r="J112" s="195">
        <v>29084026.460507683</v>
      </c>
      <c r="K112" s="195">
        <v>3056468.8990192106</v>
      </c>
      <c r="L112" s="195">
        <v>3337879.147812883</v>
      </c>
      <c r="M112" s="195">
        <v>0</v>
      </c>
      <c r="N112" s="195">
        <v>35478374.507339776</v>
      </c>
      <c r="O112" s="195">
        <v>10713777.492735995</v>
      </c>
      <c r="P112" s="195">
        <v>46192152.00007577</v>
      </c>
      <c r="Q112" s="195">
        <v>897</v>
      </c>
      <c r="R112" s="195">
        <v>156</v>
      </c>
      <c r="S112" s="195">
        <v>1019</v>
      </c>
      <c r="T112" s="195">
        <v>499</v>
      </c>
      <c r="U112" s="195">
        <v>556</v>
      </c>
      <c r="V112" s="195">
        <v>8639</v>
      </c>
      <c r="W112" s="195">
        <v>1995</v>
      </c>
      <c r="X112" s="195">
        <v>1341</v>
      </c>
      <c r="Y112" s="195">
        <v>431</v>
      </c>
      <c r="Z112" s="195">
        <v>32</v>
      </c>
      <c r="AA112" s="195">
        <v>5</v>
      </c>
      <c r="AB112" s="195">
        <v>15234</v>
      </c>
      <c r="AC112" s="195">
        <v>262</v>
      </c>
      <c r="AD112" s="195">
        <v>3767</v>
      </c>
      <c r="AE112" s="195">
        <v>1.4510757097471159</v>
      </c>
      <c r="AF112" s="195">
        <v>25602234.27635428</v>
      </c>
      <c r="AG112" s="195">
        <v>1436356.2801734582</v>
      </c>
      <c r="AH112" s="195">
        <v>361631.31033143424</v>
      </c>
      <c r="AI112" s="195">
        <v>98110.54659793711</v>
      </c>
      <c r="AJ112" s="195">
        <v>939</v>
      </c>
      <c r="AK112" s="195">
        <v>6935</v>
      </c>
      <c r="AL112" s="195">
        <v>1.0197593464155972</v>
      </c>
      <c r="AM112" s="195">
        <v>262</v>
      </c>
      <c r="AN112" s="195">
        <v>0.016867314749243547</v>
      </c>
      <c r="AO112" s="195">
        <v>0.012899060780989579</v>
      </c>
      <c r="AP112" s="195">
        <v>0</v>
      </c>
      <c r="AQ112" s="195">
        <v>32</v>
      </c>
      <c r="AR112" s="195">
        <v>5</v>
      </c>
      <c r="AS112" s="195">
        <v>0</v>
      </c>
      <c r="AT112" s="195">
        <v>0</v>
      </c>
      <c r="AU112" s="195">
        <v>4977.13</v>
      </c>
      <c r="AV112" s="195">
        <v>3.1208748817089367</v>
      </c>
      <c r="AW112" s="195">
        <v>5.801358848287566</v>
      </c>
      <c r="AX112" s="195">
        <v>468</v>
      </c>
      <c r="AY112" s="195">
        <v>4552</v>
      </c>
      <c r="AZ112" s="195">
        <v>0.10281195079086115</v>
      </c>
      <c r="BA112" s="195">
        <v>0.03778915058819268</v>
      </c>
      <c r="BB112" s="195">
        <v>0.769082</v>
      </c>
      <c r="BC112" s="195">
        <v>5882</v>
      </c>
      <c r="BD112" s="195">
        <v>5796</v>
      </c>
      <c r="BE112" s="195">
        <v>1.0148378191856453</v>
      </c>
      <c r="BF112" s="195">
        <v>0.5838963011433392</v>
      </c>
      <c r="BG112" s="195">
        <v>0</v>
      </c>
      <c r="BH112" s="195">
        <v>5</v>
      </c>
      <c r="BI112" s="195">
        <v>0</v>
      </c>
      <c r="BJ112" s="195">
        <v>-3727.92</v>
      </c>
      <c r="BK112" s="195">
        <v>-63685.299999999996</v>
      </c>
      <c r="BL112" s="195">
        <v>-4349.240000000001</v>
      </c>
      <c r="BM112" s="195">
        <v>-22212.19</v>
      </c>
      <c r="BN112" s="195">
        <v>-621.32</v>
      </c>
      <c r="BO112" s="195">
        <v>250403</v>
      </c>
      <c r="BP112" s="195">
        <v>-594249.6643564715</v>
      </c>
      <c r="BQ112" s="195">
        <v>-1327605.51</v>
      </c>
      <c r="BR112" s="195">
        <v>-579082.7256268188</v>
      </c>
      <c r="BS112" s="195">
        <v>1313963</v>
      </c>
      <c r="BT112" s="195">
        <v>435634</v>
      </c>
      <c r="BU112" s="195">
        <v>1098414.486511707</v>
      </c>
      <c r="BV112" s="195">
        <v>52714.551751714826</v>
      </c>
      <c r="BW112" s="195">
        <v>141116.00218029704</v>
      </c>
      <c r="BX112" s="195">
        <v>546955.3250817208</v>
      </c>
      <c r="BY112" s="195">
        <v>838660.793254376</v>
      </c>
      <c r="BZ112" s="195">
        <v>1266459.4287688755</v>
      </c>
      <c r="CA112" s="195">
        <v>442640.06515882</v>
      </c>
      <c r="CB112" s="195">
        <v>1397.97</v>
      </c>
      <c r="CC112" s="195">
        <v>2345.9150886613643</v>
      </c>
      <c r="CD112" s="195">
        <v>5812553.792169354</v>
      </c>
      <c r="CE112" s="195">
        <v>3337879.147812883</v>
      </c>
      <c r="CF112" s="195">
        <v>0</v>
      </c>
      <c r="CG112" s="229">
        <v>10713777.492735995</v>
      </c>
      <c r="CH112" s="195">
        <v>-812256</v>
      </c>
      <c r="CI112" s="195">
        <v>625.7423999999883</v>
      </c>
      <c r="CJ112" s="195">
        <v>45379896.00007577</v>
      </c>
      <c r="CL112" s="195">
        <v>15688</v>
      </c>
    </row>
    <row r="113" spans="1:90" ht="9.75">
      <c r="A113" s="195">
        <v>312</v>
      </c>
      <c r="B113" s="195" t="s">
        <v>181</v>
      </c>
      <c r="C113" s="195">
        <v>1375</v>
      </c>
      <c r="D113" s="195">
        <v>4937150.260000001</v>
      </c>
      <c r="E113" s="195">
        <v>1991544.9207143616</v>
      </c>
      <c r="F113" s="195">
        <v>525578.6585055098</v>
      </c>
      <c r="G113" s="195">
        <v>7454273.839219872</v>
      </c>
      <c r="H113" s="195">
        <v>3540.31</v>
      </c>
      <c r="I113" s="195">
        <v>4867926.25</v>
      </c>
      <c r="J113" s="195">
        <v>2586347.589219872</v>
      </c>
      <c r="K113" s="195">
        <v>294617.1011951941</v>
      </c>
      <c r="L113" s="195">
        <v>439602.5203689933</v>
      </c>
      <c r="M113" s="195">
        <v>0</v>
      </c>
      <c r="N113" s="195">
        <v>3320567.2107840595</v>
      </c>
      <c r="O113" s="195">
        <v>1116475.2387824384</v>
      </c>
      <c r="P113" s="195">
        <v>4437042.449566498</v>
      </c>
      <c r="Q113" s="195">
        <v>94</v>
      </c>
      <c r="R113" s="195">
        <v>22</v>
      </c>
      <c r="S113" s="195">
        <v>74</v>
      </c>
      <c r="T113" s="195">
        <v>47</v>
      </c>
      <c r="U113" s="195">
        <v>42</v>
      </c>
      <c r="V113" s="195">
        <v>685</v>
      </c>
      <c r="W113" s="195">
        <v>232</v>
      </c>
      <c r="X113" s="195">
        <v>140</v>
      </c>
      <c r="Y113" s="195">
        <v>39</v>
      </c>
      <c r="Z113" s="195">
        <v>1</v>
      </c>
      <c r="AA113" s="195">
        <v>0</v>
      </c>
      <c r="AB113" s="195">
        <v>1356</v>
      </c>
      <c r="AC113" s="195">
        <v>18</v>
      </c>
      <c r="AD113" s="195">
        <v>411</v>
      </c>
      <c r="AE113" s="195">
        <v>1.2751314452002684</v>
      </c>
      <c r="AF113" s="195">
        <v>1991544.9207143616</v>
      </c>
      <c r="AG113" s="195">
        <v>15301783.560994953</v>
      </c>
      <c r="AH113" s="195">
        <v>3498498.958385328</v>
      </c>
      <c r="AI113" s="195">
        <v>1311113.6681724323</v>
      </c>
      <c r="AJ113" s="195">
        <v>82</v>
      </c>
      <c r="AK113" s="195">
        <v>575</v>
      </c>
      <c r="AL113" s="195">
        <v>1.0740501875744919</v>
      </c>
      <c r="AM113" s="195">
        <v>18</v>
      </c>
      <c r="AN113" s="195">
        <v>0.01309090909090909</v>
      </c>
      <c r="AO113" s="195">
        <v>0.009122655122655123</v>
      </c>
      <c r="AP113" s="195">
        <v>0</v>
      </c>
      <c r="AQ113" s="195">
        <v>1</v>
      </c>
      <c r="AR113" s="195">
        <v>0</v>
      </c>
      <c r="AS113" s="195">
        <v>0</v>
      </c>
      <c r="AT113" s="195">
        <v>0</v>
      </c>
      <c r="AU113" s="195">
        <v>448.22</v>
      </c>
      <c r="AV113" s="195">
        <v>3.0676899736736423</v>
      </c>
      <c r="AW113" s="195">
        <v>5.901937700607647</v>
      </c>
      <c r="AX113" s="195">
        <v>58</v>
      </c>
      <c r="AY113" s="195">
        <v>331</v>
      </c>
      <c r="AZ113" s="195">
        <v>0.17522658610271905</v>
      </c>
      <c r="BA113" s="195">
        <v>0.11020378590005057</v>
      </c>
      <c r="BB113" s="195">
        <v>0.835116</v>
      </c>
      <c r="BC113" s="195">
        <v>505</v>
      </c>
      <c r="BD113" s="195">
        <v>470</v>
      </c>
      <c r="BE113" s="195">
        <v>1.074468085106383</v>
      </c>
      <c r="BF113" s="195">
        <v>0.643526567064077</v>
      </c>
      <c r="BG113" s="195">
        <v>0</v>
      </c>
      <c r="BH113" s="195">
        <v>0</v>
      </c>
      <c r="BI113" s="195">
        <v>0</v>
      </c>
      <c r="BJ113" s="195">
        <v>-330</v>
      </c>
      <c r="BK113" s="195">
        <v>-5637.499999999999</v>
      </c>
      <c r="BL113" s="195">
        <v>-385.00000000000006</v>
      </c>
      <c r="BM113" s="195">
        <v>-1966.25</v>
      </c>
      <c r="BN113" s="195">
        <v>-55</v>
      </c>
      <c r="BO113" s="195">
        <v>11212</v>
      </c>
      <c r="BP113" s="195">
        <v>-20008.406207288604</v>
      </c>
      <c r="BQ113" s="195">
        <v>-117521.25</v>
      </c>
      <c r="BR113" s="195">
        <v>-17635.270867861807</v>
      </c>
      <c r="BS113" s="195">
        <v>144901</v>
      </c>
      <c r="BT113" s="195">
        <v>45985</v>
      </c>
      <c r="BU113" s="195">
        <v>129179.66506163221</v>
      </c>
      <c r="BV113" s="195">
        <v>6978.775756307908</v>
      </c>
      <c r="BW113" s="195">
        <v>17248.587342765153</v>
      </c>
      <c r="BX113" s="195">
        <v>61124.31556323072</v>
      </c>
      <c r="BY113" s="195">
        <v>69743.67295566997</v>
      </c>
      <c r="BZ113" s="195">
        <v>130961.70997997127</v>
      </c>
      <c r="CA113" s="195">
        <v>40041.386365345345</v>
      </c>
      <c r="CB113" s="195">
        <v>123.75</v>
      </c>
      <c r="CC113" s="195">
        <v>-13878.66558077902</v>
      </c>
      <c r="CD113" s="195">
        <v>626068.4265762819</v>
      </c>
      <c r="CE113" s="195">
        <v>439602.5203689933</v>
      </c>
      <c r="CF113" s="195">
        <v>0</v>
      </c>
      <c r="CG113" s="229">
        <v>1116475.2387824384</v>
      </c>
      <c r="CH113" s="195">
        <v>-326223</v>
      </c>
      <c r="CI113" s="195">
        <v>0</v>
      </c>
      <c r="CJ113" s="195">
        <v>4110819.4495664984</v>
      </c>
      <c r="CL113" s="195">
        <v>1379</v>
      </c>
    </row>
    <row r="114" spans="1:90" ht="9.75">
      <c r="A114" s="195">
        <v>316</v>
      </c>
      <c r="B114" s="195" t="s">
        <v>182</v>
      </c>
      <c r="C114" s="195">
        <v>4540</v>
      </c>
      <c r="D114" s="195">
        <v>15087444.66</v>
      </c>
      <c r="E114" s="195">
        <v>5076982.791095601</v>
      </c>
      <c r="F114" s="195">
        <v>1079558.1788257274</v>
      </c>
      <c r="G114" s="195">
        <v>21243985.629921332</v>
      </c>
      <c r="H114" s="195">
        <v>3540.31</v>
      </c>
      <c r="I114" s="195">
        <v>16073007.4</v>
      </c>
      <c r="J114" s="195">
        <v>5170978.229921332</v>
      </c>
      <c r="K114" s="195">
        <v>143621.25074763267</v>
      </c>
      <c r="L114" s="195">
        <v>1024157.4827783498</v>
      </c>
      <c r="M114" s="195">
        <v>0</v>
      </c>
      <c r="N114" s="195">
        <v>6338756.963447314</v>
      </c>
      <c r="O114" s="195">
        <v>2511600.9998786184</v>
      </c>
      <c r="P114" s="195">
        <v>8850357.963325933</v>
      </c>
      <c r="Q114" s="195">
        <v>234</v>
      </c>
      <c r="R114" s="195">
        <v>47</v>
      </c>
      <c r="S114" s="195">
        <v>292</v>
      </c>
      <c r="T114" s="195">
        <v>159</v>
      </c>
      <c r="U114" s="195">
        <v>146</v>
      </c>
      <c r="V114" s="195">
        <v>2543</v>
      </c>
      <c r="W114" s="195">
        <v>677</v>
      </c>
      <c r="X114" s="195">
        <v>318</v>
      </c>
      <c r="Y114" s="195">
        <v>124</v>
      </c>
      <c r="Z114" s="195">
        <v>19</v>
      </c>
      <c r="AA114" s="195">
        <v>1</v>
      </c>
      <c r="AB114" s="195">
        <v>4356</v>
      </c>
      <c r="AC114" s="195">
        <v>164</v>
      </c>
      <c r="AD114" s="195">
        <v>1119</v>
      </c>
      <c r="AE114" s="195">
        <v>0.9845037748867965</v>
      </c>
      <c r="AF114" s="195">
        <v>5076982.791095601</v>
      </c>
      <c r="AG114" s="195">
        <v>2626601.8290819735</v>
      </c>
      <c r="AH114" s="195">
        <v>694431.7408660182</v>
      </c>
      <c r="AI114" s="195">
        <v>196221.09319587421</v>
      </c>
      <c r="AJ114" s="195">
        <v>263</v>
      </c>
      <c r="AK114" s="195">
        <v>2163</v>
      </c>
      <c r="AL114" s="195">
        <v>0.9157518330229726</v>
      </c>
      <c r="AM114" s="195">
        <v>164</v>
      </c>
      <c r="AN114" s="195">
        <v>0.03612334801762115</v>
      </c>
      <c r="AO114" s="195">
        <v>0.03215509404936718</v>
      </c>
      <c r="AP114" s="195">
        <v>0</v>
      </c>
      <c r="AQ114" s="195">
        <v>19</v>
      </c>
      <c r="AR114" s="195">
        <v>1</v>
      </c>
      <c r="AS114" s="195">
        <v>0</v>
      </c>
      <c r="AT114" s="195">
        <v>0</v>
      </c>
      <c r="AU114" s="195">
        <v>256.48</v>
      </c>
      <c r="AV114" s="195">
        <v>17.70118527760449</v>
      </c>
      <c r="AW114" s="195">
        <v>1.0228306650350338</v>
      </c>
      <c r="AX114" s="195">
        <v>301</v>
      </c>
      <c r="AY114" s="195">
        <v>1442</v>
      </c>
      <c r="AZ114" s="195">
        <v>0.2087378640776699</v>
      </c>
      <c r="BA114" s="195">
        <v>0.14371506387500144</v>
      </c>
      <c r="BB114" s="195">
        <v>0</v>
      </c>
      <c r="BC114" s="195">
        <v>1760</v>
      </c>
      <c r="BD114" s="195">
        <v>1888</v>
      </c>
      <c r="BE114" s="195">
        <v>0.9322033898305084</v>
      </c>
      <c r="BF114" s="195">
        <v>0.5012618717882024</v>
      </c>
      <c r="BG114" s="195">
        <v>0</v>
      </c>
      <c r="BH114" s="195">
        <v>1</v>
      </c>
      <c r="BI114" s="195">
        <v>0</v>
      </c>
      <c r="BJ114" s="195">
        <v>-1089.6</v>
      </c>
      <c r="BK114" s="195">
        <v>-18614</v>
      </c>
      <c r="BL114" s="195">
        <v>-1271.2</v>
      </c>
      <c r="BM114" s="195">
        <v>-6492.2</v>
      </c>
      <c r="BN114" s="195">
        <v>-181.6</v>
      </c>
      <c r="BO114" s="195">
        <v>7835</v>
      </c>
      <c r="BP114" s="195">
        <v>-212589.31595244145</v>
      </c>
      <c r="BQ114" s="195">
        <v>-388033.8</v>
      </c>
      <c r="BR114" s="195">
        <v>-35237.641212861985</v>
      </c>
      <c r="BS114" s="195">
        <v>389680</v>
      </c>
      <c r="BT114" s="195">
        <v>123884</v>
      </c>
      <c r="BU114" s="195">
        <v>273763.615764534</v>
      </c>
      <c r="BV114" s="195">
        <v>13590.197081574734</v>
      </c>
      <c r="BW114" s="195">
        <v>61909.680832856684</v>
      </c>
      <c r="BX114" s="195">
        <v>128987.01462709896</v>
      </c>
      <c r="BY114" s="195">
        <v>247071.45361683314</v>
      </c>
      <c r="BZ114" s="195">
        <v>415674.0463340416</v>
      </c>
      <c r="CA114" s="195">
        <v>127137.56277647497</v>
      </c>
      <c r="CB114" s="195">
        <v>408.59999999999997</v>
      </c>
      <c r="CC114" s="195">
        <v>31383.268910239327</v>
      </c>
      <c r="CD114" s="195">
        <v>1786359.1987307912</v>
      </c>
      <c r="CE114" s="195">
        <v>1024157.4827783498</v>
      </c>
      <c r="CF114" s="195">
        <v>0</v>
      </c>
      <c r="CG114" s="229">
        <v>2511600.9998786184</v>
      </c>
      <c r="CH114" s="195">
        <v>-1026501</v>
      </c>
      <c r="CI114" s="195">
        <v>-242618.57929999998</v>
      </c>
      <c r="CJ114" s="195">
        <v>7823856.963325933</v>
      </c>
      <c r="CL114" s="195">
        <v>4604</v>
      </c>
    </row>
    <row r="115" spans="1:90" ht="9.75">
      <c r="A115" s="195">
        <v>317</v>
      </c>
      <c r="B115" s="195" t="s">
        <v>183</v>
      </c>
      <c r="C115" s="195">
        <v>2655</v>
      </c>
      <c r="D115" s="195">
        <v>10221319.31</v>
      </c>
      <c r="E115" s="195">
        <v>5020758.180041538</v>
      </c>
      <c r="F115" s="195">
        <v>811808.8779518318</v>
      </c>
      <c r="G115" s="195">
        <v>16053886.367993372</v>
      </c>
      <c r="H115" s="195">
        <v>3540.31</v>
      </c>
      <c r="I115" s="195">
        <v>9399523.05</v>
      </c>
      <c r="J115" s="195">
        <v>6654363.317993371</v>
      </c>
      <c r="K115" s="195">
        <v>584368.1940615652</v>
      </c>
      <c r="L115" s="195">
        <v>1025750.6179559869</v>
      </c>
      <c r="M115" s="195">
        <v>0</v>
      </c>
      <c r="N115" s="195">
        <v>8264482.130010923</v>
      </c>
      <c r="O115" s="195">
        <v>3133193.149938604</v>
      </c>
      <c r="P115" s="195">
        <v>11397675.279949527</v>
      </c>
      <c r="Q115" s="195">
        <v>176</v>
      </c>
      <c r="R115" s="195">
        <v>42</v>
      </c>
      <c r="S115" s="195">
        <v>206</v>
      </c>
      <c r="T115" s="195">
        <v>123</v>
      </c>
      <c r="U115" s="195">
        <v>98</v>
      </c>
      <c r="V115" s="195">
        <v>1329</v>
      </c>
      <c r="W115" s="195">
        <v>349</v>
      </c>
      <c r="X115" s="195">
        <v>251</v>
      </c>
      <c r="Y115" s="195">
        <v>81</v>
      </c>
      <c r="Z115" s="195">
        <v>2</v>
      </c>
      <c r="AA115" s="195">
        <v>0</v>
      </c>
      <c r="AB115" s="195">
        <v>2628</v>
      </c>
      <c r="AC115" s="195">
        <v>25</v>
      </c>
      <c r="AD115" s="195">
        <v>681</v>
      </c>
      <c r="AE115" s="195">
        <v>1.6648393271568291</v>
      </c>
      <c r="AF115" s="195">
        <v>5020758.180041538</v>
      </c>
      <c r="AG115" s="195">
        <v>6352128.216172168</v>
      </c>
      <c r="AH115" s="195">
        <v>1489997.981542977</v>
      </c>
      <c r="AI115" s="195">
        <v>704612.1073851848</v>
      </c>
      <c r="AJ115" s="195">
        <v>133</v>
      </c>
      <c r="AK115" s="195">
        <v>1091</v>
      </c>
      <c r="AL115" s="195">
        <v>0.918132705447668</v>
      </c>
      <c r="AM115" s="195">
        <v>25</v>
      </c>
      <c r="AN115" s="195">
        <v>0.009416195856873822</v>
      </c>
      <c r="AO115" s="195">
        <v>0.005447941888619854</v>
      </c>
      <c r="AP115" s="195">
        <v>0</v>
      </c>
      <c r="AQ115" s="195">
        <v>2</v>
      </c>
      <c r="AR115" s="195">
        <v>0</v>
      </c>
      <c r="AS115" s="195">
        <v>0</v>
      </c>
      <c r="AT115" s="195">
        <v>0</v>
      </c>
      <c r="AU115" s="195">
        <v>695.94</v>
      </c>
      <c r="AV115" s="195">
        <v>3.814984050349168</v>
      </c>
      <c r="AW115" s="195">
        <v>4.745842936812135</v>
      </c>
      <c r="AX115" s="195">
        <v>104</v>
      </c>
      <c r="AY115" s="195">
        <v>710</v>
      </c>
      <c r="AZ115" s="195">
        <v>0.14647887323943662</v>
      </c>
      <c r="BA115" s="195">
        <v>0.08145607303676815</v>
      </c>
      <c r="BB115" s="195">
        <v>0.922233</v>
      </c>
      <c r="BC115" s="195">
        <v>813</v>
      </c>
      <c r="BD115" s="195">
        <v>924</v>
      </c>
      <c r="BE115" s="195">
        <v>0.8798701298701299</v>
      </c>
      <c r="BF115" s="195">
        <v>0.44892861182782384</v>
      </c>
      <c r="BG115" s="195">
        <v>0</v>
      </c>
      <c r="BH115" s="195">
        <v>0</v>
      </c>
      <c r="BI115" s="195">
        <v>0</v>
      </c>
      <c r="BJ115" s="195">
        <v>-637.1999999999999</v>
      </c>
      <c r="BK115" s="195">
        <v>-10885.499999999998</v>
      </c>
      <c r="BL115" s="195">
        <v>-743.4000000000001</v>
      </c>
      <c r="BM115" s="195">
        <v>-3796.6499999999996</v>
      </c>
      <c r="BN115" s="195">
        <v>-106.2</v>
      </c>
      <c r="BO115" s="195">
        <v>60418</v>
      </c>
      <c r="BP115" s="195">
        <v>-46519.544431946015</v>
      </c>
      <c r="BQ115" s="195">
        <v>-226922.85</v>
      </c>
      <c r="BR115" s="195">
        <v>49000.51558020711</v>
      </c>
      <c r="BS115" s="195">
        <v>296680</v>
      </c>
      <c r="BT115" s="195">
        <v>93301</v>
      </c>
      <c r="BU115" s="195">
        <v>241156.9708270324</v>
      </c>
      <c r="BV115" s="195">
        <v>12942.928733045273</v>
      </c>
      <c r="BW115" s="195">
        <v>34878.62628951513</v>
      </c>
      <c r="BX115" s="195">
        <v>119431.05590188224</v>
      </c>
      <c r="BY115" s="195">
        <v>172131.00315916064</v>
      </c>
      <c r="BZ115" s="195">
        <v>235013.8605017155</v>
      </c>
      <c r="CA115" s="195">
        <v>63845.01569427791</v>
      </c>
      <c r="CB115" s="195">
        <v>238.95</v>
      </c>
      <c r="CC115" s="195">
        <v>14487.235701096903</v>
      </c>
      <c r="CD115" s="195">
        <v>1393684.462387933</v>
      </c>
      <c r="CE115" s="195">
        <v>1025750.6179559869</v>
      </c>
      <c r="CF115" s="195">
        <v>0</v>
      </c>
      <c r="CG115" s="229">
        <v>3133193.149938604</v>
      </c>
      <c r="CH115" s="195">
        <v>-40325</v>
      </c>
      <c r="CI115" s="195">
        <v>74306.90999999999</v>
      </c>
      <c r="CJ115" s="195">
        <v>11357350.279949527</v>
      </c>
      <c r="CL115" s="195">
        <v>2658</v>
      </c>
    </row>
    <row r="116" spans="1:90" ht="9.75">
      <c r="A116" s="195">
        <v>398</v>
      </c>
      <c r="B116" s="195" t="s">
        <v>184</v>
      </c>
      <c r="C116" s="195">
        <v>119452</v>
      </c>
      <c r="D116" s="195">
        <v>384622275.96999997</v>
      </c>
      <c r="E116" s="195">
        <v>143715198.52709582</v>
      </c>
      <c r="F116" s="195">
        <v>31658979.591825876</v>
      </c>
      <c r="G116" s="195">
        <v>559996454.0889217</v>
      </c>
      <c r="H116" s="195">
        <v>3540.31</v>
      </c>
      <c r="I116" s="195">
        <v>422897110.12</v>
      </c>
      <c r="J116" s="195">
        <v>137099343.96892166</v>
      </c>
      <c r="K116" s="195">
        <v>4925766.8728610035</v>
      </c>
      <c r="L116" s="195">
        <v>19239072.136218518</v>
      </c>
      <c r="M116" s="195">
        <v>0</v>
      </c>
      <c r="N116" s="195">
        <v>161264182.97800118</v>
      </c>
      <c r="O116" s="195">
        <v>31567146.904620223</v>
      </c>
      <c r="P116" s="195">
        <v>192831329.8826214</v>
      </c>
      <c r="Q116" s="195">
        <v>6891</v>
      </c>
      <c r="R116" s="195">
        <v>1261</v>
      </c>
      <c r="S116" s="195">
        <v>7239</v>
      </c>
      <c r="T116" s="195">
        <v>3457</v>
      </c>
      <c r="U116" s="195">
        <v>3844</v>
      </c>
      <c r="V116" s="195">
        <v>69453</v>
      </c>
      <c r="W116" s="195">
        <v>15884</v>
      </c>
      <c r="X116" s="195">
        <v>8442</v>
      </c>
      <c r="Y116" s="195">
        <v>2981</v>
      </c>
      <c r="Z116" s="195">
        <v>420</v>
      </c>
      <c r="AA116" s="195">
        <v>14</v>
      </c>
      <c r="AB116" s="195">
        <v>111588</v>
      </c>
      <c r="AC116" s="195">
        <v>7430</v>
      </c>
      <c r="AD116" s="195">
        <v>27307</v>
      </c>
      <c r="AE116" s="195">
        <v>1.0591971920733667</v>
      </c>
      <c r="AF116" s="195">
        <v>143715198.52709582</v>
      </c>
      <c r="AG116" s="195">
        <v>9593726.038241876</v>
      </c>
      <c r="AH116" s="195">
        <v>2012576.546237718</v>
      </c>
      <c r="AI116" s="195">
        <v>1097054.293776933</v>
      </c>
      <c r="AJ116" s="195">
        <v>9641</v>
      </c>
      <c r="AK116" s="195">
        <v>56877</v>
      </c>
      <c r="AL116" s="195">
        <v>1.276626835010951</v>
      </c>
      <c r="AM116" s="195">
        <v>7430</v>
      </c>
      <c r="AN116" s="195">
        <v>0.0622007166058333</v>
      </c>
      <c r="AO116" s="195">
        <v>0.058232462637579335</v>
      </c>
      <c r="AP116" s="195">
        <v>0</v>
      </c>
      <c r="AQ116" s="195">
        <v>420</v>
      </c>
      <c r="AR116" s="195">
        <v>14</v>
      </c>
      <c r="AS116" s="195">
        <v>0</v>
      </c>
      <c r="AT116" s="195">
        <v>0</v>
      </c>
      <c r="AU116" s="195">
        <v>459.43</v>
      </c>
      <c r="AV116" s="195">
        <v>260.0004353220295</v>
      </c>
      <c r="AW116" s="195">
        <v>0.06963571075169854</v>
      </c>
      <c r="AX116" s="195">
        <v>5943</v>
      </c>
      <c r="AY116" s="195">
        <v>36422</v>
      </c>
      <c r="AZ116" s="195">
        <v>0.16317061116907364</v>
      </c>
      <c r="BA116" s="195">
        <v>0.09814781096640517</v>
      </c>
      <c r="BB116" s="195">
        <v>0</v>
      </c>
      <c r="BC116" s="195">
        <v>50138</v>
      </c>
      <c r="BD116" s="195">
        <v>46238</v>
      </c>
      <c r="BE116" s="195">
        <v>1.084346208746053</v>
      </c>
      <c r="BF116" s="195">
        <v>0.6534046907037468</v>
      </c>
      <c r="BG116" s="195">
        <v>0</v>
      </c>
      <c r="BH116" s="195">
        <v>14</v>
      </c>
      <c r="BI116" s="195">
        <v>0</v>
      </c>
      <c r="BJ116" s="195">
        <v>-28668.48</v>
      </c>
      <c r="BK116" s="195">
        <v>-489753.19999999995</v>
      </c>
      <c r="BL116" s="195">
        <v>-33446.560000000005</v>
      </c>
      <c r="BM116" s="195">
        <v>-170816.36</v>
      </c>
      <c r="BN116" s="195">
        <v>-4778.08</v>
      </c>
      <c r="BO116" s="195">
        <v>3879229</v>
      </c>
      <c r="BP116" s="195">
        <v>-9409953.43928783</v>
      </c>
      <c r="BQ116" s="195">
        <v>-10209562.44</v>
      </c>
      <c r="BR116" s="195">
        <v>-194497.132058952</v>
      </c>
      <c r="BS116" s="195">
        <v>8053889</v>
      </c>
      <c r="BT116" s="195">
        <v>2744547</v>
      </c>
      <c r="BU116" s="195">
        <v>6470503.743043369</v>
      </c>
      <c r="BV116" s="195">
        <v>262175.4958546273</v>
      </c>
      <c r="BW116" s="195">
        <v>117375.99346749118</v>
      </c>
      <c r="BX116" s="195">
        <v>3024360.3881341554</v>
      </c>
      <c r="BY116" s="195">
        <v>5639445.098830124</v>
      </c>
      <c r="BZ116" s="195">
        <v>8570366.7796735</v>
      </c>
      <c r="CA116" s="195">
        <v>2978829.095937596</v>
      </c>
      <c r="CB116" s="195">
        <v>10750.68</v>
      </c>
      <c r="CC116" s="195">
        <v>1545742.4326244416</v>
      </c>
      <c r="CD116" s="195">
        <v>43109884.69550635</v>
      </c>
      <c r="CE116" s="195">
        <v>19239072.136218518</v>
      </c>
      <c r="CF116" s="195">
        <v>0</v>
      </c>
      <c r="CG116" s="229">
        <v>31567146.904620223</v>
      </c>
      <c r="CH116" s="195">
        <v>-2684187</v>
      </c>
      <c r="CI116" s="195">
        <v>-4769034.430990001</v>
      </c>
      <c r="CJ116" s="195">
        <v>190147142.8826214</v>
      </c>
      <c r="CL116" s="195">
        <v>118743</v>
      </c>
    </row>
    <row r="117" spans="1:90" ht="9.75">
      <c r="A117" s="195">
        <v>399</v>
      </c>
      <c r="B117" s="195" t="s">
        <v>185</v>
      </c>
      <c r="C117" s="195">
        <v>8139</v>
      </c>
      <c r="D117" s="195">
        <v>29728391.76</v>
      </c>
      <c r="E117" s="195">
        <v>8922037.877868174</v>
      </c>
      <c r="F117" s="195">
        <v>1064507.4330467288</v>
      </c>
      <c r="G117" s="195">
        <v>39714937.0709149</v>
      </c>
      <c r="H117" s="195">
        <v>3540.31</v>
      </c>
      <c r="I117" s="195">
        <v>28814583.09</v>
      </c>
      <c r="J117" s="195">
        <v>10900353.980914902</v>
      </c>
      <c r="K117" s="195">
        <v>50314.889406747134</v>
      </c>
      <c r="L117" s="195">
        <v>1356014.4564212626</v>
      </c>
      <c r="M117" s="195">
        <v>0</v>
      </c>
      <c r="N117" s="195">
        <v>12306683.32674291</v>
      </c>
      <c r="O117" s="195">
        <v>3282843.1417860445</v>
      </c>
      <c r="P117" s="195">
        <v>15589526.468528954</v>
      </c>
      <c r="Q117" s="195">
        <v>663</v>
      </c>
      <c r="R117" s="195">
        <v>132</v>
      </c>
      <c r="S117" s="195">
        <v>676</v>
      </c>
      <c r="T117" s="195">
        <v>299</v>
      </c>
      <c r="U117" s="195">
        <v>264</v>
      </c>
      <c r="V117" s="195">
        <v>4395</v>
      </c>
      <c r="W117" s="195">
        <v>994</v>
      </c>
      <c r="X117" s="195">
        <v>493</v>
      </c>
      <c r="Y117" s="195">
        <v>223</v>
      </c>
      <c r="Z117" s="195">
        <v>93</v>
      </c>
      <c r="AA117" s="195">
        <v>0</v>
      </c>
      <c r="AB117" s="195">
        <v>7960</v>
      </c>
      <c r="AC117" s="195">
        <v>86</v>
      </c>
      <c r="AD117" s="195">
        <v>1710</v>
      </c>
      <c r="AE117" s="195">
        <v>0.9650738798742848</v>
      </c>
      <c r="AF117" s="195">
        <v>8922037.877868174</v>
      </c>
      <c r="AG117" s="195">
        <v>175389694.25117722</v>
      </c>
      <c r="AH117" s="195">
        <v>41028757.10315217</v>
      </c>
      <c r="AI117" s="195">
        <v>18578569.869409364</v>
      </c>
      <c r="AJ117" s="195">
        <v>354</v>
      </c>
      <c r="AK117" s="195">
        <v>3802</v>
      </c>
      <c r="AL117" s="195">
        <v>0.7012449021721169</v>
      </c>
      <c r="AM117" s="195">
        <v>86</v>
      </c>
      <c r="AN117" s="195">
        <v>0.010566408649711267</v>
      </c>
      <c r="AO117" s="195">
        <v>0.006598154681457299</v>
      </c>
      <c r="AP117" s="195">
        <v>0</v>
      </c>
      <c r="AQ117" s="195">
        <v>93</v>
      </c>
      <c r="AR117" s="195">
        <v>0</v>
      </c>
      <c r="AS117" s="195">
        <v>0</v>
      </c>
      <c r="AT117" s="195">
        <v>0</v>
      </c>
      <c r="AU117" s="195">
        <v>504.3</v>
      </c>
      <c r="AV117" s="195">
        <v>16.139202855443187</v>
      </c>
      <c r="AW117" s="195">
        <v>1.12182214150027</v>
      </c>
      <c r="AX117" s="195">
        <v>258</v>
      </c>
      <c r="AY117" s="195">
        <v>2615</v>
      </c>
      <c r="AZ117" s="195">
        <v>0.09866156787762906</v>
      </c>
      <c r="BA117" s="195">
        <v>0.03363876767496059</v>
      </c>
      <c r="BB117" s="195">
        <v>0</v>
      </c>
      <c r="BC117" s="195">
        <v>1812</v>
      </c>
      <c r="BD117" s="195">
        <v>3426</v>
      </c>
      <c r="BE117" s="195">
        <v>0.5288966725043783</v>
      </c>
      <c r="BF117" s="195">
        <v>0.09795515446207226</v>
      </c>
      <c r="BG117" s="195">
        <v>0</v>
      </c>
      <c r="BH117" s="195">
        <v>0</v>
      </c>
      <c r="BI117" s="195">
        <v>0</v>
      </c>
      <c r="BJ117" s="195">
        <v>-1953.36</v>
      </c>
      <c r="BK117" s="195">
        <v>-33369.899999999994</v>
      </c>
      <c r="BL117" s="195">
        <v>-2278.92</v>
      </c>
      <c r="BM117" s="195">
        <v>-11638.769999999999</v>
      </c>
      <c r="BN117" s="195">
        <v>-325.56</v>
      </c>
      <c r="BO117" s="195">
        <v>-80765</v>
      </c>
      <c r="BP117" s="195">
        <v>-306128.61497151566</v>
      </c>
      <c r="BQ117" s="195">
        <v>-695640.33</v>
      </c>
      <c r="BR117" s="195">
        <v>-82669.05663659237</v>
      </c>
      <c r="BS117" s="195">
        <v>630442</v>
      </c>
      <c r="BT117" s="195">
        <v>196494</v>
      </c>
      <c r="BU117" s="195">
        <v>488277.6115921374</v>
      </c>
      <c r="BV117" s="195">
        <v>13438.707080138607</v>
      </c>
      <c r="BW117" s="195">
        <v>56865.71957189152</v>
      </c>
      <c r="BX117" s="195">
        <v>183097.91458002324</v>
      </c>
      <c r="BY117" s="195">
        <v>402271.6029004239</v>
      </c>
      <c r="BZ117" s="195">
        <v>650793.6444336704</v>
      </c>
      <c r="CA117" s="195">
        <v>200512.29908307717</v>
      </c>
      <c r="CB117" s="195">
        <v>732.51</v>
      </c>
      <c r="CC117" s="195">
        <v>-12529.881211991415</v>
      </c>
      <c r="CD117" s="195">
        <v>2647450.411392778</v>
      </c>
      <c r="CE117" s="195">
        <v>1356014.4564212626</v>
      </c>
      <c r="CF117" s="195">
        <v>0</v>
      </c>
      <c r="CG117" s="229">
        <v>3282843.1417860445</v>
      </c>
      <c r="CH117" s="195">
        <v>-571012</v>
      </c>
      <c r="CI117" s="195">
        <v>-162119.4268</v>
      </c>
      <c r="CJ117" s="195">
        <v>15018514.468528954</v>
      </c>
      <c r="CL117" s="195">
        <v>8090</v>
      </c>
    </row>
    <row r="118" spans="1:90" ht="9.75">
      <c r="A118" s="195">
        <v>400</v>
      </c>
      <c r="B118" s="195" t="s">
        <v>186</v>
      </c>
      <c r="C118" s="195">
        <v>8520</v>
      </c>
      <c r="D118" s="195">
        <v>30522198.84</v>
      </c>
      <c r="E118" s="195">
        <v>10263676.586512672</v>
      </c>
      <c r="F118" s="195">
        <v>1851292.6595736223</v>
      </c>
      <c r="G118" s="195">
        <v>42637168.086086296</v>
      </c>
      <c r="H118" s="195">
        <v>3540.31</v>
      </c>
      <c r="I118" s="195">
        <v>30163441.2</v>
      </c>
      <c r="J118" s="195">
        <v>12473726.886086296</v>
      </c>
      <c r="K118" s="195">
        <v>305091.1708124887</v>
      </c>
      <c r="L118" s="195">
        <v>2215809.1410240727</v>
      </c>
      <c r="M118" s="195">
        <v>0</v>
      </c>
      <c r="N118" s="195">
        <v>14994627.19792286</v>
      </c>
      <c r="O118" s="195">
        <v>4687907.4813262625</v>
      </c>
      <c r="P118" s="195">
        <v>19682534.679249123</v>
      </c>
      <c r="Q118" s="195">
        <v>579</v>
      </c>
      <c r="R118" s="195">
        <v>101</v>
      </c>
      <c r="S118" s="195">
        <v>584</v>
      </c>
      <c r="T118" s="195">
        <v>295</v>
      </c>
      <c r="U118" s="195">
        <v>291</v>
      </c>
      <c r="V118" s="195">
        <v>4665</v>
      </c>
      <c r="W118" s="195">
        <v>1059</v>
      </c>
      <c r="X118" s="195">
        <v>672</v>
      </c>
      <c r="Y118" s="195">
        <v>274</v>
      </c>
      <c r="Z118" s="195">
        <v>33</v>
      </c>
      <c r="AA118" s="195">
        <v>0</v>
      </c>
      <c r="AB118" s="195">
        <v>8073</v>
      </c>
      <c r="AC118" s="195">
        <v>414</v>
      </c>
      <c r="AD118" s="195">
        <v>2005</v>
      </c>
      <c r="AE118" s="195">
        <v>1.0605494210226893</v>
      </c>
      <c r="AF118" s="195">
        <v>10263676.586512672</v>
      </c>
      <c r="AG118" s="195">
        <v>11331368.90163523</v>
      </c>
      <c r="AH118" s="195">
        <v>2464964.7491233735</v>
      </c>
      <c r="AI118" s="195">
        <v>1195164.8403748705</v>
      </c>
      <c r="AJ118" s="195">
        <v>287</v>
      </c>
      <c r="AK118" s="195">
        <v>3967</v>
      </c>
      <c r="AL118" s="195">
        <v>0.5448767336762453</v>
      </c>
      <c r="AM118" s="195">
        <v>414</v>
      </c>
      <c r="AN118" s="195">
        <v>0.048591549295774646</v>
      </c>
      <c r="AO118" s="195">
        <v>0.04462329532752068</v>
      </c>
      <c r="AP118" s="195">
        <v>0</v>
      </c>
      <c r="AQ118" s="195">
        <v>33</v>
      </c>
      <c r="AR118" s="195">
        <v>0</v>
      </c>
      <c r="AS118" s="195">
        <v>0</v>
      </c>
      <c r="AT118" s="195">
        <v>0</v>
      </c>
      <c r="AU118" s="195">
        <v>531.66</v>
      </c>
      <c r="AV118" s="195">
        <v>16.025279313847197</v>
      </c>
      <c r="AW118" s="195">
        <v>1.1297971632704102</v>
      </c>
      <c r="AX118" s="195">
        <v>436</v>
      </c>
      <c r="AY118" s="195">
        <v>2587</v>
      </c>
      <c r="AZ118" s="195">
        <v>0.16853498260533437</v>
      </c>
      <c r="BA118" s="195">
        <v>0.1035121824026659</v>
      </c>
      <c r="BB118" s="195">
        <v>0</v>
      </c>
      <c r="BC118" s="195">
        <v>3619</v>
      </c>
      <c r="BD118" s="195">
        <v>3625</v>
      </c>
      <c r="BE118" s="195">
        <v>0.9983448275862069</v>
      </c>
      <c r="BF118" s="195">
        <v>0.5674033095439008</v>
      </c>
      <c r="BG118" s="195">
        <v>0</v>
      </c>
      <c r="BH118" s="195">
        <v>0</v>
      </c>
      <c r="BI118" s="195">
        <v>0</v>
      </c>
      <c r="BJ118" s="195">
        <v>-2044.8</v>
      </c>
      <c r="BK118" s="195">
        <v>-34932</v>
      </c>
      <c r="BL118" s="195">
        <v>-2385.6000000000004</v>
      </c>
      <c r="BM118" s="195">
        <v>-12183.6</v>
      </c>
      <c r="BN118" s="195">
        <v>-340.8</v>
      </c>
      <c r="BO118" s="195">
        <v>-34740</v>
      </c>
      <c r="BP118" s="195">
        <v>-232097.5120045478</v>
      </c>
      <c r="BQ118" s="195">
        <v>-728204.4</v>
      </c>
      <c r="BR118" s="195">
        <v>84422.16206699982</v>
      </c>
      <c r="BS118" s="195">
        <v>739591</v>
      </c>
      <c r="BT118" s="195">
        <v>245424</v>
      </c>
      <c r="BU118" s="195">
        <v>599915.1630202786</v>
      </c>
      <c r="BV118" s="195">
        <v>28362.25053418359</v>
      </c>
      <c r="BW118" s="195">
        <v>66734.71021022498</v>
      </c>
      <c r="BX118" s="195">
        <v>271181.82292428904</v>
      </c>
      <c r="BY118" s="195">
        <v>489938.90179089195</v>
      </c>
      <c r="BZ118" s="195">
        <v>793644.9780317354</v>
      </c>
      <c r="CA118" s="195">
        <v>261778.97981267734</v>
      </c>
      <c r="CB118" s="195">
        <v>766.8</v>
      </c>
      <c r="CC118" s="195">
        <v>-68194.11536266029</v>
      </c>
      <c r="CD118" s="195">
        <v>3479337.85302862</v>
      </c>
      <c r="CE118" s="195">
        <v>2215809.1410240727</v>
      </c>
      <c r="CF118" s="195">
        <v>0</v>
      </c>
      <c r="CG118" s="229">
        <v>4687907.4813262625</v>
      </c>
      <c r="CH118" s="195">
        <v>516959</v>
      </c>
      <c r="CI118" s="195">
        <v>429037.66929999995</v>
      </c>
      <c r="CJ118" s="195">
        <v>20199493.679249123</v>
      </c>
      <c r="CL118" s="195">
        <v>8520</v>
      </c>
    </row>
    <row r="119" spans="1:90" ht="9.75">
      <c r="A119" s="195">
        <v>407</v>
      </c>
      <c r="B119" s="195" t="s">
        <v>187</v>
      </c>
      <c r="C119" s="195">
        <v>2739</v>
      </c>
      <c r="D119" s="195">
        <v>9755119.41</v>
      </c>
      <c r="E119" s="195">
        <v>3261068.135656951</v>
      </c>
      <c r="F119" s="195">
        <v>1137715.1131009464</v>
      </c>
      <c r="G119" s="195">
        <v>14153902.658757897</v>
      </c>
      <c r="H119" s="195">
        <v>3540.31</v>
      </c>
      <c r="I119" s="195">
        <v>9696909.09</v>
      </c>
      <c r="J119" s="195">
        <v>4456993.568757897</v>
      </c>
      <c r="K119" s="195">
        <v>59711.060483529254</v>
      </c>
      <c r="L119" s="195">
        <v>825459.7160476386</v>
      </c>
      <c r="M119" s="195">
        <v>0</v>
      </c>
      <c r="N119" s="195">
        <v>5342164.345289065</v>
      </c>
      <c r="O119" s="195">
        <v>1980740.6298809745</v>
      </c>
      <c r="P119" s="195">
        <v>7322904.975170039</v>
      </c>
      <c r="Q119" s="195">
        <v>125</v>
      </c>
      <c r="R119" s="195">
        <v>29</v>
      </c>
      <c r="S119" s="195">
        <v>186</v>
      </c>
      <c r="T119" s="195">
        <v>82</v>
      </c>
      <c r="U119" s="195">
        <v>91</v>
      </c>
      <c r="V119" s="195">
        <v>1463</v>
      </c>
      <c r="W119" s="195">
        <v>413</v>
      </c>
      <c r="X119" s="195">
        <v>240</v>
      </c>
      <c r="Y119" s="195">
        <v>110</v>
      </c>
      <c r="Z119" s="195">
        <v>855</v>
      </c>
      <c r="AA119" s="195">
        <v>0</v>
      </c>
      <c r="AB119" s="195">
        <v>1748</v>
      </c>
      <c r="AC119" s="195">
        <v>136</v>
      </c>
      <c r="AD119" s="195">
        <v>763</v>
      </c>
      <c r="AE119" s="195">
        <v>1.0481788392616045</v>
      </c>
      <c r="AF119" s="195">
        <v>3261068.135656951</v>
      </c>
      <c r="AG119" s="195">
        <v>101119429.26111974</v>
      </c>
      <c r="AH119" s="195">
        <v>26813586.156404912</v>
      </c>
      <c r="AI119" s="195">
        <v>10622696.454376645</v>
      </c>
      <c r="AJ119" s="195">
        <v>151</v>
      </c>
      <c r="AK119" s="195">
        <v>1272</v>
      </c>
      <c r="AL119" s="195">
        <v>0.8940635789246363</v>
      </c>
      <c r="AM119" s="195">
        <v>136</v>
      </c>
      <c r="AN119" s="195">
        <v>0.04965315808689302</v>
      </c>
      <c r="AO119" s="195">
        <v>0.045684904118639055</v>
      </c>
      <c r="AP119" s="195">
        <v>1</v>
      </c>
      <c r="AQ119" s="195">
        <v>855</v>
      </c>
      <c r="AR119" s="195">
        <v>0</v>
      </c>
      <c r="AS119" s="195">
        <v>0</v>
      </c>
      <c r="AT119" s="195">
        <v>0</v>
      </c>
      <c r="AU119" s="195">
        <v>329.87</v>
      </c>
      <c r="AV119" s="195">
        <v>8.303270985539758</v>
      </c>
      <c r="AW119" s="195">
        <v>2.1805039412697917</v>
      </c>
      <c r="AX119" s="195">
        <v>197</v>
      </c>
      <c r="AY119" s="195">
        <v>831</v>
      </c>
      <c r="AZ119" s="195">
        <v>0.23706377858002406</v>
      </c>
      <c r="BA119" s="195">
        <v>0.1720409783773556</v>
      </c>
      <c r="BB119" s="195">
        <v>0</v>
      </c>
      <c r="BC119" s="195">
        <v>861</v>
      </c>
      <c r="BD119" s="195">
        <v>1109</v>
      </c>
      <c r="BE119" s="195">
        <v>0.7763751127141569</v>
      </c>
      <c r="BF119" s="195">
        <v>0.34543359467185086</v>
      </c>
      <c r="BG119" s="195">
        <v>0</v>
      </c>
      <c r="BH119" s="195">
        <v>0</v>
      </c>
      <c r="BI119" s="195">
        <v>0</v>
      </c>
      <c r="BJ119" s="195">
        <v>-657.36</v>
      </c>
      <c r="BK119" s="195">
        <v>-11229.9</v>
      </c>
      <c r="BL119" s="195">
        <v>-766.9200000000001</v>
      </c>
      <c r="BM119" s="195">
        <v>-3916.77</v>
      </c>
      <c r="BN119" s="195">
        <v>-109.56</v>
      </c>
      <c r="BO119" s="195">
        <v>-44318</v>
      </c>
      <c r="BP119" s="195">
        <v>-86036.146691341</v>
      </c>
      <c r="BQ119" s="195">
        <v>-234102.33</v>
      </c>
      <c r="BR119" s="195">
        <v>28807.877030804753</v>
      </c>
      <c r="BS119" s="195">
        <v>266070</v>
      </c>
      <c r="BT119" s="195">
        <v>86843</v>
      </c>
      <c r="BU119" s="195">
        <v>215737.08744909434</v>
      </c>
      <c r="BV119" s="195">
        <v>10073.129408609553</v>
      </c>
      <c r="BW119" s="195">
        <v>43753.06037410913</v>
      </c>
      <c r="BX119" s="195">
        <v>86084.27444925872</v>
      </c>
      <c r="BY119" s="195">
        <v>157534.1649968356</v>
      </c>
      <c r="BZ119" s="195">
        <v>288427.1364173449</v>
      </c>
      <c r="CA119" s="195">
        <v>79642.235546161</v>
      </c>
      <c r="CB119" s="195">
        <v>246.51</v>
      </c>
      <c r="CC119" s="195">
        <v>24014.387066761647</v>
      </c>
      <c r="CD119" s="195">
        <v>1243079.2027389796</v>
      </c>
      <c r="CE119" s="195">
        <v>825459.7160476386</v>
      </c>
      <c r="CF119" s="195">
        <v>0</v>
      </c>
      <c r="CG119" s="229">
        <v>1980740.6298809745</v>
      </c>
      <c r="CH119" s="195">
        <v>-625328</v>
      </c>
      <c r="CI119" s="195">
        <v>-871502.7276000001</v>
      </c>
      <c r="CJ119" s="195">
        <v>6697576.975170039</v>
      </c>
      <c r="CL119" s="195">
        <v>2774</v>
      </c>
    </row>
    <row r="120" spans="1:90" ht="9.75">
      <c r="A120" s="195">
        <v>402</v>
      </c>
      <c r="B120" s="195" t="s">
        <v>188</v>
      </c>
      <c r="C120" s="195">
        <v>9882</v>
      </c>
      <c r="D120" s="195">
        <v>35076076.28</v>
      </c>
      <c r="E120" s="195">
        <v>16892503.62957912</v>
      </c>
      <c r="F120" s="195">
        <v>2274123.458377054</v>
      </c>
      <c r="G120" s="195">
        <v>54242703.36795618</v>
      </c>
      <c r="H120" s="195">
        <v>3540.31</v>
      </c>
      <c r="I120" s="195">
        <v>34985343.42</v>
      </c>
      <c r="J120" s="195">
        <v>19257359.947956175</v>
      </c>
      <c r="K120" s="195">
        <v>255963.81842716128</v>
      </c>
      <c r="L120" s="195">
        <v>2665297.363355108</v>
      </c>
      <c r="M120" s="195">
        <v>0</v>
      </c>
      <c r="N120" s="195">
        <v>22178621.129738443</v>
      </c>
      <c r="O120" s="195">
        <v>8373645.541119998</v>
      </c>
      <c r="P120" s="195">
        <v>30552266.670858443</v>
      </c>
      <c r="Q120" s="195">
        <v>531</v>
      </c>
      <c r="R120" s="195">
        <v>121</v>
      </c>
      <c r="S120" s="195">
        <v>710</v>
      </c>
      <c r="T120" s="195">
        <v>320</v>
      </c>
      <c r="U120" s="195">
        <v>343</v>
      </c>
      <c r="V120" s="195">
        <v>5380</v>
      </c>
      <c r="W120" s="195">
        <v>1369</v>
      </c>
      <c r="X120" s="195">
        <v>753</v>
      </c>
      <c r="Y120" s="195">
        <v>355</v>
      </c>
      <c r="Z120" s="195">
        <v>10</v>
      </c>
      <c r="AA120" s="195">
        <v>0</v>
      </c>
      <c r="AB120" s="195">
        <v>9697</v>
      </c>
      <c r="AC120" s="195">
        <v>175</v>
      </c>
      <c r="AD120" s="195">
        <v>2477</v>
      </c>
      <c r="AE120" s="195">
        <v>1.5049314514699093</v>
      </c>
      <c r="AF120" s="195">
        <v>16892503.62957912</v>
      </c>
      <c r="AG120" s="195">
        <v>13022360.086609183</v>
      </c>
      <c r="AH120" s="195">
        <v>2800293.5421532313</v>
      </c>
      <c r="AI120" s="195">
        <v>1551930.4643673687</v>
      </c>
      <c r="AJ120" s="195">
        <v>614</v>
      </c>
      <c r="AK120" s="195">
        <v>4398</v>
      </c>
      <c r="AL120" s="195">
        <v>1.0514574771325502</v>
      </c>
      <c r="AM120" s="195">
        <v>175</v>
      </c>
      <c r="AN120" s="195">
        <v>0.01770896579639749</v>
      </c>
      <c r="AO120" s="195">
        <v>0.013740711828143522</v>
      </c>
      <c r="AP120" s="195">
        <v>0</v>
      </c>
      <c r="AQ120" s="195">
        <v>10</v>
      </c>
      <c r="AR120" s="195">
        <v>0</v>
      </c>
      <c r="AS120" s="195">
        <v>0</v>
      </c>
      <c r="AT120" s="195">
        <v>0</v>
      </c>
      <c r="AU120" s="195">
        <v>1096.53</v>
      </c>
      <c r="AV120" s="195">
        <v>9.012065333369812</v>
      </c>
      <c r="AW120" s="195">
        <v>2.0090084170118385</v>
      </c>
      <c r="AX120" s="195">
        <v>437</v>
      </c>
      <c r="AY120" s="195">
        <v>2884</v>
      </c>
      <c r="AZ120" s="195">
        <v>0.1515256588072122</v>
      </c>
      <c r="BA120" s="195">
        <v>0.08650285860454372</v>
      </c>
      <c r="BB120" s="195">
        <v>0</v>
      </c>
      <c r="BC120" s="195">
        <v>3124</v>
      </c>
      <c r="BD120" s="195">
        <v>3713</v>
      </c>
      <c r="BE120" s="195">
        <v>0.841368165903582</v>
      </c>
      <c r="BF120" s="195">
        <v>0.4104266478612759</v>
      </c>
      <c r="BG120" s="195">
        <v>0</v>
      </c>
      <c r="BH120" s="195">
        <v>0</v>
      </c>
      <c r="BI120" s="195">
        <v>0</v>
      </c>
      <c r="BJ120" s="195">
        <v>-2371.68</v>
      </c>
      <c r="BK120" s="195">
        <v>-40516.2</v>
      </c>
      <c r="BL120" s="195">
        <v>-2766.96</v>
      </c>
      <c r="BM120" s="195">
        <v>-14131.26</v>
      </c>
      <c r="BN120" s="195">
        <v>-395.28000000000003</v>
      </c>
      <c r="BO120" s="195">
        <v>244217</v>
      </c>
      <c r="BP120" s="195">
        <v>-373156.77576593246</v>
      </c>
      <c r="BQ120" s="195">
        <v>-844614.54</v>
      </c>
      <c r="BR120" s="195">
        <v>-103708.25441498868</v>
      </c>
      <c r="BS120" s="195">
        <v>958412</v>
      </c>
      <c r="BT120" s="195">
        <v>288726</v>
      </c>
      <c r="BU120" s="195">
        <v>687361.0736377841</v>
      </c>
      <c r="BV120" s="195">
        <v>29107.534124884838</v>
      </c>
      <c r="BW120" s="195">
        <v>88418.25418264151</v>
      </c>
      <c r="BX120" s="195">
        <v>332831.1518768048</v>
      </c>
      <c r="BY120" s="195">
        <v>530175.9507121128</v>
      </c>
      <c r="BZ120" s="195">
        <v>829064.5310967282</v>
      </c>
      <c r="CA120" s="195">
        <v>245817.3926485303</v>
      </c>
      <c r="CB120" s="195">
        <v>889.38</v>
      </c>
      <c r="CC120" s="195">
        <v>102864.12525654309</v>
      </c>
      <c r="CD120" s="195">
        <v>4234769.059121041</v>
      </c>
      <c r="CE120" s="195">
        <v>2665297.363355108</v>
      </c>
      <c r="CF120" s="195">
        <v>0</v>
      </c>
      <c r="CG120" s="229">
        <v>8373645.541119998</v>
      </c>
      <c r="CH120" s="195">
        <v>-604814</v>
      </c>
      <c r="CI120" s="195">
        <v>21640.257999999973</v>
      </c>
      <c r="CJ120" s="195">
        <v>29947452.670858443</v>
      </c>
      <c r="CL120" s="195">
        <v>9982</v>
      </c>
    </row>
    <row r="121" spans="1:90" ht="9.75">
      <c r="A121" s="195">
        <v>403</v>
      </c>
      <c r="B121" s="195" t="s">
        <v>189</v>
      </c>
      <c r="C121" s="195">
        <v>3176</v>
      </c>
      <c r="D121" s="195">
        <v>11972302.49</v>
      </c>
      <c r="E121" s="195">
        <v>5725925.707481415</v>
      </c>
      <c r="F121" s="195">
        <v>698272.9770415244</v>
      </c>
      <c r="G121" s="195">
        <v>18396501.17452294</v>
      </c>
      <c r="H121" s="195">
        <v>3540.31</v>
      </c>
      <c r="I121" s="195">
        <v>11244024.56</v>
      </c>
      <c r="J121" s="195">
        <v>7152476.61452294</v>
      </c>
      <c r="K121" s="195">
        <v>96697.20884200846</v>
      </c>
      <c r="L121" s="195">
        <v>1057064.604349892</v>
      </c>
      <c r="M121" s="195">
        <v>0</v>
      </c>
      <c r="N121" s="195">
        <v>8306238.42771484</v>
      </c>
      <c r="O121" s="195">
        <v>2491626.4479504763</v>
      </c>
      <c r="P121" s="195">
        <v>10797864.875665316</v>
      </c>
      <c r="Q121" s="195">
        <v>175</v>
      </c>
      <c r="R121" s="195">
        <v>23</v>
      </c>
      <c r="S121" s="195">
        <v>172</v>
      </c>
      <c r="T121" s="195">
        <v>94</v>
      </c>
      <c r="U121" s="195">
        <v>103</v>
      </c>
      <c r="V121" s="195">
        <v>1600</v>
      </c>
      <c r="W121" s="195">
        <v>518</v>
      </c>
      <c r="X121" s="195">
        <v>334</v>
      </c>
      <c r="Y121" s="195">
        <v>157</v>
      </c>
      <c r="Z121" s="195">
        <v>16</v>
      </c>
      <c r="AA121" s="195">
        <v>0</v>
      </c>
      <c r="AB121" s="195">
        <v>3068</v>
      </c>
      <c r="AC121" s="195">
        <v>92</v>
      </c>
      <c r="AD121" s="195">
        <v>1009</v>
      </c>
      <c r="AE121" s="195">
        <v>1.5872040476017413</v>
      </c>
      <c r="AF121" s="195">
        <v>5725925.707481415</v>
      </c>
      <c r="AG121" s="195">
        <v>19729827.39725771</v>
      </c>
      <c r="AH121" s="195">
        <v>6173921.582674976</v>
      </c>
      <c r="AI121" s="195">
        <v>1890857.8071602425</v>
      </c>
      <c r="AJ121" s="195">
        <v>136</v>
      </c>
      <c r="AK121" s="195">
        <v>1335</v>
      </c>
      <c r="AL121" s="195">
        <v>0.7672487865929046</v>
      </c>
      <c r="AM121" s="195">
        <v>92</v>
      </c>
      <c r="AN121" s="195">
        <v>0.028967254408060455</v>
      </c>
      <c r="AO121" s="195">
        <v>0.024999000439806487</v>
      </c>
      <c r="AP121" s="195">
        <v>0</v>
      </c>
      <c r="AQ121" s="195">
        <v>16</v>
      </c>
      <c r="AR121" s="195">
        <v>0</v>
      </c>
      <c r="AS121" s="195">
        <v>0</v>
      </c>
      <c r="AT121" s="195">
        <v>0</v>
      </c>
      <c r="AU121" s="195">
        <v>420.14</v>
      </c>
      <c r="AV121" s="195">
        <v>7.559384966915791</v>
      </c>
      <c r="AW121" s="195">
        <v>2.395077799138396</v>
      </c>
      <c r="AX121" s="195">
        <v>72</v>
      </c>
      <c r="AY121" s="195">
        <v>747</v>
      </c>
      <c r="AZ121" s="195">
        <v>0.0963855421686747</v>
      </c>
      <c r="BA121" s="195">
        <v>0.03136274196600623</v>
      </c>
      <c r="BB121" s="195">
        <v>0</v>
      </c>
      <c r="BC121" s="195">
        <v>1086</v>
      </c>
      <c r="BD121" s="195">
        <v>1189</v>
      </c>
      <c r="BE121" s="195">
        <v>0.913372582001682</v>
      </c>
      <c r="BF121" s="195">
        <v>0.48243106395937596</v>
      </c>
      <c r="BG121" s="195">
        <v>0</v>
      </c>
      <c r="BH121" s="195">
        <v>0</v>
      </c>
      <c r="BI121" s="195">
        <v>0</v>
      </c>
      <c r="BJ121" s="195">
        <v>-762.24</v>
      </c>
      <c r="BK121" s="195">
        <v>-13021.599999999999</v>
      </c>
      <c r="BL121" s="195">
        <v>-889.2800000000001</v>
      </c>
      <c r="BM121" s="195">
        <v>-4541.679999999999</v>
      </c>
      <c r="BN121" s="195">
        <v>-127.04</v>
      </c>
      <c r="BO121" s="195">
        <v>-43921</v>
      </c>
      <c r="BP121" s="195">
        <v>-40517.02256975942</v>
      </c>
      <c r="BQ121" s="195">
        <v>-271452.72</v>
      </c>
      <c r="BR121" s="195">
        <v>48930.923893926665</v>
      </c>
      <c r="BS121" s="195">
        <v>344633</v>
      </c>
      <c r="BT121" s="195">
        <v>101443</v>
      </c>
      <c r="BU121" s="195">
        <v>292774.96621069574</v>
      </c>
      <c r="BV121" s="195">
        <v>17263.521425798896</v>
      </c>
      <c r="BW121" s="195">
        <v>43252.75609648673</v>
      </c>
      <c r="BX121" s="195">
        <v>132095.14889464315</v>
      </c>
      <c r="BY121" s="195">
        <v>189115.0652921132</v>
      </c>
      <c r="BZ121" s="195">
        <v>300305.9793463635</v>
      </c>
      <c r="CA121" s="195">
        <v>91668.31706484717</v>
      </c>
      <c r="CB121" s="195">
        <v>285.84</v>
      </c>
      <c r="CC121" s="195">
        <v>-35969.89130522375</v>
      </c>
      <c r="CD121" s="195">
        <v>1482068.1869196512</v>
      </c>
      <c r="CE121" s="195">
        <v>1057064.604349892</v>
      </c>
      <c r="CF121" s="195">
        <v>0</v>
      </c>
      <c r="CG121" s="229">
        <v>2491626.4479504763</v>
      </c>
      <c r="CH121" s="195">
        <v>52493</v>
      </c>
      <c r="CI121" s="195">
        <v>-33333.81909999999</v>
      </c>
      <c r="CJ121" s="195">
        <v>10850357.875665316</v>
      </c>
      <c r="CL121" s="195">
        <v>3215</v>
      </c>
    </row>
    <row r="122" spans="1:90" ht="9.75">
      <c r="A122" s="195">
        <v>405</v>
      </c>
      <c r="B122" s="195" t="s">
        <v>190</v>
      </c>
      <c r="C122" s="195">
        <v>72872</v>
      </c>
      <c r="D122" s="195">
        <v>237828381.85999995</v>
      </c>
      <c r="E122" s="195">
        <v>84379824.35481283</v>
      </c>
      <c r="F122" s="195">
        <v>19511486.46588935</v>
      </c>
      <c r="G122" s="195">
        <v>341719692.6807021</v>
      </c>
      <c r="H122" s="195">
        <v>3540.31</v>
      </c>
      <c r="I122" s="195">
        <v>257989470.32</v>
      </c>
      <c r="J122" s="195">
        <v>83730222.3607021</v>
      </c>
      <c r="K122" s="195">
        <v>2995087.9924621275</v>
      </c>
      <c r="L122" s="195">
        <v>12743725.86969708</v>
      </c>
      <c r="M122" s="195">
        <v>0</v>
      </c>
      <c r="N122" s="195">
        <v>99469036.2228613</v>
      </c>
      <c r="O122" s="195">
        <v>11580081.07870855</v>
      </c>
      <c r="P122" s="195">
        <v>111049117.30156985</v>
      </c>
      <c r="Q122" s="195">
        <v>4138</v>
      </c>
      <c r="R122" s="195">
        <v>792</v>
      </c>
      <c r="S122" s="195">
        <v>4308</v>
      </c>
      <c r="T122" s="195">
        <v>2135</v>
      </c>
      <c r="U122" s="195">
        <v>2197</v>
      </c>
      <c r="V122" s="195">
        <v>43164</v>
      </c>
      <c r="W122" s="195">
        <v>8828</v>
      </c>
      <c r="X122" s="195">
        <v>5219</v>
      </c>
      <c r="Y122" s="195">
        <v>2091</v>
      </c>
      <c r="Z122" s="195">
        <v>116</v>
      </c>
      <c r="AA122" s="195">
        <v>1</v>
      </c>
      <c r="AB122" s="195">
        <v>67574</v>
      </c>
      <c r="AC122" s="195">
        <v>5181</v>
      </c>
      <c r="AD122" s="195">
        <v>16138</v>
      </c>
      <c r="AE122" s="195">
        <v>1.0194019856033525</v>
      </c>
      <c r="AF122" s="195">
        <v>84379824.35481283</v>
      </c>
      <c r="AG122" s="195">
        <v>6888523.399698323</v>
      </c>
      <c r="AH122" s="195">
        <v>2161334.8291685865</v>
      </c>
      <c r="AI122" s="195">
        <v>490552.73298968555</v>
      </c>
      <c r="AJ122" s="195">
        <v>5286</v>
      </c>
      <c r="AK122" s="195">
        <v>34765</v>
      </c>
      <c r="AL122" s="195">
        <v>1.145152940693538</v>
      </c>
      <c r="AM122" s="195">
        <v>5181</v>
      </c>
      <c r="AN122" s="195">
        <v>0.07109726643978483</v>
      </c>
      <c r="AO122" s="195">
        <v>0.06712901247153086</v>
      </c>
      <c r="AP122" s="195">
        <v>0</v>
      </c>
      <c r="AQ122" s="195">
        <v>116</v>
      </c>
      <c r="AR122" s="195">
        <v>1</v>
      </c>
      <c r="AS122" s="195">
        <v>0</v>
      </c>
      <c r="AT122" s="195">
        <v>0</v>
      </c>
      <c r="AU122" s="195">
        <v>1433.44</v>
      </c>
      <c r="AV122" s="195">
        <v>50.837147003013726</v>
      </c>
      <c r="AW122" s="195">
        <v>0.35614341434870905</v>
      </c>
      <c r="AX122" s="195">
        <v>2852</v>
      </c>
      <c r="AY122" s="195">
        <v>22263</v>
      </c>
      <c r="AZ122" s="195">
        <v>0.12810492745811436</v>
      </c>
      <c r="BA122" s="195">
        <v>0.06308212725544589</v>
      </c>
      <c r="BB122" s="195">
        <v>0</v>
      </c>
      <c r="BC122" s="195">
        <v>31717</v>
      </c>
      <c r="BD122" s="195">
        <v>29308</v>
      </c>
      <c r="BE122" s="195">
        <v>1.0821959874437013</v>
      </c>
      <c r="BF122" s="195">
        <v>0.6512544694013952</v>
      </c>
      <c r="BG122" s="195">
        <v>0</v>
      </c>
      <c r="BH122" s="195">
        <v>1</v>
      </c>
      <c r="BI122" s="195">
        <v>0</v>
      </c>
      <c r="BJ122" s="195">
        <v>-17489.28</v>
      </c>
      <c r="BK122" s="195">
        <v>-298775.19999999995</v>
      </c>
      <c r="BL122" s="195">
        <v>-20404.160000000003</v>
      </c>
      <c r="BM122" s="195">
        <v>-104206.95999999999</v>
      </c>
      <c r="BN122" s="195">
        <v>-2914.88</v>
      </c>
      <c r="BO122" s="195">
        <v>339710</v>
      </c>
      <c r="BP122" s="195">
        <v>-4144741.345839835</v>
      </c>
      <c r="BQ122" s="195">
        <v>-6228369.84</v>
      </c>
      <c r="BR122" s="195">
        <v>997030.4585953057</v>
      </c>
      <c r="BS122" s="195">
        <v>5098431</v>
      </c>
      <c r="BT122" s="195">
        <v>1727824</v>
      </c>
      <c r="BU122" s="195">
        <v>4014176.8117610975</v>
      </c>
      <c r="BV122" s="195">
        <v>165037.3374035371</v>
      </c>
      <c r="BW122" s="195">
        <v>403872.2532490542</v>
      </c>
      <c r="BX122" s="195">
        <v>1978357.3557773354</v>
      </c>
      <c r="BY122" s="195">
        <v>3604287.803340834</v>
      </c>
      <c r="BZ122" s="195">
        <v>5400271.836280328</v>
      </c>
      <c r="CA122" s="195">
        <v>1817958.4773454238</v>
      </c>
      <c r="CB122" s="195">
        <v>6558.48</v>
      </c>
      <c r="CC122" s="195">
        <v>152463.40178400092</v>
      </c>
      <c r="CD122" s="195">
        <v>25710351.535536915</v>
      </c>
      <c r="CE122" s="195">
        <v>12743725.86969708</v>
      </c>
      <c r="CF122" s="195">
        <v>0</v>
      </c>
      <c r="CG122" s="229">
        <v>11580081.07870855</v>
      </c>
      <c r="CH122" s="195">
        <v>-5756021</v>
      </c>
      <c r="CI122" s="195">
        <v>-2185366.2231</v>
      </c>
      <c r="CJ122" s="195">
        <v>105293096.30156985</v>
      </c>
      <c r="CL122" s="195">
        <v>72875</v>
      </c>
    </row>
    <row r="123" spans="1:90" ht="9.75">
      <c r="A123" s="195">
        <v>408</v>
      </c>
      <c r="B123" s="195" t="s">
        <v>191</v>
      </c>
      <c r="C123" s="195">
        <v>14575</v>
      </c>
      <c r="D123" s="195">
        <v>53895599.66</v>
      </c>
      <c r="E123" s="195">
        <v>18836292.4895387</v>
      </c>
      <c r="F123" s="195">
        <v>2337197.0087629957</v>
      </c>
      <c r="G123" s="195">
        <v>75069089.1583017</v>
      </c>
      <c r="H123" s="195">
        <v>3540.31</v>
      </c>
      <c r="I123" s="195">
        <v>51600018.25</v>
      </c>
      <c r="J123" s="195">
        <v>23469070.908301696</v>
      </c>
      <c r="K123" s="195">
        <v>328553.2246379194</v>
      </c>
      <c r="L123" s="195">
        <v>3264899.5923324246</v>
      </c>
      <c r="M123" s="195">
        <v>0</v>
      </c>
      <c r="N123" s="195">
        <v>27062523.725272037</v>
      </c>
      <c r="O123" s="195">
        <v>9093834.217325712</v>
      </c>
      <c r="P123" s="195">
        <v>36156357.94259775</v>
      </c>
      <c r="Q123" s="195">
        <v>1118</v>
      </c>
      <c r="R123" s="195">
        <v>174</v>
      </c>
      <c r="S123" s="195">
        <v>1145</v>
      </c>
      <c r="T123" s="195">
        <v>534</v>
      </c>
      <c r="U123" s="195">
        <v>514</v>
      </c>
      <c r="V123" s="195">
        <v>7828</v>
      </c>
      <c r="W123" s="195">
        <v>1755</v>
      </c>
      <c r="X123" s="195">
        <v>1037</v>
      </c>
      <c r="Y123" s="195">
        <v>470</v>
      </c>
      <c r="Z123" s="195">
        <v>17</v>
      </c>
      <c r="AA123" s="195">
        <v>0</v>
      </c>
      <c r="AB123" s="195">
        <v>14194</v>
      </c>
      <c r="AC123" s="195">
        <v>364</v>
      </c>
      <c r="AD123" s="195">
        <v>3262</v>
      </c>
      <c r="AE123" s="195">
        <v>1.1377698191090473</v>
      </c>
      <c r="AF123" s="195">
        <v>18836292.4895387</v>
      </c>
      <c r="AG123" s="195">
        <v>3980756.001672242</v>
      </c>
      <c r="AH123" s="195">
        <v>919305.0559307178</v>
      </c>
      <c r="AI123" s="195">
        <v>472714.45179006056</v>
      </c>
      <c r="AJ123" s="195">
        <v>655</v>
      </c>
      <c r="AK123" s="195">
        <v>6623</v>
      </c>
      <c r="AL123" s="195">
        <v>0.7448436378312883</v>
      </c>
      <c r="AM123" s="195">
        <v>364</v>
      </c>
      <c r="AN123" s="195">
        <v>0.02497427101200686</v>
      </c>
      <c r="AO123" s="195">
        <v>0.021006017043752892</v>
      </c>
      <c r="AP123" s="195">
        <v>0</v>
      </c>
      <c r="AQ123" s="195">
        <v>17</v>
      </c>
      <c r="AR123" s="195">
        <v>0</v>
      </c>
      <c r="AS123" s="195">
        <v>0</v>
      </c>
      <c r="AT123" s="195">
        <v>0</v>
      </c>
      <c r="AU123" s="195">
        <v>738.15</v>
      </c>
      <c r="AV123" s="195">
        <v>19.74530921899343</v>
      </c>
      <c r="AW123" s="195">
        <v>0.9169425967755757</v>
      </c>
      <c r="AX123" s="195">
        <v>509</v>
      </c>
      <c r="AY123" s="195">
        <v>4459</v>
      </c>
      <c r="AZ123" s="195">
        <v>0.1141511549674815</v>
      </c>
      <c r="BA123" s="195">
        <v>0.04912835476481303</v>
      </c>
      <c r="BB123" s="195">
        <v>0</v>
      </c>
      <c r="BC123" s="195">
        <v>4635</v>
      </c>
      <c r="BD123" s="195">
        <v>5881</v>
      </c>
      <c r="BE123" s="195">
        <v>0.7881312701921442</v>
      </c>
      <c r="BF123" s="195">
        <v>0.35718975214983817</v>
      </c>
      <c r="BG123" s="195">
        <v>0</v>
      </c>
      <c r="BH123" s="195">
        <v>0</v>
      </c>
      <c r="BI123" s="195">
        <v>0</v>
      </c>
      <c r="BJ123" s="195">
        <v>-3498</v>
      </c>
      <c r="BK123" s="195">
        <v>-59757.49999999999</v>
      </c>
      <c r="BL123" s="195">
        <v>-4081.0000000000005</v>
      </c>
      <c r="BM123" s="195">
        <v>-20842.25</v>
      </c>
      <c r="BN123" s="195">
        <v>-583</v>
      </c>
      <c r="BO123" s="195">
        <v>-265852</v>
      </c>
      <c r="BP123" s="195">
        <v>-505712.4668892195</v>
      </c>
      <c r="BQ123" s="195">
        <v>-1245725.25</v>
      </c>
      <c r="BR123" s="195">
        <v>357807.1910356991</v>
      </c>
      <c r="BS123" s="195">
        <v>1158445</v>
      </c>
      <c r="BT123" s="195">
        <v>386915</v>
      </c>
      <c r="BU123" s="195">
        <v>964292.5946574889</v>
      </c>
      <c r="BV123" s="195">
        <v>40385.642318928454</v>
      </c>
      <c r="BW123" s="195">
        <v>123093.3811491682</v>
      </c>
      <c r="BX123" s="195">
        <v>419128.21563631925</v>
      </c>
      <c r="BY123" s="195">
        <v>779181.7214906423</v>
      </c>
      <c r="BZ123" s="195">
        <v>1226683.438706409</v>
      </c>
      <c r="CA123" s="195">
        <v>372695.62141871883</v>
      </c>
      <c r="CB123" s="195">
        <v>1311.75</v>
      </c>
      <c r="CC123" s="195">
        <v>-29900.497191731003</v>
      </c>
      <c r="CD123" s="195">
        <v>5535061.559221644</v>
      </c>
      <c r="CE123" s="195">
        <v>3264899.5923324246</v>
      </c>
      <c r="CF123" s="195">
        <v>0</v>
      </c>
      <c r="CG123" s="229">
        <v>9093834.217325712</v>
      </c>
      <c r="CH123" s="195">
        <v>-492974</v>
      </c>
      <c r="CI123" s="195">
        <v>-1433.9929999999877</v>
      </c>
      <c r="CJ123" s="195">
        <v>35663383.94259775</v>
      </c>
      <c r="CL123" s="195">
        <v>14609</v>
      </c>
    </row>
    <row r="124" spans="1:90" ht="9.75">
      <c r="A124" s="195">
        <v>410</v>
      </c>
      <c r="B124" s="195" t="s">
        <v>192</v>
      </c>
      <c r="C124" s="195">
        <v>18970</v>
      </c>
      <c r="D124" s="195">
        <v>69934963.71999998</v>
      </c>
      <c r="E124" s="195">
        <v>19156051.656552594</v>
      </c>
      <c r="F124" s="195">
        <v>2765274.0742765754</v>
      </c>
      <c r="G124" s="195">
        <v>91856289.45082916</v>
      </c>
      <c r="H124" s="195">
        <v>3540.31</v>
      </c>
      <c r="I124" s="195">
        <v>67159680.7</v>
      </c>
      <c r="J124" s="195">
        <v>24696608.75082916</v>
      </c>
      <c r="K124" s="195">
        <v>369590.402587824</v>
      </c>
      <c r="L124" s="195">
        <v>3126343.7637494546</v>
      </c>
      <c r="M124" s="195">
        <v>0</v>
      </c>
      <c r="N124" s="195">
        <v>28192542.917166438</v>
      </c>
      <c r="O124" s="195">
        <v>10425626.684881866</v>
      </c>
      <c r="P124" s="195">
        <v>38618169.60204831</v>
      </c>
      <c r="Q124" s="195">
        <v>1732</v>
      </c>
      <c r="R124" s="195">
        <v>326</v>
      </c>
      <c r="S124" s="195">
        <v>1745</v>
      </c>
      <c r="T124" s="195">
        <v>773</v>
      </c>
      <c r="U124" s="195">
        <v>690</v>
      </c>
      <c r="V124" s="195">
        <v>10227</v>
      </c>
      <c r="W124" s="195">
        <v>2036</v>
      </c>
      <c r="X124" s="195">
        <v>1047</v>
      </c>
      <c r="Y124" s="195">
        <v>394</v>
      </c>
      <c r="Z124" s="195">
        <v>20</v>
      </c>
      <c r="AA124" s="195">
        <v>2</v>
      </c>
      <c r="AB124" s="195">
        <v>18694</v>
      </c>
      <c r="AC124" s="195">
        <v>254</v>
      </c>
      <c r="AD124" s="195">
        <v>3477</v>
      </c>
      <c r="AE124" s="195">
        <v>0.8890091191480721</v>
      </c>
      <c r="AF124" s="195">
        <v>19156051.656552594</v>
      </c>
      <c r="AG124" s="195">
        <v>23701728.83107132</v>
      </c>
      <c r="AH124" s="195">
        <v>5609115.5906338</v>
      </c>
      <c r="AI124" s="195">
        <v>2292219.134151804</v>
      </c>
      <c r="AJ124" s="195">
        <v>1160</v>
      </c>
      <c r="AK124" s="195">
        <v>8634</v>
      </c>
      <c r="AL124" s="195">
        <v>1.0118695163084488</v>
      </c>
      <c r="AM124" s="195">
        <v>254</v>
      </c>
      <c r="AN124" s="195">
        <v>0.013389562467053242</v>
      </c>
      <c r="AO124" s="195">
        <v>0.009421308498799274</v>
      </c>
      <c r="AP124" s="195">
        <v>0</v>
      </c>
      <c r="AQ124" s="195">
        <v>20</v>
      </c>
      <c r="AR124" s="195">
        <v>2</v>
      </c>
      <c r="AS124" s="195">
        <v>0</v>
      </c>
      <c r="AT124" s="195">
        <v>0</v>
      </c>
      <c r="AU124" s="195">
        <v>648.4</v>
      </c>
      <c r="AV124" s="195">
        <v>29.256631708821715</v>
      </c>
      <c r="AW124" s="195">
        <v>0.6188448242981189</v>
      </c>
      <c r="AX124" s="195">
        <v>633</v>
      </c>
      <c r="AY124" s="195">
        <v>6175</v>
      </c>
      <c r="AZ124" s="195">
        <v>0.10251012145748988</v>
      </c>
      <c r="BA124" s="195">
        <v>0.037487321254821404</v>
      </c>
      <c r="BB124" s="195">
        <v>0</v>
      </c>
      <c r="BC124" s="195">
        <v>5398</v>
      </c>
      <c r="BD124" s="195">
        <v>7298</v>
      </c>
      <c r="BE124" s="195">
        <v>0.7396546999177857</v>
      </c>
      <c r="BF124" s="195">
        <v>0.3087131818754796</v>
      </c>
      <c r="BG124" s="195">
        <v>0</v>
      </c>
      <c r="BH124" s="195">
        <v>2</v>
      </c>
      <c r="BI124" s="195">
        <v>0</v>
      </c>
      <c r="BJ124" s="195">
        <v>-4552.8</v>
      </c>
      <c r="BK124" s="195">
        <v>-77777</v>
      </c>
      <c r="BL124" s="195">
        <v>-5311.6</v>
      </c>
      <c r="BM124" s="195">
        <v>-27127.1</v>
      </c>
      <c r="BN124" s="195">
        <v>-758.8000000000001</v>
      </c>
      <c r="BO124" s="195">
        <v>194838</v>
      </c>
      <c r="BP124" s="195">
        <v>-546729.6996141612</v>
      </c>
      <c r="BQ124" s="195">
        <v>-1621365.9</v>
      </c>
      <c r="BR124" s="195">
        <v>-78414.6230551675</v>
      </c>
      <c r="BS124" s="195">
        <v>1303995</v>
      </c>
      <c r="BT124" s="195">
        <v>416357</v>
      </c>
      <c r="BU124" s="195">
        <v>855099.5997353231</v>
      </c>
      <c r="BV124" s="195">
        <v>20238.89504379743</v>
      </c>
      <c r="BW124" s="195">
        <v>20659.495845095145</v>
      </c>
      <c r="BX124" s="195">
        <v>443704.675469128</v>
      </c>
      <c r="BY124" s="195">
        <v>862823.3342152307</v>
      </c>
      <c r="BZ124" s="195">
        <v>1423658.3558661467</v>
      </c>
      <c r="CA124" s="195">
        <v>412330.4441155216</v>
      </c>
      <c r="CB124" s="195">
        <v>1707.3</v>
      </c>
      <c r="CC124" s="195">
        <v>91445.98612854056</v>
      </c>
      <c r="CD124" s="195">
        <v>5969581.663363616</v>
      </c>
      <c r="CE124" s="195">
        <v>3126343.7637494546</v>
      </c>
      <c r="CF124" s="195">
        <v>0</v>
      </c>
      <c r="CG124" s="229">
        <v>10425626.684881866</v>
      </c>
      <c r="CH124" s="195">
        <v>-2352788</v>
      </c>
      <c r="CI124" s="195">
        <v>-41181.67169999995</v>
      </c>
      <c r="CJ124" s="195">
        <v>36265381.60204831</v>
      </c>
      <c r="CL124" s="195">
        <v>18865</v>
      </c>
    </row>
    <row r="125" spans="1:90" ht="9.75">
      <c r="A125" s="195">
        <v>416</v>
      </c>
      <c r="B125" s="195" t="s">
        <v>193</v>
      </c>
      <c r="C125" s="195">
        <v>3076</v>
      </c>
      <c r="D125" s="195">
        <v>11391732.99</v>
      </c>
      <c r="E125" s="195">
        <v>3350142.4009458837</v>
      </c>
      <c r="F125" s="195">
        <v>529466.7843893194</v>
      </c>
      <c r="G125" s="195">
        <v>15271342.175335202</v>
      </c>
      <c r="H125" s="195">
        <v>3540.31</v>
      </c>
      <c r="I125" s="195">
        <v>10889993.56</v>
      </c>
      <c r="J125" s="195">
        <v>4381348.615335202</v>
      </c>
      <c r="K125" s="195">
        <v>3630.4778675585244</v>
      </c>
      <c r="L125" s="195">
        <v>703909.9848884959</v>
      </c>
      <c r="M125" s="195">
        <v>0</v>
      </c>
      <c r="N125" s="195">
        <v>5088889.078091256</v>
      </c>
      <c r="O125" s="195">
        <v>1772240.844491429</v>
      </c>
      <c r="P125" s="195">
        <v>6861129.922582685</v>
      </c>
      <c r="Q125" s="195">
        <v>228</v>
      </c>
      <c r="R125" s="195">
        <v>41</v>
      </c>
      <c r="S125" s="195">
        <v>208</v>
      </c>
      <c r="T125" s="195">
        <v>116</v>
      </c>
      <c r="U125" s="195">
        <v>101</v>
      </c>
      <c r="V125" s="195">
        <v>1638</v>
      </c>
      <c r="W125" s="195">
        <v>393</v>
      </c>
      <c r="X125" s="195">
        <v>247</v>
      </c>
      <c r="Y125" s="195">
        <v>104</v>
      </c>
      <c r="Z125" s="195">
        <v>2</v>
      </c>
      <c r="AA125" s="195">
        <v>0</v>
      </c>
      <c r="AB125" s="195">
        <v>3009</v>
      </c>
      <c r="AC125" s="195">
        <v>65</v>
      </c>
      <c r="AD125" s="195">
        <v>744</v>
      </c>
      <c r="AE125" s="195">
        <v>0.9588363358916222</v>
      </c>
      <c r="AF125" s="195">
        <v>3350142.4009458837</v>
      </c>
      <c r="AG125" s="195">
        <v>23443393.509852286</v>
      </c>
      <c r="AH125" s="195">
        <v>5520056.851994318</v>
      </c>
      <c r="AI125" s="195">
        <v>2613308.195745053</v>
      </c>
      <c r="AJ125" s="195">
        <v>154</v>
      </c>
      <c r="AK125" s="195">
        <v>1448</v>
      </c>
      <c r="AL125" s="195">
        <v>0.8009966994822233</v>
      </c>
      <c r="AM125" s="195">
        <v>65</v>
      </c>
      <c r="AN125" s="195">
        <v>0.021131339401820545</v>
      </c>
      <c r="AO125" s="195">
        <v>0.017163085433566577</v>
      </c>
      <c r="AP125" s="195">
        <v>0</v>
      </c>
      <c r="AQ125" s="195">
        <v>2</v>
      </c>
      <c r="AR125" s="195">
        <v>0</v>
      </c>
      <c r="AS125" s="195">
        <v>0</v>
      </c>
      <c r="AT125" s="195">
        <v>0</v>
      </c>
      <c r="AU125" s="195">
        <v>217.87</v>
      </c>
      <c r="AV125" s="195">
        <v>14.118511038692798</v>
      </c>
      <c r="AW125" s="195">
        <v>1.2823813403397588</v>
      </c>
      <c r="AX125" s="195">
        <v>111</v>
      </c>
      <c r="AY125" s="195">
        <v>970</v>
      </c>
      <c r="AZ125" s="195">
        <v>0.11443298969072165</v>
      </c>
      <c r="BA125" s="195">
        <v>0.049410189488053174</v>
      </c>
      <c r="BB125" s="195">
        <v>0</v>
      </c>
      <c r="BC125" s="195">
        <v>567</v>
      </c>
      <c r="BD125" s="195">
        <v>1261</v>
      </c>
      <c r="BE125" s="195">
        <v>0.44964314036478986</v>
      </c>
      <c r="BF125" s="195">
        <v>0.01870162232248379</v>
      </c>
      <c r="BG125" s="195">
        <v>0</v>
      </c>
      <c r="BH125" s="195">
        <v>0</v>
      </c>
      <c r="BI125" s="195">
        <v>0</v>
      </c>
      <c r="BJ125" s="195">
        <v>-738.24</v>
      </c>
      <c r="BK125" s="195">
        <v>-12611.599999999999</v>
      </c>
      <c r="BL125" s="195">
        <v>-861.2800000000001</v>
      </c>
      <c r="BM125" s="195">
        <v>-4398.679999999999</v>
      </c>
      <c r="BN125" s="195">
        <v>-123.04</v>
      </c>
      <c r="BO125" s="195">
        <v>34956</v>
      </c>
      <c r="BP125" s="195">
        <v>-69529.2115703279</v>
      </c>
      <c r="BQ125" s="195">
        <v>-262905.72</v>
      </c>
      <c r="BR125" s="195">
        <v>-11455.423512226902</v>
      </c>
      <c r="BS125" s="195">
        <v>279320</v>
      </c>
      <c r="BT125" s="195">
        <v>82236</v>
      </c>
      <c r="BU125" s="195">
        <v>190087.50948810115</v>
      </c>
      <c r="BV125" s="195">
        <v>5433.9903436895065</v>
      </c>
      <c r="BW125" s="195">
        <v>12855.739432420762</v>
      </c>
      <c r="BX125" s="195">
        <v>85809.04218262987</v>
      </c>
      <c r="BY125" s="195">
        <v>150215.59532392293</v>
      </c>
      <c r="BZ125" s="195">
        <v>236626.36320856414</v>
      </c>
      <c r="CA125" s="195">
        <v>72482.98828311889</v>
      </c>
      <c r="CB125" s="195">
        <v>276.84</v>
      </c>
      <c r="CC125" s="195">
        <v>6790.5517086032305</v>
      </c>
      <c r="CD125" s="195">
        <v>1145819.7564588238</v>
      </c>
      <c r="CE125" s="195">
        <v>703909.9848884959</v>
      </c>
      <c r="CF125" s="195">
        <v>0</v>
      </c>
      <c r="CG125" s="229">
        <v>1772240.844491429</v>
      </c>
      <c r="CH125" s="195">
        <v>-658905</v>
      </c>
      <c r="CI125" s="195">
        <v>5957.589099999997</v>
      </c>
      <c r="CJ125" s="195">
        <v>6202224.922582685</v>
      </c>
      <c r="CL125" s="195">
        <v>3073</v>
      </c>
    </row>
    <row r="126" spans="1:90" ht="9.75">
      <c r="A126" s="195">
        <v>418</v>
      </c>
      <c r="B126" s="195" t="s">
        <v>194</v>
      </c>
      <c r="C126" s="195">
        <v>22745</v>
      </c>
      <c r="D126" s="195">
        <v>82233077.66</v>
      </c>
      <c r="E126" s="195">
        <v>16808241.99927952</v>
      </c>
      <c r="F126" s="195">
        <v>2964020.1750927516</v>
      </c>
      <c r="G126" s="195">
        <v>102005339.83437228</v>
      </c>
      <c r="H126" s="195">
        <v>3540.31</v>
      </c>
      <c r="I126" s="195">
        <v>80524350.95</v>
      </c>
      <c r="J126" s="195">
        <v>21480988.88437228</v>
      </c>
      <c r="K126" s="195">
        <v>375046.24358335644</v>
      </c>
      <c r="L126" s="195">
        <v>2562055.307274696</v>
      </c>
      <c r="M126" s="195">
        <v>0</v>
      </c>
      <c r="N126" s="195">
        <v>24418090.43523033</v>
      </c>
      <c r="O126" s="195">
        <v>-56836.477831517564</v>
      </c>
      <c r="P126" s="195">
        <v>24361253.957398813</v>
      </c>
      <c r="Q126" s="195">
        <v>2060</v>
      </c>
      <c r="R126" s="195">
        <v>403</v>
      </c>
      <c r="S126" s="195">
        <v>2281</v>
      </c>
      <c r="T126" s="195">
        <v>934</v>
      </c>
      <c r="U126" s="195">
        <v>879</v>
      </c>
      <c r="V126" s="195">
        <v>12705</v>
      </c>
      <c r="W126" s="195">
        <v>2088</v>
      </c>
      <c r="X126" s="195">
        <v>1008</v>
      </c>
      <c r="Y126" s="195">
        <v>387</v>
      </c>
      <c r="Z126" s="195">
        <v>61</v>
      </c>
      <c r="AA126" s="195">
        <v>0</v>
      </c>
      <c r="AB126" s="195">
        <v>22180</v>
      </c>
      <c r="AC126" s="195">
        <v>504</v>
      </c>
      <c r="AD126" s="195">
        <v>3483</v>
      </c>
      <c r="AE126" s="195">
        <v>0.6505847789397746</v>
      </c>
      <c r="AF126" s="195">
        <v>16808241.99927952</v>
      </c>
      <c r="AG126" s="195">
        <v>3852298.6888573547</v>
      </c>
      <c r="AH126" s="195">
        <v>1165952.4778576985</v>
      </c>
      <c r="AI126" s="195">
        <v>330008.20219306124</v>
      </c>
      <c r="AJ126" s="195">
        <v>1288</v>
      </c>
      <c r="AK126" s="195">
        <v>10705</v>
      </c>
      <c r="AL126" s="195">
        <v>0.9061659914077862</v>
      </c>
      <c r="AM126" s="195">
        <v>504</v>
      </c>
      <c r="AN126" s="195">
        <v>0.022158716201362935</v>
      </c>
      <c r="AO126" s="195">
        <v>0.018190462233108967</v>
      </c>
      <c r="AP126" s="195">
        <v>0</v>
      </c>
      <c r="AQ126" s="195">
        <v>61</v>
      </c>
      <c r="AR126" s="195">
        <v>0</v>
      </c>
      <c r="AS126" s="195">
        <v>0</v>
      </c>
      <c r="AT126" s="195">
        <v>0</v>
      </c>
      <c r="AU126" s="195">
        <v>269.54</v>
      </c>
      <c r="AV126" s="195">
        <v>84.38450693774578</v>
      </c>
      <c r="AW126" s="195">
        <v>0.21455733719884917</v>
      </c>
      <c r="AX126" s="195">
        <v>671</v>
      </c>
      <c r="AY126" s="195">
        <v>8015</v>
      </c>
      <c r="AZ126" s="195">
        <v>0.08371802869619463</v>
      </c>
      <c r="BA126" s="195">
        <v>0.01869522849352616</v>
      </c>
      <c r="BB126" s="195">
        <v>0</v>
      </c>
      <c r="BC126" s="195">
        <v>6547</v>
      </c>
      <c r="BD126" s="195">
        <v>9458</v>
      </c>
      <c r="BE126" s="195">
        <v>0.6922182279551702</v>
      </c>
      <c r="BF126" s="195">
        <v>0.2612767099128641</v>
      </c>
      <c r="BG126" s="195">
        <v>0</v>
      </c>
      <c r="BH126" s="195">
        <v>0</v>
      </c>
      <c r="BI126" s="195">
        <v>0</v>
      </c>
      <c r="BJ126" s="195">
        <v>-5458.8</v>
      </c>
      <c r="BK126" s="195">
        <v>-93254.49999999999</v>
      </c>
      <c r="BL126" s="195">
        <v>-6368.6</v>
      </c>
      <c r="BM126" s="195">
        <v>-32525.35</v>
      </c>
      <c r="BN126" s="195">
        <v>-909.8000000000001</v>
      </c>
      <c r="BO126" s="195">
        <v>343408</v>
      </c>
      <c r="BP126" s="195">
        <v>-898377.4387072583</v>
      </c>
      <c r="BQ126" s="195">
        <v>-1944015.15</v>
      </c>
      <c r="BR126" s="195">
        <v>-22639.194855719805</v>
      </c>
      <c r="BS126" s="195">
        <v>1342222</v>
      </c>
      <c r="BT126" s="195">
        <v>425216</v>
      </c>
      <c r="BU126" s="195">
        <v>845415.0618822824</v>
      </c>
      <c r="BV126" s="195">
        <v>8296.370292491418</v>
      </c>
      <c r="BW126" s="195">
        <v>-22793.950664415817</v>
      </c>
      <c r="BX126" s="195">
        <v>436658.97893666575</v>
      </c>
      <c r="BY126" s="195">
        <v>906480.7620530743</v>
      </c>
      <c r="BZ126" s="195">
        <v>1500871.9621401401</v>
      </c>
      <c r="CA126" s="195">
        <v>419130.2126953597</v>
      </c>
      <c r="CB126" s="195">
        <v>2047.05</v>
      </c>
      <c r="CC126" s="195">
        <v>28264.493502075667</v>
      </c>
      <c r="CD126" s="195">
        <v>6213942.445981954</v>
      </c>
      <c r="CE126" s="195">
        <v>2562055.307274696</v>
      </c>
      <c r="CF126" s="195">
        <v>0</v>
      </c>
      <c r="CG126" s="229">
        <v>-56836.477831517564</v>
      </c>
      <c r="CH126" s="195">
        <v>-2474901</v>
      </c>
      <c r="CI126" s="195">
        <v>-259627.03990999993</v>
      </c>
      <c r="CJ126" s="195">
        <v>21886352.957398813</v>
      </c>
      <c r="CL126" s="195">
        <v>22536</v>
      </c>
    </row>
    <row r="127" spans="1:90" ht="9.75">
      <c r="A127" s="195">
        <v>420</v>
      </c>
      <c r="B127" s="195" t="s">
        <v>195</v>
      </c>
      <c r="C127" s="195">
        <v>9865</v>
      </c>
      <c r="D127" s="195">
        <v>34588479.989999995</v>
      </c>
      <c r="E127" s="195">
        <v>16311278.641330115</v>
      </c>
      <c r="F127" s="195">
        <v>2095177.4891511358</v>
      </c>
      <c r="G127" s="195">
        <v>52994936.120481245</v>
      </c>
      <c r="H127" s="195">
        <v>3540.31</v>
      </c>
      <c r="I127" s="195">
        <v>34925158.15</v>
      </c>
      <c r="J127" s="195">
        <v>18069777.970481247</v>
      </c>
      <c r="K127" s="195">
        <v>202782.1211396436</v>
      </c>
      <c r="L127" s="195">
        <v>2061693.036198029</v>
      </c>
      <c r="M127" s="195">
        <v>0</v>
      </c>
      <c r="N127" s="195">
        <v>20334253.127818916</v>
      </c>
      <c r="O127" s="195">
        <v>5282124.992023996</v>
      </c>
      <c r="P127" s="195">
        <v>25616378.119842913</v>
      </c>
      <c r="Q127" s="195">
        <v>466</v>
      </c>
      <c r="R127" s="195">
        <v>112</v>
      </c>
      <c r="S127" s="195">
        <v>589</v>
      </c>
      <c r="T127" s="195">
        <v>315</v>
      </c>
      <c r="U127" s="195">
        <v>307</v>
      </c>
      <c r="V127" s="195">
        <v>5302</v>
      </c>
      <c r="W127" s="195">
        <v>1456</v>
      </c>
      <c r="X127" s="195">
        <v>967</v>
      </c>
      <c r="Y127" s="195">
        <v>351</v>
      </c>
      <c r="Z127" s="195">
        <v>10</v>
      </c>
      <c r="AA127" s="195">
        <v>0</v>
      </c>
      <c r="AB127" s="195">
        <v>9695</v>
      </c>
      <c r="AC127" s="195">
        <v>160</v>
      </c>
      <c r="AD127" s="195">
        <v>2774</v>
      </c>
      <c r="AE127" s="195">
        <v>1.4556550264620296</v>
      </c>
      <c r="AF127" s="195">
        <v>16311278.641330115</v>
      </c>
      <c r="AG127" s="195">
        <v>22743287.939238228</v>
      </c>
      <c r="AH127" s="195">
        <v>3834205.118951794</v>
      </c>
      <c r="AI127" s="195">
        <v>2363572.2589503033</v>
      </c>
      <c r="AJ127" s="195">
        <v>571</v>
      </c>
      <c r="AK127" s="195">
        <v>4366</v>
      </c>
      <c r="AL127" s="195">
        <v>0.9849880111152562</v>
      </c>
      <c r="AM127" s="195">
        <v>160</v>
      </c>
      <c r="AN127" s="195">
        <v>0.016218955904713634</v>
      </c>
      <c r="AO127" s="195">
        <v>0.012250701936459666</v>
      </c>
      <c r="AP127" s="195">
        <v>0</v>
      </c>
      <c r="AQ127" s="195">
        <v>10</v>
      </c>
      <c r="AR127" s="195">
        <v>0</v>
      </c>
      <c r="AS127" s="195">
        <v>0</v>
      </c>
      <c r="AT127" s="195">
        <v>0</v>
      </c>
      <c r="AU127" s="195">
        <v>1136.01</v>
      </c>
      <c r="AV127" s="195">
        <v>8.683902430436351</v>
      </c>
      <c r="AW127" s="195">
        <v>2.0849284356239353</v>
      </c>
      <c r="AX127" s="195">
        <v>355</v>
      </c>
      <c r="AY127" s="195">
        <v>2935</v>
      </c>
      <c r="AZ127" s="195">
        <v>0.12095400340715502</v>
      </c>
      <c r="BA127" s="195">
        <v>0.05593120320448655</v>
      </c>
      <c r="BB127" s="195">
        <v>0</v>
      </c>
      <c r="BC127" s="195">
        <v>2786</v>
      </c>
      <c r="BD127" s="195">
        <v>3682</v>
      </c>
      <c r="BE127" s="195">
        <v>0.7566539923954373</v>
      </c>
      <c r="BF127" s="195">
        <v>0.3257124743531312</v>
      </c>
      <c r="BG127" s="195">
        <v>0</v>
      </c>
      <c r="BH127" s="195">
        <v>0</v>
      </c>
      <c r="BI127" s="195">
        <v>0</v>
      </c>
      <c r="BJ127" s="195">
        <v>-2367.6</v>
      </c>
      <c r="BK127" s="195">
        <v>-40446.5</v>
      </c>
      <c r="BL127" s="195">
        <v>-2762.2000000000003</v>
      </c>
      <c r="BM127" s="195">
        <v>-14106.949999999999</v>
      </c>
      <c r="BN127" s="195">
        <v>-394.6</v>
      </c>
      <c r="BO127" s="195">
        <v>13462</v>
      </c>
      <c r="BP127" s="195">
        <v>-402669.1749216832</v>
      </c>
      <c r="BQ127" s="195">
        <v>-843161.55</v>
      </c>
      <c r="BR127" s="195">
        <v>-162756.96273579448</v>
      </c>
      <c r="BS127" s="195">
        <v>916807</v>
      </c>
      <c r="BT127" s="195">
        <v>274888</v>
      </c>
      <c r="BU127" s="195">
        <v>642507.6030536001</v>
      </c>
      <c r="BV127" s="195">
        <v>26076.26417859702</v>
      </c>
      <c r="BW127" s="195">
        <v>100966.89511105619</v>
      </c>
      <c r="BX127" s="195">
        <v>316588.37062268355</v>
      </c>
      <c r="BY127" s="195">
        <v>483606.50641529675</v>
      </c>
      <c r="BZ127" s="195">
        <v>771459.6196428823</v>
      </c>
      <c r="CA127" s="195">
        <v>242024.09686885352</v>
      </c>
      <c r="CB127" s="195">
        <v>887.85</v>
      </c>
      <c r="CC127" s="195">
        <v>31509.96796253744</v>
      </c>
      <c r="CD127" s="195">
        <v>3658619.1111197122</v>
      </c>
      <c r="CE127" s="195">
        <v>2061693.036198029</v>
      </c>
      <c r="CF127" s="195">
        <v>0</v>
      </c>
      <c r="CG127" s="229">
        <v>5282124.992023996</v>
      </c>
      <c r="CH127" s="195">
        <v>-893409</v>
      </c>
      <c r="CI127" s="195">
        <v>-190395.1615</v>
      </c>
      <c r="CJ127" s="195">
        <v>24722969.119842913</v>
      </c>
      <c r="CL127" s="195">
        <v>9953</v>
      </c>
    </row>
    <row r="128" spans="1:90" ht="9.75">
      <c r="A128" s="195">
        <v>421</v>
      </c>
      <c r="B128" s="195" t="s">
        <v>196</v>
      </c>
      <c r="C128" s="195">
        <v>811</v>
      </c>
      <c r="D128" s="195">
        <v>3084415.48</v>
      </c>
      <c r="E128" s="195">
        <v>1246678.4893926966</v>
      </c>
      <c r="F128" s="195">
        <v>450713.14349246083</v>
      </c>
      <c r="G128" s="195">
        <v>4781807.112885158</v>
      </c>
      <c r="H128" s="195">
        <v>3540.31</v>
      </c>
      <c r="I128" s="195">
        <v>2871191.41</v>
      </c>
      <c r="J128" s="195">
        <v>1910615.7028851574</v>
      </c>
      <c r="K128" s="195">
        <v>172687.02792989893</v>
      </c>
      <c r="L128" s="195">
        <v>297602.10222910903</v>
      </c>
      <c r="M128" s="195">
        <v>0</v>
      </c>
      <c r="N128" s="195">
        <v>2380904.8330441653</v>
      </c>
      <c r="O128" s="195">
        <v>713152.8424457142</v>
      </c>
      <c r="P128" s="195">
        <v>3094057.675489879</v>
      </c>
      <c r="Q128" s="195">
        <v>51</v>
      </c>
      <c r="R128" s="195">
        <v>8</v>
      </c>
      <c r="S128" s="195">
        <v>49</v>
      </c>
      <c r="T128" s="195">
        <v>31</v>
      </c>
      <c r="U128" s="195">
        <v>25</v>
      </c>
      <c r="V128" s="195">
        <v>422</v>
      </c>
      <c r="W128" s="195">
        <v>119</v>
      </c>
      <c r="X128" s="195">
        <v>69</v>
      </c>
      <c r="Y128" s="195">
        <v>37</v>
      </c>
      <c r="Z128" s="195">
        <v>1</v>
      </c>
      <c r="AA128" s="195">
        <v>0</v>
      </c>
      <c r="AB128" s="195">
        <v>795</v>
      </c>
      <c r="AC128" s="195">
        <v>15</v>
      </c>
      <c r="AD128" s="195">
        <v>225</v>
      </c>
      <c r="AE128" s="195">
        <v>1.3533220536016146</v>
      </c>
      <c r="AF128" s="195">
        <v>1246678.4893926966</v>
      </c>
      <c r="AG128" s="195">
        <v>19773175.132446278</v>
      </c>
      <c r="AH128" s="195">
        <v>4941212.787591324</v>
      </c>
      <c r="AI128" s="195">
        <v>2203027.7281536786</v>
      </c>
      <c r="AJ128" s="195">
        <v>37</v>
      </c>
      <c r="AK128" s="195">
        <v>332</v>
      </c>
      <c r="AL128" s="195">
        <v>0.8393482860948912</v>
      </c>
      <c r="AM128" s="195">
        <v>15</v>
      </c>
      <c r="AN128" s="195">
        <v>0.018495684340320593</v>
      </c>
      <c r="AO128" s="195">
        <v>0.014527430372066625</v>
      </c>
      <c r="AP128" s="195">
        <v>0</v>
      </c>
      <c r="AQ128" s="195">
        <v>1</v>
      </c>
      <c r="AR128" s="195">
        <v>0</v>
      </c>
      <c r="AS128" s="195">
        <v>0</v>
      </c>
      <c r="AT128" s="195">
        <v>0</v>
      </c>
      <c r="AU128" s="195">
        <v>480.65</v>
      </c>
      <c r="AV128" s="195">
        <v>1.6872984500156039</v>
      </c>
      <c r="AW128" s="195">
        <v>10.730357222359277</v>
      </c>
      <c r="AX128" s="195">
        <v>35</v>
      </c>
      <c r="AY128" s="195">
        <v>205</v>
      </c>
      <c r="AZ128" s="195">
        <v>0.17073170731707318</v>
      </c>
      <c r="BA128" s="195">
        <v>0.10570890711440471</v>
      </c>
      <c r="BB128" s="195">
        <v>0.844066</v>
      </c>
      <c r="BC128" s="195">
        <v>301</v>
      </c>
      <c r="BD128" s="195">
        <v>294</v>
      </c>
      <c r="BE128" s="195">
        <v>1.0238095238095237</v>
      </c>
      <c r="BF128" s="195">
        <v>0.5928680057672177</v>
      </c>
      <c r="BG128" s="195">
        <v>0</v>
      </c>
      <c r="BH128" s="195">
        <v>0</v>
      </c>
      <c r="BI128" s="195">
        <v>0</v>
      </c>
      <c r="BJ128" s="195">
        <v>-194.64</v>
      </c>
      <c r="BK128" s="195">
        <v>-3325.1</v>
      </c>
      <c r="BL128" s="195">
        <v>-227.08</v>
      </c>
      <c r="BM128" s="195">
        <v>-1159.73</v>
      </c>
      <c r="BN128" s="195">
        <v>-32.44</v>
      </c>
      <c r="BO128" s="195">
        <v>18127</v>
      </c>
      <c r="BP128" s="195">
        <v>-33013.8702420262</v>
      </c>
      <c r="BQ128" s="195">
        <v>-69316.17</v>
      </c>
      <c r="BR128" s="195">
        <v>39125.340264778584</v>
      </c>
      <c r="BS128" s="195">
        <v>87058</v>
      </c>
      <c r="BT128" s="195">
        <v>27619</v>
      </c>
      <c r="BU128" s="195">
        <v>77405.55972526678</v>
      </c>
      <c r="BV128" s="195">
        <v>3950.5922864278295</v>
      </c>
      <c r="BW128" s="195">
        <v>13927.977188081828</v>
      </c>
      <c r="BX128" s="195">
        <v>33393.64252528982</v>
      </c>
      <c r="BY128" s="195">
        <v>41412.7244548931</v>
      </c>
      <c r="BZ128" s="195">
        <v>78470.13888235787</v>
      </c>
      <c r="CA128" s="195">
        <v>18855.59937849366</v>
      </c>
      <c r="CB128" s="195">
        <v>72.99</v>
      </c>
      <c r="CC128" s="195">
        <v>-10671.592234454174</v>
      </c>
      <c r="CD128" s="195">
        <v>428795.63247113524</v>
      </c>
      <c r="CE128" s="195">
        <v>297602.10222910903</v>
      </c>
      <c r="CF128" s="195">
        <v>0</v>
      </c>
      <c r="CG128" s="229">
        <v>713152.8424457142</v>
      </c>
      <c r="CH128" s="195">
        <v>-155038</v>
      </c>
      <c r="CI128" s="195">
        <v>-10429.04</v>
      </c>
      <c r="CJ128" s="195">
        <v>2939019.675489879</v>
      </c>
      <c r="CL128" s="195">
        <v>798</v>
      </c>
    </row>
    <row r="129" spans="1:90" ht="9.75">
      <c r="A129" s="195">
        <v>422</v>
      </c>
      <c r="B129" s="195" t="s">
        <v>197</v>
      </c>
      <c r="C129" s="195">
        <v>11580</v>
      </c>
      <c r="D129" s="195">
        <v>39903893.660000004</v>
      </c>
      <c r="E129" s="195">
        <v>21187116.6245833</v>
      </c>
      <c r="F129" s="195">
        <v>5212800.621076379</v>
      </c>
      <c r="G129" s="195">
        <v>66303810.905659676</v>
      </c>
      <c r="H129" s="195">
        <v>3540.31</v>
      </c>
      <c r="I129" s="195">
        <v>40996789.8</v>
      </c>
      <c r="J129" s="195">
        <v>25307021.10565968</v>
      </c>
      <c r="K129" s="195">
        <v>2533221.7146325656</v>
      </c>
      <c r="L129" s="195">
        <v>3092110.344826588</v>
      </c>
      <c r="M129" s="195">
        <v>0</v>
      </c>
      <c r="N129" s="195">
        <v>30932353.165118832</v>
      </c>
      <c r="O129" s="195">
        <v>6716573.992007617</v>
      </c>
      <c r="P129" s="195">
        <v>37648927.15712645</v>
      </c>
      <c r="Q129" s="195">
        <v>481</v>
      </c>
      <c r="R129" s="195">
        <v>69</v>
      </c>
      <c r="S129" s="195">
        <v>496</v>
      </c>
      <c r="T129" s="195">
        <v>280</v>
      </c>
      <c r="U129" s="195">
        <v>330</v>
      </c>
      <c r="V129" s="195">
        <v>6057</v>
      </c>
      <c r="W129" s="195">
        <v>2109</v>
      </c>
      <c r="X129" s="195">
        <v>1253</v>
      </c>
      <c r="Y129" s="195">
        <v>505</v>
      </c>
      <c r="Z129" s="195">
        <v>9</v>
      </c>
      <c r="AA129" s="195">
        <v>0</v>
      </c>
      <c r="AB129" s="195">
        <v>11119</v>
      </c>
      <c r="AC129" s="195">
        <v>452</v>
      </c>
      <c r="AD129" s="195">
        <v>3867</v>
      </c>
      <c r="AE129" s="195">
        <v>1.6107600325297156</v>
      </c>
      <c r="AF129" s="195">
        <v>21187116.6245833</v>
      </c>
      <c r="AG129" s="195">
        <v>1626993.8045926702</v>
      </c>
      <c r="AH129" s="195">
        <v>359102.9478361607</v>
      </c>
      <c r="AI129" s="195">
        <v>142706.24959699943</v>
      </c>
      <c r="AJ129" s="195">
        <v>907</v>
      </c>
      <c r="AK129" s="195">
        <v>4720</v>
      </c>
      <c r="AL129" s="195">
        <v>1.4472509923387427</v>
      </c>
      <c r="AM129" s="195">
        <v>452</v>
      </c>
      <c r="AN129" s="195">
        <v>0.03903281519861831</v>
      </c>
      <c r="AO129" s="195">
        <v>0.03506456123036434</v>
      </c>
      <c r="AP129" s="195">
        <v>0</v>
      </c>
      <c r="AQ129" s="195">
        <v>9</v>
      </c>
      <c r="AR129" s="195">
        <v>0</v>
      </c>
      <c r="AS129" s="195">
        <v>3</v>
      </c>
      <c r="AT129" s="195">
        <v>250</v>
      </c>
      <c r="AU129" s="195">
        <v>3418.06</v>
      </c>
      <c r="AV129" s="195">
        <v>3.387886695962037</v>
      </c>
      <c r="AW129" s="195">
        <v>5.344132414752819</v>
      </c>
      <c r="AX129" s="195">
        <v>513</v>
      </c>
      <c r="AY129" s="195">
        <v>2889</v>
      </c>
      <c r="AZ129" s="195">
        <v>0.17757009345794392</v>
      </c>
      <c r="BA129" s="195">
        <v>0.11254729325527545</v>
      </c>
      <c r="BB129" s="195">
        <v>0.874783</v>
      </c>
      <c r="BC129" s="195">
        <v>3805</v>
      </c>
      <c r="BD129" s="195">
        <v>3749</v>
      </c>
      <c r="BE129" s="195">
        <v>1.0149373166177647</v>
      </c>
      <c r="BF129" s="195">
        <v>0.5839957985754586</v>
      </c>
      <c r="BG129" s="195">
        <v>0</v>
      </c>
      <c r="BH129" s="195">
        <v>0</v>
      </c>
      <c r="BI129" s="195">
        <v>0</v>
      </c>
      <c r="BJ129" s="195">
        <v>-2779.2</v>
      </c>
      <c r="BK129" s="195">
        <v>-47477.99999999999</v>
      </c>
      <c r="BL129" s="195">
        <v>-3242.4</v>
      </c>
      <c r="BM129" s="195">
        <v>-16559.399999999998</v>
      </c>
      <c r="BN129" s="195">
        <v>-463.2</v>
      </c>
      <c r="BO129" s="195">
        <v>635429</v>
      </c>
      <c r="BP129" s="195">
        <v>-702295.0578758301</v>
      </c>
      <c r="BQ129" s="195">
        <v>-989742.6</v>
      </c>
      <c r="BR129" s="195">
        <v>-315981.70902796835</v>
      </c>
      <c r="BS129" s="195">
        <v>1068144</v>
      </c>
      <c r="BT129" s="195">
        <v>308816</v>
      </c>
      <c r="BU129" s="195">
        <v>830643.1792137162</v>
      </c>
      <c r="BV129" s="195">
        <v>50258.222704215</v>
      </c>
      <c r="BW129" s="195">
        <v>160868.26536115995</v>
      </c>
      <c r="BX129" s="195">
        <v>477634.4870978819</v>
      </c>
      <c r="BY129" s="195">
        <v>576044.7873923811</v>
      </c>
      <c r="BZ129" s="195">
        <v>990194.3049416464</v>
      </c>
      <c r="CA129" s="195">
        <v>303648.1264193459</v>
      </c>
      <c r="CB129" s="195">
        <v>1042.2</v>
      </c>
      <c r="CC129" s="195">
        <v>108844.53860003932</v>
      </c>
      <c r="CD129" s="195">
        <v>5196280.202702418</v>
      </c>
      <c r="CE129" s="195">
        <v>3092110.344826588</v>
      </c>
      <c r="CF129" s="195">
        <v>0</v>
      </c>
      <c r="CG129" s="229">
        <v>6716573.992007617</v>
      </c>
      <c r="CH129" s="195">
        <v>-308140</v>
      </c>
      <c r="CI129" s="195">
        <v>-30139.925600000002</v>
      </c>
      <c r="CJ129" s="195">
        <v>37340787.15712645</v>
      </c>
      <c r="CL129" s="195">
        <v>11772</v>
      </c>
    </row>
    <row r="130" spans="1:90" ht="9.75">
      <c r="A130" s="195">
        <v>423</v>
      </c>
      <c r="B130" s="195" t="s">
        <v>198</v>
      </c>
      <c r="C130" s="195">
        <v>19418</v>
      </c>
      <c r="D130" s="195">
        <v>68595839.19</v>
      </c>
      <c r="E130" s="195">
        <v>16050204.99921055</v>
      </c>
      <c r="F130" s="195">
        <v>2419247.433046358</v>
      </c>
      <c r="G130" s="195">
        <v>87065291.6222569</v>
      </c>
      <c r="H130" s="195">
        <v>3540.31</v>
      </c>
      <c r="I130" s="195">
        <v>68745739.58</v>
      </c>
      <c r="J130" s="195">
        <v>18319552.042256907</v>
      </c>
      <c r="K130" s="195">
        <v>303239.51424493693</v>
      </c>
      <c r="L130" s="195">
        <v>2365253.6863771984</v>
      </c>
      <c r="M130" s="195">
        <v>0</v>
      </c>
      <c r="N130" s="195">
        <v>20988045.24287904</v>
      </c>
      <c r="O130" s="195">
        <v>-89910.9941824358</v>
      </c>
      <c r="P130" s="195">
        <v>20898134.248696603</v>
      </c>
      <c r="Q130" s="195">
        <v>1493</v>
      </c>
      <c r="R130" s="195">
        <v>270</v>
      </c>
      <c r="S130" s="195">
        <v>1688</v>
      </c>
      <c r="T130" s="195">
        <v>815</v>
      </c>
      <c r="U130" s="195">
        <v>767</v>
      </c>
      <c r="V130" s="195">
        <v>10892</v>
      </c>
      <c r="W130" s="195">
        <v>2045</v>
      </c>
      <c r="X130" s="195">
        <v>1057</v>
      </c>
      <c r="Y130" s="195">
        <v>391</v>
      </c>
      <c r="Z130" s="195">
        <v>257</v>
      </c>
      <c r="AA130" s="195">
        <v>0</v>
      </c>
      <c r="AB130" s="195">
        <v>18613</v>
      </c>
      <c r="AC130" s="195">
        <v>548</v>
      </c>
      <c r="AD130" s="195">
        <v>3493</v>
      </c>
      <c r="AE130" s="195">
        <v>0.7276853543084273</v>
      </c>
      <c r="AF130" s="195">
        <v>16050204.99921055</v>
      </c>
      <c r="AG130" s="195">
        <v>25759358.596371092</v>
      </c>
      <c r="AH130" s="195">
        <v>7243381.181422011</v>
      </c>
      <c r="AI130" s="195">
        <v>2265461.712352366</v>
      </c>
      <c r="AJ130" s="195">
        <v>784</v>
      </c>
      <c r="AK130" s="195">
        <v>9464</v>
      </c>
      <c r="AL130" s="195">
        <v>0.6239070580152014</v>
      </c>
      <c r="AM130" s="195">
        <v>548</v>
      </c>
      <c r="AN130" s="195">
        <v>0.02822123802657328</v>
      </c>
      <c r="AO130" s="195">
        <v>0.024252984058319313</v>
      </c>
      <c r="AP130" s="195">
        <v>0</v>
      </c>
      <c r="AQ130" s="195">
        <v>257</v>
      </c>
      <c r="AR130" s="195">
        <v>0</v>
      </c>
      <c r="AS130" s="195">
        <v>0</v>
      </c>
      <c r="AT130" s="195">
        <v>0</v>
      </c>
      <c r="AU130" s="195">
        <v>300.46</v>
      </c>
      <c r="AV130" s="195">
        <v>64.6275710577115</v>
      </c>
      <c r="AW130" s="195">
        <v>0.28014846934650783</v>
      </c>
      <c r="AX130" s="195">
        <v>673</v>
      </c>
      <c r="AY130" s="195">
        <v>6959</v>
      </c>
      <c r="AZ130" s="195">
        <v>0.0967092973128323</v>
      </c>
      <c r="BA130" s="195">
        <v>0.03168649711016383</v>
      </c>
      <c r="BB130" s="195">
        <v>0</v>
      </c>
      <c r="BC130" s="195">
        <v>5845</v>
      </c>
      <c r="BD130" s="195">
        <v>8616</v>
      </c>
      <c r="BE130" s="195">
        <v>0.6783890436397401</v>
      </c>
      <c r="BF130" s="195">
        <v>0.247447525597434</v>
      </c>
      <c r="BG130" s="195">
        <v>0</v>
      </c>
      <c r="BH130" s="195">
        <v>0</v>
      </c>
      <c r="BI130" s="195">
        <v>0</v>
      </c>
      <c r="BJ130" s="195">
        <v>-4660.32</v>
      </c>
      <c r="BK130" s="195">
        <v>-79613.79999999999</v>
      </c>
      <c r="BL130" s="195">
        <v>-5437.040000000001</v>
      </c>
      <c r="BM130" s="195">
        <v>-27767.739999999998</v>
      </c>
      <c r="BN130" s="195">
        <v>-776.72</v>
      </c>
      <c r="BO130" s="195">
        <v>13774</v>
      </c>
      <c r="BP130" s="195">
        <v>-427179.4725256117</v>
      </c>
      <c r="BQ130" s="195">
        <v>-1659656.46</v>
      </c>
      <c r="BR130" s="195">
        <v>-70084.70936955605</v>
      </c>
      <c r="BS130" s="195">
        <v>1240823</v>
      </c>
      <c r="BT130" s="195">
        <v>412341</v>
      </c>
      <c r="BU130" s="195">
        <v>713439.9012823217</v>
      </c>
      <c r="BV130" s="195">
        <v>8667.180460595026</v>
      </c>
      <c r="BW130" s="195">
        <v>-59692.6854276775</v>
      </c>
      <c r="BX130" s="195">
        <v>360453.8116336227</v>
      </c>
      <c r="BY130" s="195">
        <v>779973.237662184</v>
      </c>
      <c r="BZ130" s="195">
        <v>1391968.517984017</v>
      </c>
      <c r="CA130" s="195">
        <v>419837.7903123729</v>
      </c>
      <c r="CB130" s="195">
        <v>1747.62</v>
      </c>
      <c r="CC130" s="195">
        <v>-71237.50563507101</v>
      </c>
      <c r="CD130" s="195">
        <v>5143176.23890281</v>
      </c>
      <c r="CE130" s="195">
        <v>2365253.6863771984</v>
      </c>
      <c r="CF130" s="195">
        <v>0</v>
      </c>
      <c r="CG130" s="229">
        <v>-89910.9941824358</v>
      </c>
      <c r="CH130" s="195">
        <v>-1459008</v>
      </c>
      <c r="CI130" s="195">
        <v>-605914.1877000001</v>
      </c>
      <c r="CJ130" s="195">
        <v>19439126.248696603</v>
      </c>
      <c r="CL130" s="195">
        <v>19263</v>
      </c>
    </row>
    <row r="131" spans="1:90" ht="9.75">
      <c r="A131" s="195">
        <v>425</v>
      </c>
      <c r="B131" s="195" t="s">
        <v>199</v>
      </c>
      <c r="C131" s="195">
        <v>10000</v>
      </c>
      <c r="D131" s="195">
        <v>43142954.3</v>
      </c>
      <c r="E131" s="195">
        <v>6990900.502833239</v>
      </c>
      <c r="F131" s="195">
        <v>1136227.649882515</v>
      </c>
      <c r="G131" s="195">
        <v>51270082.452715755</v>
      </c>
      <c r="H131" s="195">
        <v>3540.31</v>
      </c>
      <c r="I131" s="195">
        <v>35403100</v>
      </c>
      <c r="J131" s="195">
        <v>15866982.452715755</v>
      </c>
      <c r="K131" s="195">
        <v>96473.53366076572</v>
      </c>
      <c r="L131" s="195">
        <v>752856.5353999478</v>
      </c>
      <c r="M131" s="195">
        <v>141411.16984922413</v>
      </c>
      <c r="N131" s="195">
        <v>16857723.691625692</v>
      </c>
      <c r="O131" s="195">
        <v>7225702.623765851</v>
      </c>
      <c r="P131" s="195">
        <v>24083426.315391544</v>
      </c>
      <c r="Q131" s="195">
        <v>1253</v>
      </c>
      <c r="R131" s="195">
        <v>253</v>
      </c>
      <c r="S131" s="195">
        <v>1481</v>
      </c>
      <c r="T131" s="195">
        <v>645</v>
      </c>
      <c r="U131" s="195">
        <v>481</v>
      </c>
      <c r="V131" s="195">
        <v>4951</v>
      </c>
      <c r="W131" s="195">
        <v>534</v>
      </c>
      <c r="X131" s="195">
        <v>286</v>
      </c>
      <c r="Y131" s="195">
        <v>116</v>
      </c>
      <c r="Z131" s="195">
        <v>11</v>
      </c>
      <c r="AA131" s="195">
        <v>2</v>
      </c>
      <c r="AB131" s="195">
        <v>9935</v>
      </c>
      <c r="AC131" s="195">
        <v>52</v>
      </c>
      <c r="AD131" s="195">
        <v>936</v>
      </c>
      <c r="AE131" s="195">
        <v>0.6154611845294606</v>
      </c>
      <c r="AF131" s="195">
        <v>6990900.502833239</v>
      </c>
      <c r="AG131" s="195">
        <v>20402212.884165067</v>
      </c>
      <c r="AH131" s="195">
        <v>4204364.935610568</v>
      </c>
      <c r="AI131" s="195">
        <v>2158432.0251546167</v>
      </c>
      <c r="AJ131" s="195">
        <v>403</v>
      </c>
      <c r="AK131" s="195">
        <v>4201</v>
      </c>
      <c r="AL131" s="195">
        <v>0.7224884891393429</v>
      </c>
      <c r="AM131" s="195">
        <v>52</v>
      </c>
      <c r="AN131" s="195">
        <v>0.0052</v>
      </c>
      <c r="AO131" s="195">
        <v>0.0012317460317460317</v>
      </c>
      <c r="AP131" s="195">
        <v>0</v>
      </c>
      <c r="AQ131" s="195">
        <v>11</v>
      </c>
      <c r="AR131" s="195">
        <v>2</v>
      </c>
      <c r="AS131" s="195">
        <v>0</v>
      </c>
      <c r="AT131" s="195">
        <v>0</v>
      </c>
      <c r="AU131" s="195">
        <v>637.03</v>
      </c>
      <c r="AV131" s="195">
        <v>15.697847825063185</v>
      </c>
      <c r="AW131" s="195">
        <v>1.1533628884141431</v>
      </c>
      <c r="AX131" s="195">
        <v>247</v>
      </c>
      <c r="AY131" s="195">
        <v>3380</v>
      </c>
      <c r="AZ131" s="195">
        <v>0.07307692307692308</v>
      </c>
      <c r="BA131" s="195">
        <v>0.00805412287425461</v>
      </c>
      <c r="BB131" s="195">
        <v>0</v>
      </c>
      <c r="BC131" s="195">
        <v>2156</v>
      </c>
      <c r="BD131" s="195">
        <v>3693</v>
      </c>
      <c r="BE131" s="195">
        <v>0.5838072028161386</v>
      </c>
      <c r="BF131" s="195">
        <v>0.15286568477383256</v>
      </c>
      <c r="BG131" s="195">
        <v>0</v>
      </c>
      <c r="BH131" s="195">
        <v>2</v>
      </c>
      <c r="BI131" s="195">
        <v>0</v>
      </c>
      <c r="BJ131" s="195">
        <v>-2400</v>
      </c>
      <c r="BK131" s="195">
        <v>-41000</v>
      </c>
      <c r="BL131" s="195">
        <v>-2800.0000000000005</v>
      </c>
      <c r="BM131" s="195">
        <v>-14300</v>
      </c>
      <c r="BN131" s="195">
        <v>-400</v>
      </c>
      <c r="BO131" s="195">
        <v>40867</v>
      </c>
      <c r="BP131" s="195">
        <v>-240100.87448746327</v>
      </c>
      <c r="BQ131" s="195">
        <v>-854700</v>
      </c>
      <c r="BR131" s="195">
        <v>-237163.8779362552</v>
      </c>
      <c r="BS131" s="195">
        <v>593519</v>
      </c>
      <c r="BT131" s="195">
        <v>166010</v>
      </c>
      <c r="BU131" s="195">
        <v>333043.6696408922</v>
      </c>
      <c r="BV131" s="195">
        <v>-639.7687502854976</v>
      </c>
      <c r="BW131" s="195">
        <v>-12296.181836887137</v>
      </c>
      <c r="BX131" s="195">
        <v>206898.77974201023</v>
      </c>
      <c r="BY131" s="195">
        <v>384628.31613368576</v>
      </c>
      <c r="BZ131" s="195">
        <v>580936.6325078302</v>
      </c>
      <c r="CA131" s="195">
        <v>108292.05360746692</v>
      </c>
      <c r="CB131" s="195">
        <v>900</v>
      </c>
      <c r="CC131" s="195">
        <v>37961.786778954076</v>
      </c>
      <c r="CD131" s="195">
        <v>2203557.409887411</v>
      </c>
      <c r="CE131" s="195">
        <v>752856.5353999478</v>
      </c>
      <c r="CF131" s="195">
        <v>141411.16984922413</v>
      </c>
      <c r="CG131" s="229">
        <v>7225702.623765851</v>
      </c>
      <c r="CH131" s="195">
        <v>-290919</v>
      </c>
      <c r="CI131" s="195">
        <v>-140970.63731000002</v>
      </c>
      <c r="CJ131" s="195">
        <v>23792507.315391544</v>
      </c>
      <c r="CL131" s="195">
        <v>9937</v>
      </c>
    </row>
    <row r="132" spans="1:90" ht="9.75">
      <c r="A132" s="195">
        <v>426</v>
      </c>
      <c r="B132" s="195" t="s">
        <v>200</v>
      </c>
      <c r="C132" s="195">
        <v>12301</v>
      </c>
      <c r="D132" s="195">
        <v>42523101.19</v>
      </c>
      <c r="E132" s="195">
        <v>16121805.839893917</v>
      </c>
      <c r="F132" s="195">
        <v>2141341.8432973116</v>
      </c>
      <c r="G132" s="195">
        <v>60786248.87319122</v>
      </c>
      <c r="H132" s="195">
        <v>3540.31</v>
      </c>
      <c r="I132" s="195">
        <v>43549353.31</v>
      </c>
      <c r="J132" s="195">
        <v>17236895.56319122</v>
      </c>
      <c r="K132" s="195">
        <v>178915.9784833687</v>
      </c>
      <c r="L132" s="195">
        <v>3087995.3916853215</v>
      </c>
      <c r="M132" s="195">
        <v>0</v>
      </c>
      <c r="N132" s="195">
        <v>20503806.93335991</v>
      </c>
      <c r="O132" s="195">
        <v>8941849.380249295</v>
      </c>
      <c r="P132" s="195">
        <v>29445656.313609205</v>
      </c>
      <c r="Q132" s="195">
        <v>911</v>
      </c>
      <c r="R132" s="195">
        <v>169</v>
      </c>
      <c r="S132" s="195">
        <v>946</v>
      </c>
      <c r="T132" s="195">
        <v>433</v>
      </c>
      <c r="U132" s="195">
        <v>446</v>
      </c>
      <c r="V132" s="195">
        <v>6924</v>
      </c>
      <c r="W132" s="195">
        <v>1457</v>
      </c>
      <c r="X132" s="195">
        <v>724</v>
      </c>
      <c r="Y132" s="195">
        <v>291</v>
      </c>
      <c r="Z132" s="195">
        <v>17</v>
      </c>
      <c r="AA132" s="195">
        <v>3</v>
      </c>
      <c r="AB132" s="195">
        <v>12081</v>
      </c>
      <c r="AC132" s="195">
        <v>200</v>
      </c>
      <c r="AD132" s="195">
        <v>2472</v>
      </c>
      <c r="AE132" s="195">
        <v>1.153827313039593</v>
      </c>
      <c r="AF132" s="195">
        <v>16121805.839893917</v>
      </c>
      <c r="AG132" s="195">
        <v>9238188.70717166</v>
      </c>
      <c r="AH132" s="195">
        <v>1465770.9856927444</v>
      </c>
      <c r="AI132" s="195">
        <v>1168407.418575433</v>
      </c>
      <c r="AJ132" s="195">
        <v>751</v>
      </c>
      <c r="AK132" s="195">
        <v>5770</v>
      </c>
      <c r="AL132" s="195">
        <v>0.9802631826718413</v>
      </c>
      <c r="AM132" s="195">
        <v>200</v>
      </c>
      <c r="AN132" s="195">
        <v>0.016258840744654907</v>
      </c>
      <c r="AO132" s="195">
        <v>0.01229058677640094</v>
      </c>
      <c r="AP132" s="195">
        <v>0</v>
      </c>
      <c r="AQ132" s="195">
        <v>17</v>
      </c>
      <c r="AR132" s="195">
        <v>3</v>
      </c>
      <c r="AS132" s="195">
        <v>3</v>
      </c>
      <c r="AT132" s="195">
        <v>510</v>
      </c>
      <c r="AU132" s="195">
        <v>726.9</v>
      </c>
      <c r="AV132" s="195">
        <v>16.922547805750447</v>
      </c>
      <c r="AW132" s="195">
        <v>1.069892980491282</v>
      </c>
      <c r="AX132" s="195">
        <v>375</v>
      </c>
      <c r="AY132" s="195">
        <v>3964</v>
      </c>
      <c r="AZ132" s="195">
        <v>0.09460141271442987</v>
      </c>
      <c r="BA132" s="195">
        <v>0.0295786125117614</v>
      </c>
      <c r="BB132" s="195">
        <v>0</v>
      </c>
      <c r="BC132" s="195">
        <v>3313</v>
      </c>
      <c r="BD132" s="195">
        <v>5009</v>
      </c>
      <c r="BE132" s="195">
        <v>0.66140946296666</v>
      </c>
      <c r="BF132" s="195">
        <v>0.23046794492435396</v>
      </c>
      <c r="BG132" s="195">
        <v>0</v>
      </c>
      <c r="BH132" s="195">
        <v>3</v>
      </c>
      <c r="BI132" s="195">
        <v>0</v>
      </c>
      <c r="BJ132" s="195">
        <v>-2952.24</v>
      </c>
      <c r="BK132" s="195">
        <v>-50434.1</v>
      </c>
      <c r="BL132" s="195">
        <v>-3444.28</v>
      </c>
      <c r="BM132" s="195">
        <v>-17590.43</v>
      </c>
      <c r="BN132" s="195">
        <v>-492.04</v>
      </c>
      <c r="BO132" s="195">
        <v>290281</v>
      </c>
      <c r="BP132" s="195">
        <v>-508713.7278203128</v>
      </c>
      <c r="BQ132" s="195">
        <v>-1051366.47</v>
      </c>
      <c r="BR132" s="195">
        <v>172946.06286363304</v>
      </c>
      <c r="BS132" s="195">
        <v>1003309</v>
      </c>
      <c r="BT132" s="195">
        <v>306424</v>
      </c>
      <c r="BU132" s="195">
        <v>750447.3038160001</v>
      </c>
      <c r="BV132" s="195">
        <v>30134.69636581449</v>
      </c>
      <c r="BW132" s="195">
        <v>133757.863734118</v>
      </c>
      <c r="BX132" s="195">
        <v>345272.9908266246</v>
      </c>
      <c r="BY132" s="195">
        <v>626254.9905556756</v>
      </c>
      <c r="BZ132" s="195">
        <v>1002006.8323394094</v>
      </c>
      <c r="CA132" s="195">
        <v>330042.66961304477</v>
      </c>
      <c r="CB132" s="195">
        <v>1107.09</v>
      </c>
      <c r="CC132" s="195">
        <v>93145.61939131506</v>
      </c>
      <c r="CD132" s="195">
        <v>5085868.179505634</v>
      </c>
      <c r="CE132" s="195">
        <v>3087995.3916853215</v>
      </c>
      <c r="CF132" s="195">
        <v>0</v>
      </c>
      <c r="CG132" s="229">
        <v>8941849.380249295</v>
      </c>
      <c r="CH132" s="195">
        <v>-2512021</v>
      </c>
      <c r="CI132" s="195">
        <v>-808770.7483699999</v>
      </c>
      <c r="CJ132" s="195">
        <v>26933635.313609205</v>
      </c>
      <c r="CL132" s="195">
        <v>12338</v>
      </c>
    </row>
    <row r="133" spans="1:90" ht="9.75">
      <c r="A133" s="195">
        <v>444</v>
      </c>
      <c r="B133" s="195" t="s">
        <v>201</v>
      </c>
      <c r="C133" s="195">
        <v>47149</v>
      </c>
      <c r="D133" s="195">
        <v>160026399.31</v>
      </c>
      <c r="E133" s="195">
        <v>51771037.959531814</v>
      </c>
      <c r="F133" s="195">
        <v>10960189.9174516</v>
      </c>
      <c r="G133" s="195">
        <v>222757627.1869834</v>
      </c>
      <c r="H133" s="195">
        <v>3540.31</v>
      </c>
      <c r="I133" s="195">
        <v>166922076.19</v>
      </c>
      <c r="J133" s="195">
        <v>55835550.99698341</v>
      </c>
      <c r="K133" s="195">
        <v>1096790.3957951136</v>
      </c>
      <c r="L133" s="195">
        <v>7759293.224737712</v>
      </c>
      <c r="M133" s="195">
        <v>0</v>
      </c>
      <c r="N133" s="195">
        <v>64691634.617516235</v>
      </c>
      <c r="O133" s="195">
        <v>4632028.334087815</v>
      </c>
      <c r="P133" s="195">
        <v>69323662.95160405</v>
      </c>
      <c r="Q133" s="195">
        <v>2824</v>
      </c>
      <c r="R133" s="195">
        <v>577</v>
      </c>
      <c r="S133" s="195">
        <v>3473</v>
      </c>
      <c r="T133" s="195">
        <v>1792</v>
      </c>
      <c r="U133" s="195">
        <v>1752</v>
      </c>
      <c r="V133" s="195">
        <v>26534</v>
      </c>
      <c r="W133" s="195">
        <v>5959</v>
      </c>
      <c r="X133" s="195">
        <v>3143</v>
      </c>
      <c r="Y133" s="195">
        <v>1095</v>
      </c>
      <c r="Z133" s="195">
        <v>1655</v>
      </c>
      <c r="AA133" s="195">
        <v>5</v>
      </c>
      <c r="AB133" s="195">
        <v>43608</v>
      </c>
      <c r="AC133" s="195">
        <v>1881</v>
      </c>
      <c r="AD133" s="195">
        <v>10197</v>
      </c>
      <c r="AE133" s="195">
        <v>0.9666782193358138</v>
      </c>
      <c r="AF133" s="195">
        <v>51771037.959531814</v>
      </c>
      <c r="AG133" s="195">
        <v>7738561.9141277</v>
      </c>
      <c r="AH133" s="195">
        <v>2196920.587870719</v>
      </c>
      <c r="AI133" s="195">
        <v>579744.1389878102</v>
      </c>
      <c r="AJ133" s="195">
        <v>2813</v>
      </c>
      <c r="AK133" s="195">
        <v>23120</v>
      </c>
      <c r="AL133" s="195">
        <v>0.9163480711173155</v>
      </c>
      <c r="AM133" s="195">
        <v>1881</v>
      </c>
      <c r="AN133" s="195">
        <v>0.039894801586459944</v>
      </c>
      <c r="AO133" s="195">
        <v>0.035926547618205976</v>
      </c>
      <c r="AP133" s="195">
        <v>1</v>
      </c>
      <c r="AQ133" s="195">
        <v>1655</v>
      </c>
      <c r="AR133" s="195">
        <v>5</v>
      </c>
      <c r="AS133" s="195">
        <v>0</v>
      </c>
      <c r="AT133" s="195">
        <v>0</v>
      </c>
      <c r="AU133" s="195">
        <v>939.14</v>
      </c>
      <c r="AV133" s="195">
        <v>50.204442362161124</v>
      </c>
      <c r="AW133" s="195">
        <v>0.3606317341161516</v>
      </c>
      <c r="AX133" s="195">
        <v>2603</v>
      </c>
      <c r="AY133" s="195">
        <v>15295</v>
      </c>
      <c r="AZ133" s="195">
        <v>0.1701863354037267</v>
      </c>
      <c r="BA133" s="195">
        <v>0.10516353520105824</v>
      </c>
      <c r="BB133" s="195">
        <v>0</v>
      </c>
      <c r="BC133" s="195">
        <v>15974</v>
      </c>
      <c r="BD133" s="195">
        <v>19979</v>
      </c>
      <c r="BE133" s="195">
        <v>0.7995395164923169</v>
      </c>
      <c r="BF133" s="195">
        <v>0.36859799845001084</v>
      </c>
      <c r="BG133" s="195">
        <v>0</v>
      </c>
      <c r="BH133" s="195">
        <v>5</v>
      </c>
      <c r="BI133" s="195">
        <v>0</v>
      </c>
      <c r="BJ133" s="195">
        <v>-11315.76</v>
      </c>
      <c r="BK133" s="195">
        <v>-193310.9</v>
      </c>
      <c r="BL133" s="195">
        <v>-13201.720000000001</v>
      </c>
      <c r="BM133" s="195">
        <v>-67423.06999999999</v>
      </c>
      <c r="BN133" s="195">
        <v>-1885.96</v>
      </c>
      <c r="BO133" s="195">
        <v>-48294</v>
      </c>
      <c r="BP133" s="195">
        <v>-2021349.2370913315</v>
      </c>
      <c r="BQ133" s="195">
        <v>-4029825.03</v>
      </c>
      <c r="BR133" s="195">
        <v>624884.9542209012</v>
      </c>
      <c r="BS133" s="195">
        <v>3336584</v>
      </c>
      <c r="BT133" s="195">
        <v>1126591</v>
      </c>
      <c r="BU133" s="195">
        <v>2365028.4992995057</v>
      </c>
      <c r="BV133" s="195">
        <v>53694.91146672505</v>
      </c>
      <c r="BW133" s="195">
        <v>63083.83769646494</v>
      </c>
      <c r="BX133" s="195">
        <v>819845.1466709238</v>
      </c>
      <c r="BY133" s="195">
        <v>2276281.1469600773</v>
      </c>
      <c r="BZ133" s="195">
        <v>3548105.724815218</v>
      </c>
      <c r="CA133" s="195">
        <v>1113970.2331412088</v>
      </c>
      <c r="CB133" s="195">
        <v>4243.41</v>
      </c>
      <c r="CC133" s="195">
        <v>201652.59755801904</v>
      </c>
      <c r="CD133" s="195">
        <v>15488500.401829043</v>
      </c>
      <c r="CE133" s="195">
        <v>7759293.224737712</v>
      </c>
      <c r="CF133" s="195">
        <v>0</v>
      </c>
      <c r="CG133" s="229">
        <v>4632028.334087815</v>
      </c>
      <c r="CH133" s="195">
        <v>-1279008</v>
      </c>
      <c r="CI133" s="195">
        <v>2073556.4852600012</v>
      </c>
      <c r="CJ133" s="195">
        <v>68044654.95160405</v>
      </c>
      <c r="CL133" s="195">
        <v>47353</v>
      </c>
    </row>
    <row r="134" spans="1:90" ht="9.75">
      <c r="A134" s="195">
        <v>430</v>
      </c>
      <c r="B134" s="195" t="s">
        <v>202</v>
      </c>
      <c r="C134" s="195">
        <v>16267</v>
      </c>
      <c r="D134" s="195">
        <v>59542544.18</v>
      </c>
      <c r="E134" s="195">
        <v>22113038.913818642</v>
      </c>
      <c r="F134" s="195">
        <v>3019440.3493391834</v>
      </c>
      <c r="G134" s="195">
        <v>84675023.44315782</v>
      </c>
      <c r="H134" s="195">
        <v>3540.31</v>
      </c>
      <c r="I134" s="195">
        <v>57590222.769999996</v>
      </c>
      <c r="J134" s="195">
        <v>27084800.673157826</v>
      </c>
      <c r="K134" s="195">
        <v>620877.3355391569</v>
      </c>
      <c r="L134" s="195">
        <v>4211613.066057339</v>
      </c>
      <c r="M134" s="195">
        <v>0</v>
      </c>
      <c r="N134" s="195">
        <v>31917291.074754324</v>
      </c>
      <c r="O134" s="195">
        <v>10696710.596679024</v>
      </c>
      <c r="P134" s="195">
        <v>42614001.671433344</v>
      </c>
      <c r="Q134" s="195">
        <v>835</v>
      </c>
      <c r="R134" s="195">
        <v>151</v>
      </c>
      <c r="S134" s="195">
        <v>984</v>
      </c>
      <c r="T134" s="195">
        <v>523</v>
      </c>
      <c r="U134" s="195">
        <v>518</v>
      </c>
      <c r="V134" s="195">
        <v>8645</v>
      </c>
      <c r="W134" s="195">
        <v>2439</v>
      </c>
      <c r="X134" s="195">
        <v>1436</v>
      </c>
      <c r="Y134" s="195">
        <v>736</v>
      </c>
      <c r="Z134" s="195">
        <v>29</v>
      </c>
      <c r="AA134" s="195">
        <v>0</v>
      </c>
      <c r="AB134" s="195">
        <v>15782</v>
      </c>
      <c r="AC134" s="195">
        <v>456</v>
      </c>
      <c r="AD134" s="195">
        <v>4611</v>
      </c>
      <c r="AE134" s="195">
        <v>1.1967639836908086</v>
      </c>
      <c r="AF134" s="195">
        <v>22113038.913818642</v>
      </c>
      <c r="AG134" s="195">
        <v>19523463.103059735</v>
      </c>
      <c r="AH134" s="195">
        <v>5147859.25063786</v>
      </c>
      <c r="AI134" s="195">
        <v>1980049.2131583674</v>
      </c>
      <c r="AJ134" s="195">
        <v>782</v>
      </c>
      <c r="AK134" s="195">
        <v>7349</v>
      </c>
      <c r="AL134" s="195">
        <v>0.8014142737901462</v>
      </c>
      <c r="AM134" s="195">
        <v>456</v>
      </c>
      <c r="AN134" s="195">
        <v>0.028032212454662815</v>
      </c>
      <c r="AO134" s="195">
        <v>0.024063958486408847</v>
      </c>
      <c r="AP134" s="195">
        <v>0</v>
      </c>
      <c r="AQ134" s="195">
        <v>29</v>
      </c>
      <c r="AR134" s="195">
        <v>0</v>
      </c>
      <c r="AS134" s="195">
        <v>0</v>
      </c>
      <c r="AT134" s="195">
        <v>0</v>
      </c>
      <c r="AU134" s="195">
        <v>848.11</v>
      </c>
      <c r="AV134" s="195">
        <v>19.180295008902146</v>
      </c>
      <c r="AW134" s="195">
        <v>0.9439539434089692</v>
      </c>
      <c r="AX134" s="195">
        <v>677</v>
      </c>
      <c r="AY134" s="195">
        <v>4562</v>
      </c>
      <c r="AZ134" s="195">
        <v>0.14839982463831652</v>
      </c>
      <c r="BA134" s="195">
        <v>0.08337702443564805</v>
      </c>
      <c r="BB134" s="195">
        <v>0</v>
      </c>
      <c r="BC134" s="195">
        <v>6697</v>
      </c>
      <c r="BD134" s="195">
        <v>6466</v>
      </c>
      <c r="BE134" s="195">
        <v>1.035725332508506</v>
      </c>
      <c r="BF134" s="195">
        <v>0.6047838144662</v>
      </c>
      <c r="BG134" s="195">
        <v>0</v>
      </c>
      <c r="BH134" s="195">
        <v>0</v>
      </c>
      <c r="BI134" s="195">
        <v>0</v>
      </c>
      <c r="BJ134" s="195">
        <v>-3904.08</v>
      </c>
      <c r="BK134" s="195">
        <v>-66694.7</v>
      </c>
      <c r="BL134" s="195">
        <v>-4554.76</v>
      </c>
      <c r="BM134" s="195">
        <v>-23261.809999999998</v>
      </c>
      <c r="BN134" s="195">
        <v>-650.6800000000001</v>
      </c>
      <c r="BO134" s="195">
        <v>-167155</v>
      </c>
      <c r="BP134" s="195">
        <v>-534224.4457346058</v>
      </c>
      <c r="BQ134" s="195">
        <v>-1390340.49</v>
      </c>
      <c r="BR134" s="195">
        <v>60458.416094228625</v>
      </c>
      <c r="BS134" s="195">
        <v>1444612</v>
      </c>
      <c r="BT134" s="195">
        <v>489811</v>
      </c>
      <c r="BU134" s="195">
        <v>1178579.4314645445</v>
      </c>
      <c r="BV134" s="195">
        <v>63543.66375985808</v>
      </c>
      <c r="BW134" s="195">
        <v>133455.7818774727</v>
      </c>
      <c r="BX134" s="195">
        <v>556060.4030972832</v>
      </c>
      <c r="BY134" s="195">
        <v>920743.5664731952</v>
      </c>
      <c r="BZ134" s="195">
        <v>1523583.406589063</v>
      </c>
      <c r="CA134" s="195">
        <v>491614.73449523316</v>
      </c>
      <c r="CB134" s="195">
        <v>1464.03</v>
      </c>
      <c r="CC134" s="195">
        <v>17373.077941068477</v>
      </c>
      <c r="CD134" s="195">
        <v>6715120.531791946</v>
      </c>
      <c r="CE134" s="195">
        <v>4211613.066057339</v>
      </c>
      <c r="CF134" s="195">
        <v>0</v>
      </c>
      <c r="CG134" s="229">
        <v>10696710.596679024</v>
      </c>
      <c r="CH134" s="195">
        <v>-2158993</v>
      </c>
      <c r="CI134" s="195">
        <v>424592.29099999997</v>
      </c>
      <c r="CJ134" s="195">
        <v>40455008.671433344</v>
      </c>
      <c r="CL134" s="195">
        <v>16467</v>
      </c>
    </row>
    <row r="135" spans="1:90" ht="9.75">
      <c r="A135" s="195">
        <v>433</v>
      </c>
      <c r="B135" s="195" t="s">
        <v>203</v>
      </c>
      <c r="C135" s="195">
        <v>8098</v>
      </c>
      <c r="D135" s="195">
        <v>28776523.509999998</v>
      </c>
      <c r="E135" s="195">
        <v>8222532.084996863</v>
      </c>
      <c r="F135" s="195">
        <v>1330378.1951552134</v>
      </c>
      <c r="G135" s="195">
        <v>38329433.79015207</v>
      </c>
      <c r="H135" s="195">
        <v>3540.31</v>
      </c>
      <c r="I135" s="195">
        <v>28669430.38</v>
      </c>
      <c r="J135" s="195">
        <v>9660003.410152074</v>
      </c>
      <c r="K135" s="195">
        <v>98148.79514827539</v>
      </c>
      <c r="L135" s="195">
        <v>2001450.9248019771</v>
      </c>
      <c r="M135" s="195">
        <v>0</v>
      </c>
      <c r="N135" s="195">
        <v>11759603.130102327</v>
      </c>
      <c r="O135" s="195">
        <v>4347894.278865116</v>
      </c>
      <c r="P135" s="195">
        <v>16107497.408967443</v>
      </c>
      <c r="Q135" s="195">
        <v>492</v>
      </c>
      <c r="R135" s="195">
        <v>89</v>
      </c>
      <c r="S135" s="195">
        <v>701</v>
      </c>
      <c r="T135" s="195">
        <v>324</v>
      </c>
      <c r="U135" s="195">
        <v>280</v>
      </c>
      <c r="V135" s="195">
        <v>4357</v>
      </c>
      <c r="W135" s="195">
        <v>1061</v>
      </c>
      <c r="X135" s="195">
        <v>591</v>
      </c>
      <c r="Y135" s="195">
        <v>203</v>
      </c>
      <c r="Z135" s="195">
        <v>38</v>
      </c>
      <c r="AA135" s="195">
        <v>0</v>
      </c>
      <c r="AB135" s="195">
        <v>7912</v>
      </c>
      <c r="AC135" s="195">
        <v>148</v>
      </c>
      <c r="AD135" s="195">
        <v>1855</v>
      </c>
      <c r="AE135" s="195">
        <v>0.8939132025829066</v>
      </c>
      <c r="AF135" s="195">
        <v>8222532.084996863</v>
      </c>
      <c r="AG135" s="195">
        <v>27808034.675515316</v>
      </c>
      <c r="AH135" s="195">
        <v>6747973.079363045</v>
      </c>
      <c r="AI135" s="195">
        <v>3094941.7881349255</v>
      </c>
      <c r="AJ135" s="195">
        <v>286</v>
      </c>
      <c r="AK135" s="195">
        <v>3798</v>
      </c>
      <c r="AL135" s="195">
        <v>0.5671391661420812</v>
      </c>
      <c r="AM135" s="195">
        <v>148</v>
      </c>
      <c r="AN135" s="195">
        <v>0.018276117559891333</v>
      </c>
      <c r="AO135" s="195">
        <v>0.014307863591637365</v>
      </c>
      <c r="AP135" s="195">
        <v>0</v>
      </c>
      <c r="AQ135" s="195">
        <v>38</v>
      </c>
      <c r="AR135" s="195">
        <v>0</v>
      </c>
      <c r="AS135" s="195">
        <v>0</v>
      </c>
      <c r="AT135" s="195">
        <v>0</v>
      </c>
      <c r="AU135" s="195">
        <v>597.53</v>
      </c>
      <c r="AV135" s="195">
        <v>13.55245761719077</v>
      </c>
      <c r="AW135" s="195">
        <v>1.3359433115979389</v>
      </c>
      <c r="AX135" s="195">
        <v>412</v>
      </c>
      <c r="AY135" s="195">
        <v>2643</v>
      </c>
      <c r="AZ135" s="195">
        <v>0.15588346575860765</v>
      </c>
      <c r="BA135" s="195">
        <v>0.09086066555593918</v>
      </c>
      <c r="BB135" s="195">
        <v>0</v>
      </c>
      <c r="BC135" s="195">
        <v>2130</v>
      </c>
      <c r="BD135" s="195">
        <v>3419</v>
      </c>
      <c r="BE135" s="195">
        <v>0.622989178122258</v>
      </c>
      <c r="BF135" s="195">
        <v>0.1920476600799519</v>
      </c>
      <c r="BG135" s="195">
        <v>0</v>
      </c>
      <c r="BH135" s="195">
        <v>0</v>
      </c>
      <c r="BI135" s="195">
        <v>0</v>
      </c>
      <c r="BJ135" s="195">
        <v>-1943.52</v>
      </c>
      <c r="BK135" s="195">
        <v>-33201.799999999996</v>
      </c>
      <c r="BL135" s="195">
        <v>-2267.44</v>
      </c>
      <c r="BM135" s="195">
        <v>-11580.14</v>
      </c>
      <c r="BN135" s="195">
        <v>-323.92</v>
      </c>
      <c r="BO135" s="195">
        <v>-59608</v>
      </c>
      <c r="BP135" s="195">
        <v>-158566.61919276218</v>
      </c>
      <c r="BQ135" s="195">
        <v>-692136.0599999999</v>
      </c>
      <c r="BR135" s="195">
        <v>177263.44181268103</v>
      </c>
      <c r="BS135" s="195">
        <v>727932</v>
      </c>
      <c r="BT135" s="195">
        <v>226573</v>
      </c>
      <c r="BU135" s="195">
        <v>508996.28072444606</v>
      </c>
      <c r="BV135" s="195">
        <v>13819.042114133674</v>
      </c>
      <c r="BW135" s="195">
        <v>58262.31202182018</v>
      </c>
      <c r="BX135" s="195">
        <v>171978.04434284213</v>
      </c>
      <c r="BY135" s="195">
        <v>428050.0253107906</v>
      </c>
      <c r="BZ135" s="195">
        <v>684417.2779968116</v>
      </c>
      <c r="CA135" s="195">
        <v>206102.07208420365</v>
      </c>
      <c r="CB135" s="195">
        <v>728.8199999999999</v>
      </c>
      <c r="CC135" s="195">
        <v>-4638.772412989594</v>
      </c>
      <c r="CD135" s="195">
        <v>3140361.423994739</v>
      </c>
      <c r="CE135" s="195">
        <v>2001450.9248019771</v>
      </c>
      <c r="CF135" s="195">
        <v>0</v>
      </c>
      <c r="CG135" s="229">
        <v>4347894.278865116</v>
      </c>
      <c r="CH135" s="195">
        <v>-779123</v>
      </c>
      <c r="CI135" s="195">
        <v>-114197.98799999998</v>
      </c>
      <c r="CJ135" s="195">
        <v>15328374.408967443</v>
      </c>
      <c r="CL135" s="195">
        <v>8175</v>
      </c>
    </row>
    <row r="136" spans="1:90" ht="9.75">
      <c r="A136" s="195">
        <v>434</v>
      </c>
      <c r="B136" s="195" t="s">
        <v>204</v>
      </c>
      <c r="C136" s="195">
        <v>15208</v>
      </c>
      <c r="D136" s="195">
        <v>52383315.4</v>
      </c>
      <c r="E136" s="195">
        <v>18084063.567918</v>
      </c>
      <c r="F136" s="195">
        <v>5730371.022867972</v>
      </c>
      <c r="G136" s="195">
        <v>76197749.99078597</v>
      </c>
      <c r="H136" s="195">
        <v>3540.31</v>
      </c>
      <c r="I136" s="195">
        <v>53841034.48</v>
      </c>
      <c r="J136" s="195">
        <v>22356715.510785975</v>
      </c>
      <c r="K136" s="195">
        <v>383296.07315623714</v>
      </c>
      <c r="L136" s="195">
        <v>3246187.127459114</v>
      </c>
      <c r="M136" s="195">
        <v>0</v>
      </c>
      <c r="N136" s="195">
        <v>25986198.711401325</v>
      </c>
      <c r="O136" s="195">
        <v>-1074562.8208482766</v>
      </c>
      <c r="P136" s="195">
        <v>24911635.89055305</v>
      </c>
      <c r="Q136" s="195">
        <v>812</v>
      </c>
      <c r="R136" s="195">
        <v>150</v>
      </c>
      <c r="S136" s="195">
        <v>951</v>
      </c>
      <c r="T136" s="195">
        <v>473</v>
      </c>
      <c r="U136" s="195">
        <v>461</v>
      </c>
      <c r="V136" s="195">
        <v>8335</v>
      </c>
      <c r="W136" s="195">
        <v>2304</v>
      </c>
      <c r="X136" s="195">
        <v>1194</v>
      </c>
      <c r="Y136" s="195">
        <v>528</v>
      </c>
      <c r="Z136" s="195">
        <v>6278</v>
      </c>
      <c r="AA136" s="195">
        <v>0</v>
      </c>
      <c r="AB136" s="195">
        <v>8346</v>
      </c>
      <c r="AC136" s="195">
        <v>584</v>
      </c>
      <c r="AD136" s="195">
        <v>4026</v>
      </c>
      <c r="AE136" s="195">
        <v>1.0468668997724166</v>
      </c>
      <c r="AF136" s="195">
        <v>18084063.567918</v>
      </c>
      <c r="AG136" s="195">
        <v>10815788.56046334</v>
      </c>
      <c r="AH136" s="195">
        <v>2126352.858525026</v>
      </c>
      <c r="AI136" s="195">
        <v>954348.0441799338</v>
      </c>
      <c r="AJ136" s="195">
        <v>930</v>
      </c>
      <c r="AK136" s="195">
        <v>7148</v>
      </c>
      <c r="AL136" s="195">
        <v>0.9798892028564354</v>
      </c>
      <c r="AM136" s="195">
        <v>584</v>
      </c>
      <c r="AN136" s="195">
        <v>0.03840084166228301</v>
      </c>
      <c r="AO136" s="195">
        <v>0.03443258769402904</v>
      </c>
      <c r="AP136" s="195">
        <v>1</v>
      </c>
      <c r="AQ136" s="195">
        <v>6278</v>
      </c>
      <c r="AR136" s="195">
        <v>0</v>
      </c>
      <c r="AS136" s="195">
        <v>3</v>
      </c>
      <c r="AT136" s="195">
        <v>771</v>
      </c>
      <c r="AU136" s="195">
        <v>819.76</v>
      </c>
      <c r="AV136" s="195">
        <v>18.551771250121988</v>
      </c>
      <c r="AW136" s="195">
        <v>0.9759345814099286</v>
      </c>
      <c r="AX136" s="195">
        <v>892</v>
      </c>
      <c r="AY136" s="195">
        <v>4651</v>
      </c>
      <c r="AZ136" s="195">
        <v>0.19178671253493873</v>
      </c>
      <c r="BA136" s="195">
        <v>0.12676391233227025</v>
      </c>
      <c r="BB136" s="195">
        <v>0</v>
      </c>
      <c r="BC136" s="195">
        <v>5157</v>
      </c>
      <c r="BD136" s="195">
        <v>6211</v>
      </c>
      <c r="BE136" s="195">
        <v>0.8303010787312832</v>
      </c>
      <c r="BF136" s="195">
        <v>0.39935956068897716</v>
      </c>
      <c r="BG136" s="195">
        <v>0</v>
      </c>
      <c r="BH136" s="195">
        <v>0</v>
      </c>
      <c r="BI136" s="195">
        <v>0</v>
      </c>
      <c r="BJ136" s="195">
        <v>-3649.92</v>
      </c>
      <c r="BK136" s="195">
        <v>-62352.799999999996</v>
      </c>
      <c r="BL136" s="195">
        <v>-4258.240000000001</v>
      </c>
      <c r="BM136" s="195">
        <v>-21747.44</v>
      </c>
      <c r="BN136" s="195">
        <v>-608.32</v>
      </c>
      <c r="BO136" s="195">
        <v>195042</v>
      </c>
      <c r="BP136" s="195">
        <v>-650773.4118920618</v>
      </c>
      <c r="BQ136" s="195">
        <v>-1299827.76</v>
      </c>
      <c r="BR136" s="195">
        <v>298338.15703547</v>
      </c>
      <c r="BS136" s="195">
        <v>1210696</v>
      </c>
      <c r="BT136" s="195">
        <v>410614</v>
      </c>
      <c r="BU136" s="195">
        <v>925084.892934011</v>
      </c>
      <c r="BV136" s="195">
        <v>34547.96240556766</v>
      </c>
      <c r="BW136" s="195">
        <v>125012.20418803902</v>
      </c>
      <c r="BX136" s="195">
        <v>361109.1862352993</v>
      </c>
      <c r="BY136" s="195">
        <v>740508.550524073</v>
      </c>
      <c r="BZ136" s="195">
        <v>1231942.1627163913</v>
      </c>
      <c r="CA136" s="195">
        <v>397972.7107864588</v>
      </c>
      <c r="CB136" s="195">
        <v>1368.72</v>
      </c>
      <c r="CC136" s="195">
        <v>-195108.0074741348</v>
      </c>
      <c r="CD136" s="195">
        <v>5738041.019351176</v>
      </c>
      <c r="CE136" s="195">
        <v>3246187.127459114</v>
      </c>
      <c r="CF136" s="195">
        <v>0</v>
      </c>
      <c r="CG136" s="229">
        <v>-1074562.8208482766</v>
      </c>
      <c r="CH136" s="195">
        <v>-1023096</v>
      </c>
      <c r="CI136" s="195">
        <v>496604.81220000004</v>
      </c>
      <c r="CJ136" s="195">
        <v>23888539.89055305</v>
      </c>
      <c r="CL136" s="195">
        <v>15311</v>
      </c>
    </row>
    <row r="137" spans="1:90" ht="9.75">
      <c r="A137" s="195">
        <v>435</v>
      </c>
      <c r="B137" s="195" t="s">
        <v>205</v>
      </c>
      <c r="C137" s="195">
        <v>756</v>
      </c>
      <c r="D137" s="195">
        <v>2988953.95</v>
      </c>
      <c r="E137" s="195">
        <v>1234419.5115968038</v>
      </c>
      <c r="F137" s="195">
        <v>362649.8494994659</v>
      </c>
      <c r="G137" s="195">
        <v>4586023.31109627</v>
      </c>
      <c r="H137" s="195">
        <v>3540.31</v>
      </c>
      <c r="I137" s="195">
        <v>2676474.36</v>
      </c>
      <c r="J137" s="195">
        <v>1909548.9510962698</v>
      </c>
      <c r="K137" s="195">
        <v>76843.54598916064</v>
      </c>
      <c r="L137" s="195">
        <v>439173.5300673672</v>
      </c>
      <c r="M137" s="195">
        <v>169342.8310426264</v>
      </c>
      <c r="N137" s="195">
        <v>2594908.858195424</v>
      </c>
      <c r="O137" s="195">
        <v>618120.1842335135</v>
      </c>
      <c r="P137" s="195">
        <v>3213029.0424289377</v>
      </c>
      <c r="Q137" s="195">
        <v>32</v>
      </c>
      <c r="R137" s="195">
        <v>7</v>
      </c>
      <c r="S137" s="195">
        <v>31</v>
      </c>
      <c r="T137" s="195">
        <v>18</v>
      </c>
      <c r="U137" s="195">
        <v>21</v>
      </c>
      <c r="V137" s="195">
        <v>351</v>
      </c>
      <c r="W137" s="195">
        <v>141</v>
      </c>
      <c r="X137" s="195">
        <v>108</v>
      </c>
      <c r="Y137" s="195">
        <v>47</v>
      </c>
      <c r="Z137" s="195">
        <v>0</v>
      </c>
      <c r="AA137" s="195">
        <v>0</v>
      </c>
      <c r="AB137" s="195">
        <v>753</v>
      </c>
      <c r="AC137" s="195">
        <v>3</v>
      </c>
      <c r="AD137" s="195">
        <v>296</v>
      </c>
      <c r="AE137" s="195">
        <v>1.4375022377317268</v>
      </c>
      <c r="AF137" s="195">
        <v>1234419.5115968038</v>
      </c>
      <c r="AG137" s="195">
        <v>22675887.497329183</v>
      </c>
      <c r="AH137" s="195">
        <v>5659946.997814898</v>
      </c>
      <c r="AI137" s="195">
        <v>2292219.134151804</v>
      </c>
      <c r="AJ137" s="195">
        <v>37</v>
      </c>
      <c r="AK137" s="195">
        <v>268</v>
      </c>
      <c r="AL137" s="195">
        <v>1.0397896678488951</v>
      </c>
      <c r="AM137" s="195">
        <v>3</v>
      </c>
      <c r="AN137" s="195">
        <v>0.003968253968253968</v>
      </c>
      <c r="AO137" s="195">
        <v>0</v>
      </c>
      <c r="AP137" s="195">
        <v>0</v>
      </c>
      <c r="AQ137" s="195">
        <v>0</v>
      </c>
      <c r="AR137" s="195">
        <v>0</v>
      </c>
      <c r="AS137" s="195">
        <v>3</v>
      </c>
      <c r="AT137" s="195">
        <v>341</v>
      </c>
      <c r="AU137" s="195">
        <v>214.53</v>
      </c>
      <c r="AV137" s="195">
        <v>3.5239826597678645</v>
      </c>
      <c r="AW137" s="195">
        <v>5.137742394735053</v>
      </c>
      <c r="AX137" s="195">
        <v>46</v>
      </c>
      <c r="AY137" s="195">
        <v>195</v>
      </c>
      <c r="AZ137" s="195">
        <v>0.2358974358974359</v>
      </c>
      <c r="BA137" s="195">
        <v>0.1708746356947674</v>
      </c>
      <c r="BB137" s="195">
        <v>0.405533</v>
      </c>
      <c r="BC137" s="195">
        <v>158</v>
      </c>
      <c r="BD137" s="195">
        <v>224</v>
      </c>
      <c r="BE137" s="195">
        <v>0.7053571428571429</v>
      </c>
      <c r="BF137" s="195">
        <v>0.27441562481483683</v>
      </c>
      <c r="BG137" s="195">
        <v>0</v>
      </c>
      <c r="BH137" s="195">
        <v>0</v>
      </c>
      <c r="BI137" s="195">
        <v>0</v>
      </c>
      <c r="BJ137" s="195">
        <v>-181.44</v>
      </c>
      <c r="BK137" s="195">
        <v>-3099.6</v>
      </c>
      <c r="BL137" s="195">
        <v>-211.68</v>
      </c>
      <c r="BM137" s="195">
        <v>-1081.08</v>
      </c>
      <c r="BN137" s="195">
        <v>-30.240000000000002</v>
      </c>
      <c r="BO137" s="195">
        <v>-1935</v>
      </c>
      <c r="BP137" s="195">
        <v>-16506.9351210131</v>
      </c>
      <c r="BQ137" s="195">
        <v>-64615.32</v>
      </c>
      <c r="BR137" s="195">
        <v>215879.84020721586</v>
      </c>
      <c r="BS137" s="195">
        <v>102847</v>
      </c>
      <c r="BT137" s="195">
        <v>28760</v>
      </c>
      <c r="BU137" s="195">
        <v>66423.33783439497</v>
      </c>
      <c r="BV137" s="195">
        <v>3815.7005838035793</v>
      </c>
      <c r="BW137" s="195">
        <v>10995.240063434358</v>
      </c>
      <c r="BX137" s="195">
        <v>27136.50793780879</v>
      </c>
      <c r="BY137" s="195">
        <v>33965.03785684048</v>
      </c>
      <c r="BZ137" s="195">
        <v>51871.14596685789</v>
      </c>
      <c r="CA137" s="195">
        <v>11884.307794628665</v>
      </c>
      <c r="CB137" s="195">
        <v>68.03999999999999</v>
      </c>
      <c r="CC137" s="195">
        <v>-4554.693056604385</v>
      </c>
      <c r="CD137" s="195">
        <v>547201.8251883803</v>
      </c>
      <c r="CE137" s="195">
        <v>439173.5300673672</v>
      </c>
      <c r="CF137" s="195">
        <v>169342.8310426264</v>
      </c>
      <c r="CG137" s="229">
        <v>618120.1842335135</v>
      </c>
      <c r="CH137" s="195">
        <v>-182314</v>
      </c>
      <c r="CI137" s="195">
        <v>-113415.81000000003</v>
      </c>
      <c r="CJ137" s="195">
        <v>3030715.0424289377</v>
      </c>
      <c r="CL137" s="195">
        <v>761</v>
      </c>
    </row>
    <row r="138" spans="1:90" ht="9.75">
      <c r="A138" s="195">
        <v>436</v>
      </c>
      <c r="B138" s="195" t="s">
        <v>206</v>
      </c>
      <c r="C138" s="195">
        <v>2105</v>
      </c>
      <c r="D138" s="195">
        <v>8799936.89</v>
      </c>
      <c r="E138" s="195">
        <v>2166516.6901644752</v>
      </c>
      <c r="F138" s="195">
        <v>338758.0987641973</v>
      </c>
      <c r="G138" s="195">
        <v>11305211.678928673</v>
      </c>
      <c r="H138" s="195">
        <v>3540.31</v>
      </c>
      <c r="I138" s="195">
        <v>7452352.55</v>
      </c>
      <c r="J138" s="195">
        <v>3852859.1289286735</v>
      </c>
      <c r="K138" s="195">
        <v>29725.028590129044</v>
      </c>
      <c r="L138" s="195">
        <v>410966.43281370396</v>
      </c>
      <c r="M138" s="195">
        <v>0</v>
      </c>
      <c r="N138" s="195">
        <v>4293550.590332506</v>
      </c>
      <c r="O138" s="195">
        <v>2157431.002667952</v>
      </c>
      <c r="P138" s="195">
        <v>6450981.593000459</v>
      </c>
      <c r="Q138" s="195">
        <v>224</v>
      </c>
      <c r="R138" s="195">
        <v>45</v>
      </c>
      <c r="S138" s="195">
        <v>284</v>
      </c>
      <c r="T138" s="195">
        <v>108</v>
      </c>
      <c r="U138" s="195">
        <v>90</v>
      </c>
      <c r="V138" s="195">
        <v>1014</v>
      </c>
      <c r="W138" s="195">
        <v>187</v>
      </c>
      <c r="X138" s="195">
        <v>113</v>
      </c>
      <c r="Y138" s="195">
        <v>40</v>
      </c>
      <c r="Z138" s="195">
        <v>2</v>
      </c>
      <c r="AA138" s="195">
        <v>0</v>
      </c>
      <c r="AB138" s="195">
        <v>2091</v>
      </c>
      <c r="AC138" s="195">
        <v>12</v>
      </c>
      <c r="AD138" s="195">
        <v>340</v>
      </c>
      <c r="AE138" s="195">
        <v>0.906102828501453</v>
      </c>
      <c r="AF138" s="195">
        <v>2166516.6901644752</v>
      </c>
      <c r="AG138" s="195">
        <v>1428592.0135809942</v>
      </c>
      <c r="AH138" s="195">
        <v>478539.77317258867</v>
      </c>
      <c r="AI138" s="195">
        <v>133787.10899718697</v>
      </c>
      <c r="AJ138" s="195">
        <v>89</v>
      </c>
      <c r="AK138" s="195">
        <v>818</v>
      </c>
      <c r="AL138" s="195">
        <v>0.8194364355227597</v>
      </c>
      <c r="AM138" s="195">
        <v>12</v>
      </c>
      <c r="AN138" s="195">
        <v>0.005700712589073635</v>
      </c>
      <c r="AO138" s="195">
        <v>0.0017324586208196666</v>
      </c>
      <c r="AP138" s="195">
        <v>0</v>
      </c>
      <c r="AQ138" s="195">
        <v>2</v>
      </c>
      <c r="AR138" s="195">
        <v>0</v>
      </c>
      <c r="AS138" s="195">
        <v>0</v>
      </c>
      <c r="AT138" s="195">
        <v>0</v>
      </c>
      <c r="AU138" s="195">
        <v>213.85</v>
      </c>
      <c r="AV138" s="195">
        <v>9.843348141220481</v>
      </c>
      <c r="AW138" s="195">
        <v>1.839345195318436</v>
      </c>
      <c r="AX138" s="195">
        <v>58</v>
      </c>
      <c r="AY138" s="195">
        <v>567</v>
      </c>
      <c r="AZ138" s="195">
        <v>0.10229276895943562</v>
      </c>
      <c r="BA138" s="195">
        <v>0.03726996875676715</v>
      </c>
      <c r="BB138" s="195">
        <v>0</v>
      </c>
      <c r="BC138" s="195">
        <v>474</v>
      </c>
      <c r="BD138" s="195">
        <v>724</v>
      </c>
      <c r="BE138" s="195">
        <v>0.6546961325966851</v>
      </c>
      <c r="BF138" s="195">
        <v>0.22375461455437906</v>
      </c>
      <c r="BG138" s="195">
        <v>0</v>
      </c>
      <c r="BH138" s="195">
        <v>0</v>
      </c>
      <c r="BI138" s="195">
        <v>0</v>
      </c>
      <c r="BJ138" s="195">
        <v>-505.2</v>
      </c>
      <c r="BK138" s="195">
        <v>-8630.5</v>
      </c>
      <c r="BL138" s="195">
        <v>-589.4000000000001</v>
      </c>
      <c r="BM138" s="195">
        <v>-3010.15</v>
      </c>
      <c r="BN138" s="195">
        <v>-84.2</v>
      </c>
      <c r="BO138" s="195">
        <v>27057</v>
      </c>
      <c r="BP138" s="195">
        <v>-45018.91396639936</v>
      </c>
      <c r="BQ138" s="195">
        <v>-179914.35</v>
      </c>
      <c r="BR138" s="195">
        <v>-8187.144025707617</v>
      </c>
      <c r="BS138" s="195">
        <v>152295</v>
      </c>
      <c r="BT138" s="195">
        <v>45371</v>
      </c>
      <c r="BU138" s="195">
        <v>119780.92998940397</v>
      </c>
      <c r="BV138" s="195">
        <v>4609.6513827783165</v>
      </c>
      <c r="BW138" s="195">
        <v>6310.905657128428</v>
      </c>
      <c r="BX138" s="195">
        <v>59475.10213118984</v>
      </c>
      <c r="BY138" s="195">
        <v>96539.81285947633</v>
      </c>
      <c r="BZ138" s="195">
        <v>158323.6257132645</v>
      </c>
      <c r="CA138" s="195">
        <v>33887.05603083458</v>
      </c>
      <c r="CB138" s="195">
        <v>189.45</v>
      </c>
      <c r="CC138" s="195">
        <v>15037.957041734993</v>
      </c>
      <c r="CD138" s="195">
        <v>710816.6467801033</v>
      </c>
      <c r="CE138" s="195">
        <v>410966.43281370396</v>
      </c>
      <c r="CF138" s="195">
        <v>0</v>
      </c>
      <c r="CG138" s="229">
        <v>2157431.002667952</v>
      </c>
      <c r="CH138" s="195">
        <v>-374481</v>
      </c>
      <c r="CI138" s="195">
        <v>-35980.188</v>
      </c>
      <c r="CJ138" s="195">
        <v>6076500.593000459</v>
      </c>
      <c r="CL138" s="195">
        <v>2076</v>
      </c>
    </row>
    <row r="139" spans="1:90" ht="9.75">
      <c r="A139" s="195">
        <v>440</v>
      </c>
      <c r="B139" s="195" t="s">
        <v>207</v>
      </c>
      <c r="C139" s="195">
        <v>5176</v>
      </c>
      <c r="D139" s="195">
        <v>21347391.06</v>
      </c>
      <c r="E139" s="195">
        <v>3717477.226354497</v>
      </c>
      <c r="F139" s="195">
        <v>2356684.6917891847</v>
      </c>
      <c r="G139" s="195">
        <v>27421552.97814368</v>
      </c>
      <c r="H139" s="195">
        <v>3540.31</v>
      </c>
      <c r="I139" s="195">
        <v>18324644.56</v>
      </c>
      <c r="J139" s="195">
        <v>9096908.418143682</v>
      </c>
      <c r="K139" s="195">
        <v>6925.360763804004</v>
      </c>
      <c r="L139" s="195">
        <v>889356.7604792734</v>
      </c>
      <c r="M139" s="195">
        <v>221695.48200874956</v>
      </c>
      <c r="N139" s="195">
        <v>10214886.021395508</v>
      </c>
      <c r="O139" s="195">
        <v>4185165.5013128202</v>
      </c>
      <c r="P139" s="195">
        <v>14400051.522708328</v>
      </c>
      <c r="Q139" s="195">
        <v>642</v>
      </c>
      <c r="R139" s="195">
        <v>95</v>
      </c>
      <c r="S139" s="195">
        <v>603</v>
      </c>
      <c r="T139" s="195">
        <v>267</v>
      </c>
      <c r="U139" s="195">
        <v>260</v>
      </c>
      <c r="V139" s="195">
        <v>2563</v>
      </c>
      <c r="W139" s="195">
        <v>433</v>
      </c>
      <c r="X139" s="195">
        <v>218</v>
      </c>
      <c r="Y139" s="195">
        <v>95</v>
      </c>
      <c r="Z139" s="195">
        <v>4765</v>
      </c>
      <c r="AA139" s="195">
        <v>0</v>
      </c>
      <c r="AB139" s="195">
        <v>307</v>
      </c>
      <c r="AC139" s="195">
        <v>104</v>
      </c>
      <c r="AD139" s="195">
        <v>746</v>
      </c>
      <c r="AE139" s="195">
        <v>0.6322976915219238</v>
      </c>
      <c r="AF139" s="195">
        <v>3717477.226354497</v>
      </c>
      <c r="AG139" s="195">
        <v>2700180.644832682</v>
      </c>
      <c r="AH139" s="195">
        <v>623184.7499544304</v>
      </c>
      <c r="AI139" s="195">
        <v>312169.9209934363</v>
      </c>
      <c r="AJ139" s="195">
        <v>105</v>
      </c>
      <c r="AK139" s="195">
        <v>2275</v>
      </c>
      <c r="AL139" s="195">
        <v>0.34760536089418365</v>
      </c>
      <c r="AM139" s="195">
        <v>104</v>
      </c>
      <c r="AN139" s="195">
        <v>0.02009273570324575</v>
      </c>
      <c r="AO139" s="195">
        <v>0.016124481734991782</v>
      </c>
      <c r="AP139" s="195">
        <v>3</v>
      </c>
      <c r="AQ139" s="195">
        <v>4765</v>
      </c>
      <c r="AR139" s="195">
        <v>0</v>
      </c>
      <c r="AS139" s="195">
        <v>3</v>
      </c>
      <c r="AT139" s="195">
        <v>2021</v>
      </c>
      <c r="AU139" s="195">
        <v>142.45</v>
      </c>
      <c r="AV139" s="195">
        <v>36.33555633555634</v>
      </c>
      <c r="AW139" s="195">
        <v>0.49828093843394666</v>
      </c>
      <c r="AX139" s="195">
        <v>142</v>
      </c>
      <c r="AY139" s="195">
        <v>1353</v>
      </c>
      <c r="AZ139" s="195">
        <v>0.1049519586104952</v>
      </c>
      <c r="BA139" s="195">
        <v>0.03992915840782672</v>
      </c>
      <c r="BB139" s="195">
        <v>0</v>
      </c>
      <c r="BC139" s="195">
        <v>992</v>
      </c>
      <c r="BD139" s="195">
        <v>2194</v>
      </c>
      <c r="BE139" s="195">
        <v>0.45214220601640837</v>
      </c>
      <c r="BF139" s="195">
        <v>0.021200687974102295</v>
      </c>
      <c r="BG139" s="195">
        <v>0</v>
      </c>
      <c r="BH139" s="195">
        <v>0</v>
      </c>
      <c r="BI139" s="195">
        <v>0</v>
      </c>
      <c r="BJ139" s="195">
        <v>-1242.24</v>
      </c>
      <c r="BK139" s="195">
        <v>-21221.6</v>
      </c>
      <c r="BL139" s="195">
        <v>-1449.2800000000002</v>
      </c>
      <c r="BM139" s="195">
        <v>-7401.679999999999</v>
      </c>
      <c r="BN139" s="195">
        <v>-207.04</v>
      </c>
      <c r="BO139" s="195">
        <v>-43352</v>
      </c>
      <c r="BP139" s="195">
        <v>-28511.978845386264</v>
      </c>
      <c r="BQ139" s="195">
        <v>-442392.72</v>
      </c>
      <c r="BR139" s="195">
        <v>14361.762467931956</v>
      </c>
      <c r="BS139" s="195">
        <v>333918</v>
      </c>
      <c r="BT139" s="195">
        <v>115068</v>
      </c>
      <c r="BU139" s="195">
        <v>264249.4247212743</v>
      </c>
      <c r="BV139" s="195">
        <v>8620.971730934089</v>
      </c>
      <c r="BW139" s="195">
        <v>32415.934720927144</v>
      </c>
      <c r="BX139" s="195">
        <v>138524.35282339575</v>
      </c>
      <c r="BY139" s="195">
        <v>269394.57623006677</v>
      </c>
      <c r="BZ139" s="195">
        <v>333512.1917080896</v>
      </c>
      <c r="CA139" s="195">
        <v>84949.61756887377</v>
      </c>
      <c r="CB139" s="195">
        <v>465.84</v>
      </c>
      <c r="CC139" s="195">
        <v>-7963.932646833914</v>
      </c>
      <c r="CD139" s="195">
        <v>1544475.2993246596</v>
      </c>
      <c r="CE139" s="195">
        <v>889356.7604792734</v>
      </c>
      <c r="CF139" s="195">
        <v>221695.48200874956</v>
      </c>
      <c r="CG139" s="229">
        <v>4185165.5013128202</v>
      </c>
      <c r="CH139" s="195">
        <v>-1081884</v>
      </c>
      <c r="CI139" s="195">
        <v>-239867.91999999998</v>
      </c>
      <c r="CJ139" s="195">
        <v>13318167.522708328</v>
      </c>
      <c r="CL139" s="195">
        <v>5147</v>
      </c>
    </row>
    <row r="140" spans="1:90" ht="9.75">
      <c r="A140" s="195">
        <v>441</v>
      </c>
      <c r="B140" s="195" t="s">
        <v>208</v>
      </c>
      <c r="C140" s="195">
        <v>4831</v>
      </c>
      <c r="D140" s="195">
        <v>17796746.89</v>
      </c>
      <c r="E140" s="195">
        <v>6377603.664740021</v>
      </c>
      <c r="F140" s="195">
        <v>1304339.9139991344</v>
      </c>
      <c r="G140" s="195">
        <v>25478690.468739156</v>
      </c>
      <c r="H140" s="195">
        <v>3540.31</v>
      </c>
      <c r="I140" s="195">
        <v>17103237.61</v>
      </c>
      <c r="J140" s="195">
        <v>8375452.858739156</v>
      </c>
      <c r="K140" s="195">
        <v>357608.17792045017</v>
      </c>
      <c r="L140" s="195">
        <v>1390026.71317433</v>
      </c>
      <c r="M140" s="195">
        <v>0</v>
      </c>
      <c r="N140" s="195">
        <v>10123087.749833936</v>
      </c>
      <c r="O140" s="195">
        <v>1941927.669107848</v>
      </c>
      <c r="P140" s="195">
        <v>12065015.418941785</v>
      </c>
      <c r="Q140" s="195">
        <v>215</v>
      </c>
      <c r="R140" s="195">
        <v>48</v>
      </c>
      <c r="S140" s="195">
        <v>269</v>
      </c>
      <c r="T140" s="195">
        <v>144</v>
      </c>
      <c r="U140" s="195">
        <v>143</v>
      </c>
      <c r="V140" s="195">
        <v>2494</v>
      </c>
      <c r="W140" s="195">
        <v>783</v>
      </c>
      <c r="X140" s="195">
        <v>504</v>
      </c>
      <c r="Y140" s="195">
        <v>231</v>
      </c>
      <c r="Z140" s="195">
        <v>17</v>
      </c>
      <c r="AA140" s="195">
        <v>0</v>
      </c>
      <c r="AB140" s="195">
        <v>4670</v>
      </c>
      <c r="AC140" s="195">
        <v>144</v>
      </c>
      <c r="AD140" s="195">
        <v>1518</v>
      </c>
      <c r="AE140" s="195">
        <v>1.1622191747327262</v>
      </c>
      <c r="AF140" s="195">
        <v>6377603.664740021</v>
      </c>
      <c r="AG140" s="195">
        <v>4512922.137862927</v>
      </c>
      <c r="AH140" s="195">
        <v>995721.9820938352</v>
      </c>
      <c r="AI140" s="195">
        <v>615420.7013870601</v>
      </c>
      <c r="AJ140" s="195">
        <v>268</v>
      </c>
      <c r="AK140" s="195">
        <v>2138</v>
      </c>
      <c r="AL140" s="195">
        <v>0.944073181599108</v>
      </c>
      <c r="AM140" s="195">
        <v>144</v>
      </c>
      <c r="AN140" s="195">
        <v>0.029807493272614366</v>
      </c>
      <c r="AO140" s="195">
        <v>0.025839239304360398</v>
      </c>
      <c r="AP140" s="195">
        <v>0</v>
      </c>
      <c r="AQ140" s="195">
        <v>17</v>
      </c>
      <c r="AR140" s="195">
        <v>0</v>
      </c>
      <c r="AS140" s="195">
        <v>0</v>
      </c>
      <c r="AT140" s="195">
        <v>0</v>
      </c>
      <c r="AU140" s="195">
        <v>750.08</v>
      </c>
      <c r="AV140" s="195">
        <v>6.44064633105802</v>
      </c>
      <c r="AW140" s="195">
        <v>2.811102206015145</v>
      </c>
      <c r="AX140" s="195">
        <v>183</v>
      </c>
      <c r="AY140" s="195">
        <v>1310</v>
      </c>
      <c r="AZ140" s="195">
        <v>0.13969465648854962</v>
      </c>
      <c r="BA140" s="195">
        <v>0.07467185628588115</v>
      </c>
      <c r="BB140" s="195">
        <v>0.250666</v>
      </c>
      <c r="BC140" s="195">
        <v>1447</v>
      </c>
      <c r="BD140" s="195">
        <v>1860</v>
      </c>
      <c r="BE140" s="195">
        <v>0.7779569892473118</v>
      </c>
      <c r="BF140" s="195">
        <v>0.34701547120500575</v>
      </c>
      <c r="BG140" s="195">
        <v>0</v>
      </c>
      <c r="BH140" s="195">
        <v>0</v>
      </c>
      <c r="BI140" s="195">
        <v>0</v>
      </c>
      <c r="BJ140" s="195">
        <v>-1159.44</v>
      </c>
      <c r="BK140" s="195">
        <v>-19807.1</v>
      </c>
      <c r="BL140" s="195">
        <v>-1352.68</v>
      </c>
      <c r="BM140" s="195">
        <v>-6908.33</v>
      </c>
      <c r="BN140" s="195">
        <v>-193.24</v>
      </c>
      <c r="BO140" s="195">
        <v>97180</v>
      </c>
      <c r="BP140" s="195">
        <v>-80533.83498433664</v>
      </c>
      <c r="BQ140" s="195">
        <v>-412905.57</v>
      </c>
      <c r="BR140" s="195">
        <v>-3537.7496837247163</v>
      </c>
      <c r="BS140" s="195">
        <v>440971</v>
      </c>
      <c r="BT140" s="195">
        <v>142817</v>
      </c>
      <c r="BU140" s="195">
        <v>344336.52454953437</v>
      </c>
      <c r="BV140" s="195">
        <v>17832.943227524513</v>
      </c>
      <c r="BW140" s="195">
        <v>59729.45641819508</v>
      </c>
      <c r="BX140" s="195">
        <v>158241.6708336102</v>
      </c>
      <c r="BY140" s="195">
        <v>262569.6459401098</v>
      </c>
      <c r="BZ140" s="195">
        <v>409634.62053091574</v>
      </c>
      <c r="CA140" s="195">
        <v>126511.36727874998</v>
      </c>
      <c r="CB140" s="195">
        <v>434.78999999999996</v>
      </c>
      <c r="CC140" s="195">
        <v>-1609.7209362484864</v>
      </c>
      <c r="CD140" s="195">
        <v>2055401.4081586667</v>
      </c>
      <c r="CE140" s="195">
        <v>1390026.71317433</v>
      </c>
      <c r="CF140" s="195">
        <v>0</v>
      </c>
      <c r="CG140" s="229">
        <v>1941927.669107848</v>
      </c>
      <c r="CH140" s="195">
        <v>-543039</v>
      </c>
      <c r="CI140" s="195">
        <v>-98241.55679999999</v>
      </c>
      <c r="CJ140" s="195">
        <v>11521976.418941785</v>
      </c>
      <c r="CL140" s="195">
        <v>4860</v>
      </c>
    </row>
    <row r="141" spans="1:90" ht="9.75">
      <c r="A141" s="195">
        <v>475</v>
      </c>
      <c r="B141" s="195" t="s">
        <v>209</v>
      </c>
      <c r="C141" s="195">
        <v>5517</v>
      </c>
      <c r="D141" s="195">
        <v>20246707.54</v>
      </c>
      <c r="E141" s="195">
        <v>6014551.240120903</v>
      </c>
      <c r="F141" s="195">
        <v>4669529.860428078</v>
      </c>
      <c r="G141" s="195">
        <v>30930788.64054898</v>
      </c>
      <c r="H141" s="195">
        <v>3540.31</v>
      </c>
      <c r="I141" s="195">
        <v>19531890.27</v>
      </c>
      <c r="J141" s="195">
        <v>11398898.370548982</v>
      </c>
      <c r="K141" s="195">
        <v>117569.2742782118</v>
      </c>
      <c r="L141" s="195">
        <v>1598060.3955918816</v>
      </c>
      <c r="M141" s="195">
        <v>0</v>
      </c>
      <c r="N141" s="195">
        <v>13114528.040419076</v>
      </c>
      <c r="O141" s="195">
        <v>3182645.3950660466</v>
      </c>
      <c r="P141" s="195">
        <v>16297173.435485123</v>
      </c>
      <c r="Q141" s="195">
        <v>331</v>
      </c>
      <c r="R141" s="195">
        <v>52</v>
      </c>
      <c r="S141" s="195">
        <v>363</v>
      </c>
      <c r="T141" s="195">
        <v>156</v>
      </c>
      <c r="U141" s="195">
        <v>166</v>
      </c>
      <c r="V141" s="195">
        <v>2960</v>
      </c>
      <c r="W141" s="195">
        <v>764</v>
      </c>
      <c r="X141" s="195">
        <v>482</v>
      </c>
      <c r="Y141" s="195">
        <v>243</v>
      </c>
      <c r="Z141" s="195">
        <v>4701</v>
      </c>
      <c r="AA141" s="195">
        <v>0</v>
      </c>
      <c r="AB141" s="195">
        <v>540</v>
      </c>
      <c r="AC141" s="195">
        <v>276</v>
      </c>
      <c r="AD141" s="195">
        <v>1489</v>
      </c>
      <c r="AE141" s="195">
        <v>0.9597713736225506</v>
      </c>
      <c r="AF141" s="195">
        <v>6014551.240120903</v>
      </c>
      <c r="AG141" s="195">
        <v>63326019.11677928</v>
      </c>
      <c r="AH141" s="195">
        <v>14820091.10792986</v>
      </c>
      <c r="AI141" s="195">
        <v>7081797.636251098</v>
      </c>
      <c r="AJ141" s="195">
        <v>222</v>
      </c>
      <c r="AK141" s="195">
        <v>2666</v>
      </c>
      <c r="AL141" s="195">
        <v>0.6271499572021842</v>
      </c>
      <c r="AM141" s="195">
        <v>276</v>
      </c>
      <c r="AN141" s="195">
        <v>0.05002718868950517</v>
      </c>
      <c r="AO141" s="195">
        <v>0.0460589347212512</v>
      </c>
      <c r="AP141" s="195">
        <v>3</v>
      </c>
      <c r="AQ141" s="195">
        <v>4701</v>
      </c>
      <c r="AR141" s="195">
        <v>0</v>
      </c>
      <c r="AS141" s="195">
        <v>1</v>
      </c>
      <c r="AT141" s="195">
        <v>0</v>
      </c>
      <c r="AU141" s="195">
        <v>521.3</v>
      </c>
      <c r="AV141" s="195">
        <v>10.583157490888166</v>
      </c>
      <c r="AW141" s="195">
        <v>1.7107668599837784</v>
      </c>
      <c r="AX141" s="195">
        <v>219</v>
      </c>
      <c r="AY141" s="195">
        <v>1605</v>
      </c>
      <c r="AZ141" s="195">
        <v>0.13644859813084112</v>
      </c>
      <c r="BA141" s="195">
        <v>0.07142579792817265</v>
      </c>
      <c r="BB141" s="195">
        <v>0</v>
      </c>
      <c r="BC141" s="195">
        <v>1910</v>
      </c>
      <c r="BD141" s="195">
        <v>2485</v>
      </c>
      <c r="BE141" s="195">
        <v>0.7686116700201208</v>
      </c>
      <c r="BF141" s="195">
        <v>0.3376701519778147</v>
      </c>
      <c r="BG141" s="195">
        <v>0</v>
      </c>
      <c r="BH141" s="195">
        <v>0</v>
      </c>
      <c r="BI141" s="195">
        <v>0</v>
      </c>
      <c r="BJ141" s="195">
        <v>-1324.08</v>
      </c>
      <c r="BK141" s="195">
        <v>-22619.699999999997</v>
      </c>
      <c r="BL141" s="195">
        <v>-1544.7600000000002</v>
      </c>
      <c r="BM141" s="195">
        <v>-7889.3099999999995</v>
      </c>
      <c r="BN141" s="195">
        <v>-220.68</v>
      </c>
      <c r="BO141" s="195">
        <v>-140850</v>
      </c>
      <c r="BP141" s="195">
        <v>-124552.32864037158</v>
      </c>
      <c r="BQ141" s="195">
        <v>-471537.99</v>
      </c>
      <c r="BR141" s="195">
        <v>102448.75923616439</v>
      </c>
      <c r="BS141" s="195">
        <v>527887</v>
      </c>
      <c r="BT141" s="195">
        <v>179692</v>
      </c>
      <c r="BU141" s="195">
        <v>440779.18001771974</v>
      </c>
      <c r="BV141" s="195">
        <v>19590.202182369918</v>
      </c>
      <c r="BW141" s="195">
        <v>73233.53154674625</v>
      </c>
      <c r="BX141" s="195">
        <v>172456.4755134179</v>
      </c>
      <c r="BY141" s="195">
        <v>309448.79501962755</v>
      </c>
      <c r="BZ141" s="195">
        <v>542673.1834396141</v>
      </c>
      <c r="CA141" s="195">
        <v>179701.76493748414</v>
      </c>
      <c r="CB141" s="195">
        <v>496.53</v>
      </c>
      <c r="CC141" s="195">
        <v>-17387.697660890735</v>
      </c>
      <c r="CD141" s="195">
        <v>2390500.744232253</v>
      </c>
      <c r="CE141" s="195">
        <v>1598060.3955918816</v>
      </c>
      <c r="CF141" s="195">
        <v>0</v>
      </c>
      <c r="CG141" s="229">
        <v>3182645.3950660466</v>
      </c>
      <c r="CH141" s="195">
        <v>-113930</v>
      </c>
      <c r="CI141" s="195">
        <v>413003.0203</v>
      </c>
      <c r="CJ141" s="195">
        <v>16183243.435485123</v>
      </c>
      <c r="CL141" s="195">
        <v>5545</v>
      </c>
    </row>
    <row r="142" spans="1:90" ht="9.75">
      <c r="A142" s="195">
        <v>480</v>
      </c>
      <c r="B142" s="195" t="s">
        <v>210</v>
      </c>
      <c r="C142" s="195">
        <v>2021</v>
      </c>
      <c r="D142" s="195">
        <v>7245640.8100000005</v>
      </c>
      <c r="E142" s="195">
        <v>2405190.643872058</v>
      </c>
      <c r="F142" s="195">
        <v>408094.925469618</v>
      </c>
      <c r="G142" s="195">
        <v>10058926.379341677</v>
      </c>
      <c r="H142" s="195">
        <v>3540.31</v>
      </c>
      <c r="I142" s="195">
        <v>7154966.51</v>
      </c>
      <c r="J142" s="195">
        <v>2903959.869341677</v>
      </c>
      <c r="K142" s="195">
        <v>27207.04218868999</v>
      </c>
      <c r="L142" s="195">
        <v>564159.2550055741</v>
      </c>
      <c r="M142" s="195">
        <v>0</v>
      </c>
      <c r="N142" s="195">
        <v>3495326.166535941</v>
      </c>
      <c r="O142" s="195">
        <v>1327322.4146607409</v>
      </c>
      <c r="P142" s="195">
        <v>4822648.581196682</v>
      </c>
      <c r="Q142" s="195">
        <v>143</v>
      </c>
      <c r="R142" s="195">
        <v>21</v>
      </c>
      <c r="S142" s="195">
        <v>125</v>
      </c>
      <c r="T142" s="195">
        <v>58</v>
      </c>
      <c r="U142" s="195">
        <v>70</v>
      </c>
      <c r="V142" s="195">
        <v>1076</v>
      </c>
      <c r="W142" s="195">
        <v>294</v>
      </c>
      <c r="X142" s="195">
        <v>160</v>
      </c>
      <c r="Y142" s="195">
        <v>74</v>
      </c>
      <c r="Z142" s="195">
        <v>22</v>
      </c>
      <c r="AA142" s="195">
        <v>0</v>
      </c>
      <c r="AB142" s="195">
        <v>1960</v>
      </c>
      <c r="AC142" s="195">
        <v>39</v>
      </c>
      <c r="AD142" s="195">
        <v>528</v>
      </c>
      <c r="AE142" s="195">
        <v>1.0477332812456117</v>
      </c>
      <c r="AF142" s="195">
        <v>2405190.643872058</v>
      </c>
      <c r="AG142" s="195">
        <v>18434681.650770172</v>
      </c>
      <c r="AH142" s="195">
        <v>3337702.651036666</v>
      </c>
      <c r="AI142" s="195">
        <v>2006806.6349578046</v>
      </c>
      <c r="AJ142" s="195">
        <v>93</v>
      </c>
      <c r="AK142" s="195">
        <v>936</v>
      </c>
      <c r="AL142" s="195">
        <v>0.748317096369423</v>
      </c>
      <c r="AM142" s="195">
        <v>39</v>
      </c>
      <c r="AN142" s="195">
        <v>0.01929737753587333</v>
      </c>
      <c r="AO142" s="195">
        <v>0.015329123567619361</v>
      </c>
      <c r="AP142" s="195">
        <v>0</v>
      </c>
      <c r="AQ142" s="195">
        <v>22</v>
      </c>
      <c r="AR142" s="195">
        <v>0</v>
      </c>
      <c r="AS142" s="195">
        <v>0</v>
      </c>
      <c r="AT142" s="195">
        <v>0</v>
      </c>
      <c r="AU142" s="195">
        <v>195.28</v>
      </c>
      <c r="AV142" s="195">
        <v>10.349242113887751</v>
      </c>
      <c r="AW142" s="195">
        <v>1.7494339112141215</v>
      </c>
      <c r="AX142" s="195">
        <v>104</v>
      </c>
      <c r="AY142" s="195">
        <v>628</v>
      </c>
      <c r="AZ142" s="195">
        <v>0.16560509554140126</v>
      </c>
      <c r="BA142" s="195">
        <v>0.1005822953387328</v>
      </c>
      <c r="BB142" s="195">
        <v>0</v>
      </c>
      <c r="BC142" s="195">
        <v>527</v>
      </c>
      <c r="BD142" s="195">
        <v>818</v>
      </c>
      <c r="BE142" s="195">
        <v>0.6442542787286064</v>
      </c>
      <c r="BF142" s="195">
        <v>0.21331276068630034</v>
      </c>
      <c r="BG142" s="195">
        <v>0</v>
      </c>
      <c r="BH142" s="195">
        <v>0</v>
      </c>
      <c r="BI142" s="195">
        <v>0</v>
      </c>
      <c r="BJ142" s="195">
        <v>-485.03999999999996</v>
      </c>
      <c r="BK142" s="195">
        <v>-8286.099999999999</v>
      </c>
      <c r="BL142" s="195">
        <v>-565.8800000000001</v>
      </c>
      <c r="BM142" s="195">
        <v>-2890.0299999999997</v>
      </c>
      <c r="BN142" s="195">
        <v>-80.84</v>
      </c>
      <c r="BO142" s="195">
        <v>-23633</v>
      </c>
      <c r="BP142" s="195">
        <v>-47519.96474231044</v>
      </c>
      <c r="BQ142" s="195">
        <v>-172734.87</v>
      </c>
      <c r="BR142" s="195">
        <v>-2801.1581095047295</v>
      </c>
      <c r="BS142" s="195">
        <v>189435</v>
      </c>
      <c r="BT142" s="195">
        <v>64417</v>
      </c>
      <c r="BU142" s="195">
        <v>154742.8346528901</v>
      </c>
      <c r="BV142" s="195">
        <v>7161.85268333947</v>
      </c>
      <c r="BW142" s="195">
        <v>25643.29382656168</v>
      </c>
      <c r="BX142" s="195">
        <v>61135.430983444574</v>
      </c>
      <c r="BY142" s="195">
        <v>131032.9521289443</v>
      </c>
      <c r="BZ142" s="195">
        <v>184634.59575103052</v>
      </c>
      <c r="CA142" s="195">
        <v>55716.61844591683</v>
      </c>
      <c r="CB142" s="195">
        <v>181.89</v>
      </c>
      <c r="CC142" s="195">
        <v>8552.909385261857</v>
      </c>
      <c r="CD142" s="195">
        <v>856341.4797478844</v>
      </c>
      <c r="CE142" s="195">
        <v>564159.2550055741</v>
      </c>
      <c r="CF142" s="195">
        <v>0</v>
      </c>
      <c r="CG142" s="229">
        <v>1327322.4146607409</v>
      </c>
      <c r="CH142" s="195">
        <v>-342408</v>
      </c>
      <c r="CI142" s="195">
        <v>-598300.9885</v>
      </c>
      <c r="CJ142" s="195">
        <v>4480240.581196682</v>
      </c>
      <c r="CL142" s="195">
        <v>2028</v>
      </c>
    </row>
    <row r="143" spans="1:90" ht="9.75">
      <c r="A143" s="195">
        <v>481</v>
      </c>
      <c r="B143" s="195" t="s">
        <v>211</v>
      </c>
      <c r="C143" s="195">
        <v>9675</v>
      </c>
      <c r="D143" s="195">
        <v>33853854.08</v>
      </c>
      <c r="E143" s="195">
        <v>7431102.071711775</v>
      </c>
      <c r="F143" s="195">
        <v>915305.372324866</v>
      </c>
      <c r="G143" s="195">
        <v>42200261.524036646</v>
      </c>
      <c r="H143" s="195">
        <v>3540.31</v>
      </c>
      <c r="I143" s="195">
        <v>34252499.25</v>
      </c>
      <c r="J143" s="195">
        <v>7947762.274036646</v>
      </c>
      <c r="K143" s="195">
        <v>65065.16230339595</v>
      </c>
      <c r="L143" s="195">
        <v>1425329.4218117716</v>
      </c>
      <c r="M143" s="195">
        <v>0</v>
      </c>
      <c r="N143" s="195">
        <v>9438156.858151812</v>
      </c>
      <c r="O143" s="195">
        <v>-30239.050277931667</v>
      </c>
      <c r="P143" s="195">
        <v>9407917.80787388</v>
      </c>
      <c r="Q143" s="195">
        <v>726</v>
      </c>
      <c r="R143" s="195">
        <v>170</v>
      </c>
      <c r="S143" s="195">
        <v>894</v>
      </c>
      <c r="T143" s="195">
        <v>401</v>
      </c>
      <c r="U143" s="195">
        <v>409</v>
      </c>
      <c r="V143" s="195">
        <v>5424</v>
      </c>
      <c r="W143" s="195">
        <v>1024</v>
      </c>
      <c r="X143" s="195">
        <v>462</v>
      </c>
      <c r="Y143" s="195">
        <v>165</v>
      </c>
      <c r="Z143" s="195">
        <v>99</v>
      </c>
      <c r="AA143" s="195">
        <v>0</v>
      </c>
      <c r="AB143" s="195">
        <v>9441</v>
      </c>
      <c r="AC143" s="195">
        <v>135</v>
      </c>
      <c r="AD143" s="195">
        <v>1651</v>
      </c>
      <c r="AE143" s="195">
        <v>0.6761916448494599</v>
      </c>
      <c r="AF143" s="195">
        <v>7431102.071711775</v>
      </c>
      <c r="AG143" s="195">
        <v>7893054.29960157</v>
      </c>
      <c r="AH143" s="195">
        <v>1712871.2486636546</v>
      </c>
      <c r="AI143" s="195">
        <v>615420.7013870601</v>
      </c>
      <c r="AJ143" s="195">
        <v>379</v>
      </c>
      <c r="AK143" s="195">
        <v>4905</v>
      </c>
      <c r="AL143" s="195">
        <v>0.581940745200694</v>
      </c>
      <c r="AM143" s="195">
        <v>135</v>
      </c>
      <c r="AN143" s="195">
        <v>0.013953488372093023</v>
      </c>
      <c r="AO143" s="195">
        <v>0.009985234403839055</v>
      </c>
      <c r="AP143" s="195">
        <v>0</v>
      </c>
      <c r="AQ143" s="195">
        <v>99</v>
      </c>
      <c r="AR143" s="195">
        <v>0</v>
      </c>
      <c r="AS143" s="195">
        <v>0</v>
      </c>
      <c r="AT143" s="195">
        <v>0</v>
      </c>
      <c r="AU143" s="195">
        <v>174.86</v>
      </c>
      <c r="AV143" s="195">
        <v>55.329978268328944</v>
      </c>
      <c r="AW143" s="195">
        <v>0.32722433075243207</v>
      </c>
      <c r="AX143" s="195">
        <v>331</v>
      </c>
      <c r="AY143" s="195">
        <v>3498</v>
      </c>
      <c r="AZ143" s="195">
        <v>0.09462550028587764</v>
      </c>
      <c r="BA143" s="195">
        <v>0.02960270008320917</v>
      </c>
      <c r="BB143" s="195">
        <v>0</v>
      </c>
      <c r="BC143" s="195">
        <v>2415</v>
      </c>
      <c r="BD143" s="195">
        <v>4493</v>
      </c>
      <c r="BE143" s="195">
        <v>0.5375027821054974</v>
      </c>
      <c r="BF143" s="195">
        <v>0.10656126406319133</v>
      </c>
      <c r="BG143" s="195">
        <v>0</v>
      </c>
      <c r="BH143" s="195">
        <v>0</v>
      </c>
      <c r="BI143" s="195">
        <v>0</v>
      </c>
      <c r="BJ143" s="195">
        <v>-2322</v>
      </c>
      <c r="BK143" s="195">
        <v>-39667.5</v>
      </c>
      <c r="BL143" s="195">
        <v>-2709.0000000000005</v>
      </c>
      <c r="BM143" s="195">
        <v>-13835.25</v>
      </c>
      <c r="BN143" s="195">
        <v>-387</v>
      </c>
      <c r="BO143" s="195">
        <v>36413</v>
      </c>
      <c r="BP143" s="195">
        <v>-116048.7560022739</v>
      </c>
      <c r="BQ143" s="195">
        <v>-826922.25</v>
      </c>
      <c r="BR143" s="195">
        <v>32000.689960744232</v>
      </c>
      <c r="BS143" s="195">
        <v>621436</v>
      </c>
      <c r="BT143" s="195">
        <v>207148</v>
      </c>
      <c r="BU143" s="195">
        <v>331328.82182197727</v>
      </c>
      <c r="BV143" s="195">
        <v>-3308.595417114833</v>
      </c>
      <c r="BW143" s="195">
        <v>-53204.678997454095</v>
      </c>
      <c r="BX143" s="195">
        <v>172834.1055396685</v>
      </c>
      <c r="BY143" s="195">
        <v>408529.98781932035</v>
      </c>
      <c r="BZ143" s="195">
        <v>752960.6109749416</v>
      </c>
      <c r="CA143" s="195">
        <v>237127.749960975</v>
      </c>
      <c r="CB143" s="195">
        <v>870.75</v>
      </c>
      <c r="CC143" s="195">
        <v>-32083.263849012423</v>
      </c>
      <c r="CD143" s="195">
        <v>2712633.6778140455</v>
      </c>
      <c r="CE143" s="195">
        <v>1425329.4218117716</v>
      </c>
      <c r="CF143" s="195">
        <v>0</v>
      </c>
      <c r="CG143" s="229">
        <v>-30239.050277931667</v>
      </c>
      <c r="CH143" s="195">
        <v>-1548055</v>
      </c>
      <c r="CI143" s="195">
        <v>-188361.49870000005</v>
      </c>
      <c r="CJ143" s="195">
        <v>7859862.8078738805</v>
      </c>
      <c r="CL143" s="195">
        <v>9706</v>
      </c>
    </row>
    <row r="144" spans="1:90" ht="9.75">
      <c r="A144" s="195">
        <v>483</v>
      </c>
      <c r="B144" s="195" t="s">
        <v>212</v>
      </c>
      <c r="C144" s="195">
        <v>1131</v>
      </c>
      <c r="D144" s="195">
        <v>4661170.2700000005</v>
      </c>
      <c r="E144" s="195">
        <v>1480552.1124336564</v>
      </c>
      <c r="F144" s="195">
        <v>268867.8853553289</v>
      </c>
      <c r="G144" s="195">
        <v>6410590.267788986</v>
      </c>
      <c r="H144" s="195">
        <v>3540.31</v>
      </c>
      <c r="I144" s="195">
        <v>4004090.61</v>
      </c>
      <c r="J144" s="195">
        <v>2406499.657788986</v>
      </c>
      <c r="K144" s="195">
        <v>15766.623381719042</v>
      </c>
      <c r="L144" s="195">
        <v>339976.7300832331</v>
      </c>
      <c r="M144" s="195">
        <v>0</v>
      </c>
      <c r="N144" s="195">
        <v>2762243.011253938</v>
      </c>
      <c r="O144" s="195">
        <v>1596826.099627907</v>
      </c>
      <c r="P144" s="195">
        <v>4359069.110881845</v>
      </c>
      <c r="Q144" s="195">
        <v>127</v>
      </c>
      <c r="R144" s="195">
        <v>11</v>
      </c>
      <c r="S144" s="195">
        <v>95</v>
      </c>
      <c r="T144" s="195">
        <v>54</v>
      </c>
      <c r="U144" s="195">
        <v>52</v>
      </c>
      <c r="V144" s="195">
        <v>540</v>
      </c>
      <c r="W144" s="195">
        <v>136</v>
      </c>
      <c r="X144" s="195">
        <v>80</v>
      </c>
      <c r="Y144" s="195">
        <v>36</v>
      </c>
      <c r="Z144" s="195">
        <v>0</v>
      </c>
      <c r="AA144" s="195">
        <v>0</v>
      </c>
      <c r="AB144" s="195">
        <v>1123</v>
      </c>
      <c r="AC144" s="195">
        <v>8</v>
      </c>
      <c r="AD144" s="195">
        <v>252</v>
      </c>
      <c r="AE144" s="195">
        <v>1.152467376889802</v>
      </c>
      <c r="AF144" s="195">
        <v>1480552.1124336564</v>
      </c>
      <c r="AG144" s="195">
        <v>3065431.5690015545</v>
      </c>
      <c r="AH144" s="195">
        <v>777528.072427097</v>
      </c>
      <c r="AI144" s="195">
        <v>294331.63979381137</v>
      </c>
      <c r="AJ144" s="195">
        <v>44</v>
      </c>
      <c r="AK144" s="195">
        <v>447</v>
      </c>
      <c r="AL144" s="195">
        <v>0.7413507324066855</v>
      </c>
      <c r="AM144" s="195">
        <v>8</v>
      </c>
      <c r="AN144" s="195">
        <v>0.007073386383731211</v>
      </c>
      <c r="AO144" s="195">
        <v>0.003105132415477243</v>
      </c>
      <c r="AP144" s="195">
        <v>0</v>
      </c>
      <c r="AQ144" s="195">
        <v>0</v>
      </c>
      <c r="AR144" s="195">
        <v>0</v>
      </c>
      <c r="AS144" s="195">
        <v>0</v>
      </c>
      <c r="AT144" s="195">
        <v>0</v>
      </c>
      <c r="AU144" s="195">
        <v>229.88</v>
      </c>
      <c r="AV144" s="195">
        <v>4.91995823908126</v>
      </c>
      <c r="AW144" s="195">
        <v>3.6799733309893883</v>
      </c>
      <c r="AX144" s="195">
        <v>31</v>
      </c>
      <c r="AY144" s="195">
        <v>241</v>
      </c>
      <c r="AZ144" s="195">
        <v>0.12863070539419086</v>
      </c>
      <c r="BA144" s="195">
        <v>0.06360790519152239</v>
      </c>
      <c r="BB144" s="195">
        <v>0</v>
      </c>
      <c r="BC144" s="195">
        <v>249</v>
      </c>
      <c r="BD144" s="195">
        <v>382</v>
      </c>
      <c r="BE144" s="195">
        <v>0.6518324607329843</v>
      </c>
      <c r="BF144" s="195">
        <v>0.22089094269067822</v>
      </c>
      <c r="BG144" s="195">
        <v>0</v>
      </c>
      <c r="BH144" s="195">
        <v>0</v>
      </c>
      <c r="BI144" s="195">
        <v>0</v>
      </c>
      <c r="BJ144" s="195">
        <v>-271.44</v>
      </c>
      <c r="BK144" s="195">
        <v>-4637.099999999999</v>
      </c>
      <c r="BL144" s="195">
        <v>-316.68</v>
      </c>
      <c r="BM144" s="195">
        <v>-1617.33</v>
      </c>
      <c r="BN144" s="195">
        <v>-45.24</v>
      </c>
      <c r="BO144" s="195">
        <v>-5108</v>
      </c>
      <c r="BP144" s="195">
        <v>-25010.507759110755</v>
      </c>
      <c r="BQ144" s="195">
        <v>-96666.56999999999</v>
      </c>
      <c r="BR144" s="195">
        <v>-2330.2481867615134</v>
      </c>
      <c r="BS144" s="195">
        <v>112571</v>
      </c>
      <c r="BT144" s="195">
        <v>33696</v>
      </c>
      <c r="BU144" s="195">
        <v>92424.51788242359</v>
      </c>
      <c r="BV144" s="195">
        <v>5507.555395064793</v>
      </c>
      <c r="BW144" s="195">
        <v>19154.82272696823</v>
      </c>
      <c r="BX144" s="195">
        <v>43544.673574117616</v>
      </c>
      <c r="BY144" s="195">
        <v>65777.08988297192</v>
      </c>
      <c r="BZ144" s="195">
        <v>103253.28900229663</v>
      </c>
      <c r="CA144" s="195">
        <v>27577.014383106103</v>
      </c>
      <c r="CB144" s="195">
        <v>101.78999999999999</v>
      </c>
      <c r="CC144" s="195">
        <v>5668.733182156559</v>
      </c>
      <c r="CD144" s="195">
        <v>501906.09784234385</v>
      </c>
      <c r="CE144" s="195">
        <v>339976.7300832331</v>
      </c>
      <c r="CF144" s="195">
        <v>0</v>
      </c>
      <c r="CG144" s="229">
        <v>1596826.099627907</v>
      </c>
      <c r="CH144" s="195">
        <v>-168722</v>
      </c>
      <c r="CI144" s="195">
        <v>10429.04</v>
      </c>
      <c r="CJ144" s="195">
        <v>4190347.1108818445</v>
      </c>
      <c r="CL144" s="195">
        <v>1134</v>
      </c>
    </row>
    <row r="145" spans="1:90" ht="9.75">
      <c r="A145" s="195">
        <v>484</v>
      </c>
      <c r="B145" s="195" t="s">
        <v>213</v>
      </c>
      <c r="C145" s="195">
        <v>3169</v>
      </c>
      <c r="D145" s="195">
        <v>12521293.63</v>
      </c>
      <c r="E145" s="195">
        <v>4248789.027309051</v>
      </c>
      <c r="F145" s="195">
        <v>885871.995454585</v>
      </c>
      <c r="G145" s="195">
        <v>17655954.652763635</v>
      </c>
      <c r="H145" s="195">
        <v>3540.31</v>
      </c>
      <c r="I145" s="195">
        <v>11219242.39</v>
      </c>
      <c r="J145" s="195">
        <v>6436712.262763634</v>
      </c>
      <c r="K145" s="195">
        <v>479949.2652891105</v>
      </c>
      <c r="L145" s="195">
        <v>1008760.6386037306</v>
      </c>
      <c r="M145" s="195">
        <v>1084767.3924837913</v>
      </c>
      <c r="N145" s="195">
        <v>9010189.559140267</v>
      </c>
      <c r="O145" s="195">
        <v>2510948.3372184606</v>
      </c>
      <c r="P145" s="195">
        <v>11521137.896358728</v>
      </c>
      <c r="Q145" s="195">
        <v>173</v>
      </c>
      <c r="R145" s="195">
        <v>26</v>
      </c>
      <c r="S145" s="195">
        <v>175</v>
      </c>
      <c r="T145" s="195">
        <v>99</v>
      </c>
      <c r="U145" s="195">
        <v>86</v>
      </c>
      <c r="V145" s="195">
        <v>1575</v>
      </c>
      <c r="W145" s="195">
        <v>502</v>
      </c>
      <c r="X145" s="195">
        <v>350</v>
      </c>
      <c r="Y145" s="195">
        <v>183</v>
      </c>
      <c r="Z145" s="195">
        <v>12</v>
      </c>
      <c r="AA145" s="195">
        <v>0</v>
      </c>
      <c r="AB145" s="195">
        <v>3122</v>
      </c>
      <c r="AC145" s="195">
        <v>35</v>
      </c>
      <c r="AD145" s="195">
        <v>1035</v>
      </c>
      <c r="AE145" s="195">
        <v>1.180349104458935</v>
      </c>
      <c r="AF145" s="195">
        <v>4248789.027309051</v>
      </c>
      <c r="AG145" s="195">
        <v>9171416.014476473</v>
      </c>
      <c r="AH145" s="195">
        <v>1992538.3300438337</v>
      </c>
      <c r="AI145" s="195">
        <v>1114892.574976558</v>
      </c>
      <c r="AJ145" s="195">
        <v>206</v>
      </c>
      <c r="AK145" s="195">
        <v>1300</v>
      </c>
      <c r="AL145" s="195">
        <v>1.1934450724033638</v>
      </c>
      <c r="AM145" s="195">
        <v>35</v>
      </c>
      <c r="AN145" s="195">
        <v>0.011044493531082361</v>
      </c>
      <c r="AO145" s="195">
        <v>0.007076239562828393</v>
      </c>
      <c r="AP145" s="195">
        <v>0</v>
      </c>
      <c r="AQ145" s="195">
        <v>12</v>
      </c>
      <c r="AR145" s="195">
        <v>0</v>
      </c>
      <c r="AS145" s="195">
        <v>0</v>
      </c>
      <c r="AT145" s="195">
        <v>0</v>
      </c>
      <c r="AU145" s="195">
        <v>446.08</v>
      </c>
      <c r="AV145" s="195">
        <v>7.104106886657102</v>
      </c>
      <c r="AW145" s="195">
        <v>2.548570200063552</v>
      </c>
      <c r="AX145" s="195">
        <v>188</v>
      </c>
      <c r="AY145" s="195">
        <v>834</v>
      </c>
      <c r="AZ145" s="195">
        <v>0.22541966426858512</v>
      </c>
      <c r="BA145" s="195">
        <v>0.16039686406591663</v>
      </c>
      <c r="BB145" s="195">
        <v>0.5978</v>
      </c>
      <c r="BC145" s="195">
        <v>942</v>
      </c>
      <c r="BD145" s="195">
        <v>1094</v>
      </c>
      <c r="BE145" s="195">
        <v>0.8610603290676416</v>
      </c>
      <c r="BF145" s="195">
        <v>0.43011881102533556</v>
      </c>
      <c r="BG145" s="195">
        <v>0</v>
      </c>
      <c r="BH145" s="195">
        <v>0</v>
      </c>
      <c r="BI145" s="195">
        <v>0</v>
      </c>
      <c r="BJ145" s="195">
        <v>-760.56</v>
      </c>
      <c r="BK145" s="195">
        <v>-12992.9</v>
      </c>
      <c r="BL145" s="195">
        <v>-887.32</v>
      </c>
      <c r="BM145" s="195">
        <v>-4531.67</v>
      </c>
      <c r="BN145" s="195">
        <v>-126.76</v>
      </c>
      <c r="BO145" s="195">
        <v>80593</v>
      </c>
      <c r="BP145" s="195">
        <v>-102042.8716571719</v>
      </c>
      <c r="BQ145" s="195">
        <v>-270854.43</v>
      </c>
      <c r="BR145" s="195">
        <v>74367.37922729924</v>
      </c>
      <c r="BS145" s="195">
        <v>331324</v>
      </c>
      <c r="BT145" s="195">
        <v>93113</v>
      </c>
      <c r="BU145" s="195">
        <v>256823.8610218016</v>
      </c>
      <c r="BV145" s="195">
        <v>13951.650723552873</v>
      </c>
      <c r="BW145" s="195">
        <v>22369.26415276425</v>
      </c>
      <c r="BX145" s="195">
        <v>113238.57277297978</v>
      </c>
      <c r="BY145" s="195">
        <v>151607.59694996048</v>
      </c>
      <c r="BZ145" s="195">
        <v>266347.51058556547</v>
      </c>
      <c r="CA145" s="195">
        <v>76277.97821928734</v>
      </c>
      <c r="CB145" s="195">
        <v>285.21</v>
      </c>
      <c r="CC145" s="195">
        <v>13953.486607691724</v>
      </c>
      <c r="CD145" s="195">
        <v>1494442.6502609025</v>
      </c>
      <c r="CE145" s="195">
        <v>1008760.6386037306</v>
      </c>
      <c r="CF145" s="195">
        <v>1084767.3924837913</v>
      </c>
      <c r="CG145" s="229">
        <v>2510948.3372184606</v>
      </c>
      <c r="CH145" s="195">
        <v>209232</v>
      </c>
      <c r="CI145" s="195">
        <v>10494.221500000014</v>
      </c>
      <c r="CJ145" s="195">
        <v>11730369.896358728</v>
      </c>
      <c r="CL145" s="195">
        <v>3185</v>
      </c>
    </row>
    <row r="146" spans="1:90" ht="9.75">
      <c r="A146" s="195">
        <v>489</v>
      </c>
      <c r="B146" s="195" t="s">
        <v>214</v>
      </c>
      <c r="C146" s="195">
        <v>2034</v>
      </c>
      <c r="D146" s="195">
        <v>7600897.360000001</v>
      </c>
      <c r="E146" s="195">
        <v>4160291.787483636</v>
      </c>
      <c r="F146" s="195">
        <v>742076.891406545</v>
      </c>
      <c r="G146" s="195">
        <v>12503266.038890183</v>
      </c>
      <c r="H146" s="195">
        <v>3540.31</v>
      </c>
      <c r="I146" s="195">
        <v>7200990.54</v>
      </c>
      <c r="J146" s="195">
        <v>5302275.498890183</v>
      </c>
      <c r="K146" s="195">
        <v>238172.01349677242</v>
      </c>
      <c r="L146" s="195">
        <v>693741.2829412117</v>
      </c>
      <c r="M146" s="195">
        <v>0</v>
      </c>
      <c r="N146" s="195">
        <v>6234188.795328167</v>
      </c>
      <c r="O146" s="195">
        <v>1785441.7308000003</v>
      </c>
      <c r="P146" s="195">
        <v>8019630.526128167</v>
      </c>
      <c r="Q146" s="195">
        <v>69</v>
      </c>
      <c r="R146" s="195">
        <v>15</v>
      </c>
      <c r="S146" s="195">
        <v>107</v>
      </c>
      <c r="T146" s="195">
        <v>64</v>
      </c>
      <c r="U146" s="195">
        <v>62</v>
      </c>
      <c r="V146" s="195">
        <v>1025</v>
      </c>
      <c r="W146" s="195">
        <v>339</v>
      </c>
      <c r="X146" s="195">
        <v>249</v>
      </c>
      <c r="Y146" s="195">
        <v>104</v>
      </c>
      <c r="Z146" s="195">
        <v>5</v>
      </c>
      <c r="AA146" s="195">
        <v>0</v>
      </c>
      <c r="AB146" s="195">
        <v>1920</v>
      </c>
      <c r="AC146" s="195">
        <v>109</v>
      </c>
      <c r="AD146" s="195">
        <v>692</v>
      </c>
      <c r="AE146" s="195">
        <v>1.8006959597725534</v>
      </c>
      <c r="AF146" s="195">
        <v>4160291.787483636</v>
      </c>
      <c r="AG146" s="195">
        <v>1925901.5486863647</v>
      </c>
      <c r="AH146" s="195">
        <v>429708.4139355151</v>
      </c>
      <c r="AI146" s="195">
        <v>196221.09319587424</v>
      </c>
      <c r="AJ146" s="195">
        <v>81</v>
      </c>
      <c r="AK146" s="195">
        <v>823</v>
      </c>
      <c r="AL146" s="195">
        <v>0.7412483698290306</v>
      </c>
      <c r="AM146" s="195">
        <v>109</v>
      </c>
      <c r="AN146" s="195">
        <v>0.0535889872173058</v>
      </c>
      <c r="AO146" s="195">
        <v>0.049620733249051835</v>
      </c>
      <c r="AP146" s="195">
        <v>0</v>
      </c>
      <c r="AQ146" s="195">
        <v>5</v>
      </c>
      <c r="AR146" s="195">
        <v>0</v>
      </c>
      <c r="AS146" s="195">
        <v>0</v>
      </c>
      <c r="AT146" s="195">
        <v>0</v>
      </c>
      <c r="AU146" s="195">
        <v>422.26</v>
      </c>
      <c r="AV146" s="195">
        <v>4.816937431913987</v>
      </c>
      <c r="AW146" s="195">
        <v>3.7586776588473336</v>
      </c>
      <c r="AX146" s="195">
        <v>129</v>
      </c>
      <c r="AY146" s="195">
        <v>590</v>
      </c>
      <c r="AZ146" s="195">
        <v>0.21864406779661016</v>
      </c>
      <c r="BA146" s="195">
        <v>0.15362126759394168</v>
      </c>
      <c r="BB146" s="195">
        <v>0.467666</v>
      </c>
      <c r="BC146" s="195">
        <v>533</v>
      </c>
      <c r="BD146" s="195">
        <v>715</v>
      </c>
      <c r="BE146" s="195">
        <v>0.7454545454545455</v>
      </c>
      <c r="BF146" s="195">
        <v>0.3145130274122394</v>
      </c>
      <c r="BG146" s="195">
        <v>0</v>
      </c>
      <c r="BH146" s="195">
        <v>0</v>
      </c>
      <c r="BI146" s="195">
        <v>0</v>
      </c>
      <c r="BJ146" s="195">
        <v>-488.15999999999997</v>
      </c>
      <c r="BK146" s="195">
        <v>-8339.4</v>
      </c>
      <c r="BL146" s="195">
        <v>-569.5200000000001</v>
      </c>
      <c r="BM146" s="195">
        <v>-2908.62</v>
      </c>
      <c r="BN146" s="195">
        <v>-81.36</v>
      </c>
      <c r="BO146" s="195">
        <v>-49160</v>
      </c>
      <c r="BP146" s="195">
        <v>-90037.82793279873</v>
      </c>
      <c r="BQ146" s="195">
        <v>-173845.98</v>
      </c>
      <c r="BR146" s="195">
        <v>129195.3782286048</v>
      </c>
      <c r="BS146" s="195">
        <v>244042</v>
      </c>
      <c r="BT146" s="195">
        <v>68380</v>
      </c>
      <c r="BU146" s="195">
        <v>194514.60255742777</v>
      </c>
      <c r="BV146" s="195">
        <v>9286.78962930894</v>
      </c>
      <c r="BW146" s="195">
        <v>31055.31105772127</v>
      </c>
      <c r="BX146" s="195">
        <v>85533.22699393757</v>
      </c>
      <c r="BY146" s="195">
        <v>101389.57729098982</v>
      </c>
      <c r="BZ146" s="195">
        <v>167634.94692412065</v>
      </c>
      <c r="CA146" s="195">
        <v>52537.402877908506</v>
      </c>
      <c r="CB146" s="195">
        <v>183.06</v>
      </c>
      <c r="CC146" s="195">
        <v>-4699.1846860089645</v>
      </c>
      <c r="CD146" s="195">
        <v>1030015.1508740104</v>
      </c>
      <c r="CE146" s="195">
        <v>693741.2829412117</v>
      </c>
      <c r="CF146" s="195">
        <v>0</v>
      </c>
      <c r="CG146" s="229">
        <v>1785441.7308000003</v>
      </c>
      <c r="CH146" s="195">
        <v>-396875</v>
      </c>
      <c r="CI146" s="195">
        <v>-1203771.942</v>
      </c>
      <c r="CJ146" s="195">
        <v>7622755.526128167</v>
      </c>
      <c r="CL146" s="195">
        <v>2085</v>
      </c>
    </row>
    <row r="147" spans="1:90" ht="9.75">
      <c r="A147" s="195">
        <v>491</v>
      </c>
      <c r="B147" s="195" t="s">
        <v>215</v>
      </c>
      <c r="C147" s="195">
        <v>54517</v>
      </c>
      <c r="D147" s="195">
        <v>182252433.26</v>
      </c>
      <c r="E147" s="195">
        <v>77933208.36045198</v>
      </c>
      <c r="F147" s="195">
        <v>11462574.736410458</v>
      </c>
      <c r="G147" s="195">
        <v>271648216.3568624</v>
      </c>
      <c r="H147" s="195">
        <v>3540.31</v>
      </c>
      <c r="I147" s="195">
        <v>193007080.27</v>
      </c>
      <c r="J147" s="195">
        <v>78641136.08686242</v>
      </c>
      <c r="K147" s="195">
        <v>2082984.4581952635</v>
      </c>
      <c r="L147" s="195">
        <v>11369964.787925659</v>
      </c>
      <c r="M147" s="195">
        <v>0</v>
      </c>
      <c r="N147" s="195">
        <v>92094085.33298334</v>
      </c>
      <c r="O147" s="195">
        <v>20697782.914731998</v>
      </c>
      <c r="P147" s="195">
        <v>112791868.24771534</v>
      </c>
      <c r="Q147" s="195">
        <v>2987</v>
      </c>
      <c r="R147" s="195">
        <v>527</v>
      </c>
      <c r="S147" s="195">
        <v>3267</v>
      </c>
      <c r="T147" s="195">
        <v>1653</v>
      </c>
      <c r="U147" s="195">
        <v>1801</v>
      </c>
      <c r="V147" s="195">
        <v>31046</v>
      </c>
      <c r="W147" s="195">
        <v>7330</v>
      </c>
      <c r="X147" s="195">
        <v>4230</v>
      </c>
      <c r="Y147" s="195">
        <v>1676</v>
      </c>
      <c r="Z147" s="195">
        <v>80</v>
      </c>
      <c r="AA147" s="195">
        <v>0</v>
      </c>
      <c r="AB147" s="195">
        <v>52387</v>
      </c>
      <c r="AC147" s="195">
        <v>2050</v>
      </c>
      <c r="AD147" s="195">
        <v>13236</v>
      </c>
      <c r="AE147" s="195">
        <v>1.2585142974417594</v>
      </c>
      <c r="AF147" s="195">
        <v>77933208.36045198</v>
      </c>
      <c r="AG147" s="195">
        <v>5591857.8393245945</v>
      </c>
      <c r="AH147" s="195">
        <v>1124894.8898747494</v>
      </c>
      <c r="AI147" s="195">
        <v>606501.5607872477</v>
      </c>
      <c r="AJ147" s="195">
        <v>3491</v>
      </c>
      <c r="AK147" s="195">
        <v>25475</v>
      </c>
      <c r="AL147" s="195">
        <v>1.0320820473314187</v>
      </c>
      <c r="AM147" s="195">
        <v>2050</v>
      </c>
      <c r="AN147" s="195">
        <v>0.03760294953867601</v>
      </c>
      <c r="AO147" s="195">
        <v>0.03363469557042204</v>
      </c>
      <c r="AP147" s="195">
        <v>0</v>
      </c>
      <c r="AQ147" s="195">
        <v>80</v>
      </c>
      <c r="AR147" s="195">
        <v>0</v>
      </c>
      <c r="AS147" s="195">
        <v>3</v>
      </c>
      <c r="AT147" s="195">
        <v>341</v>
      </c>
      <c r="AU147" s="195">
        <v>2548.46</v>
      </c>
      <c r="AV147" s="195">
        <v>21.39213485791419</v>
      </c>
      <c r="AW147" s="195">
        <v>0.8463538225453149</v>
      </c>
      <c r="AX147" s="195">
        <v>1871</v>
      </c>
      <c r="AY147" s="195">
        <v>15890</v>
      </c>
      <c r="AZ147" s="195">
        <v>0.11774701069855255</v>
      </c>
      <c r="BA147" s="195">
        <v>0.05272421049588408</v>
      </c>
      <c r="BB147" s="195">
        <v>0</v>
      </c>
      <c r="BC147" s="195">
        <v>22688</v>
      </c>
      <c r="BD147" s="195">
        <v>21892</v>
      </c>
      <c r="BE147" s="195">
        <v>1.036360314270053</v>
      </c>
      <c r="BF147" s="195">
        <v>0.605418796227747</v>
      </c>
      <c r="BG147" s="195">
        <v>0</v>
      </c>
      <c r="BH147" s="195">
        <v>0</v>
      </c>
      <c r="BI147" s="195">
        <v>0</v>
      </c>
      <c r="BJ147" s="195">
        <v>-13084.08</v>
      </c>
      <c r="BK147" s="195">
        <v>-223519.69999999998</v>
      </c>
      <c r="BL147" s="195">
        <v>-15264.760000000002</v>
      </c>
      <c r="BM147" s="195">
        <v>-77959.31</v>
      </c>
      <c r="BN147" s="195">
        <v>-2180.68</v>
      </c>
      <c r="BO147" s="195">
        <v>692000</v>
      </c>
      <c r="BP147" s="195">
        <v>-2275455.995923897</v>
      </c>
      <c r="BQ147" s="195">
        <v>-4659567.99</v>
      </c>
      <c r="BR147" s="195">
        <v>23894.41926728841</v>
      </c>
      <c r="BS147" s="195">
        <v>4322833</v>
      </c>
      <c r="BT147" s="195">
        <v>1361978</v>
      </c>
      <c r="BU147" s="195">
        <v>3066998.8023660365</v>
      </c>
      <c r="BV147" s="195">
        <v>122168.39431532685</v>
      </c>
      <c r="BW147" s="195">
        <v>340435.90893708135</v>
      </c>
      <c r="BX147" s="195">
        <v>1609040.7155045995</v>
      </c>
      <c r="BY147" s="195">
        <v>2742251.6253696885</v>
      </c>
      <c r="BZ147" s="195">
        <v>4236835.159566074</v>
      </c>
      <c r="CA147" s="195">
        <v>1453604.6244768237</v>
      </c>
      <c r="CB147" s="195">
        <v>4906.53</v>
      </c>
      <c r="CC147" s="195">
        <v>265030.60404663614</v>
      </c>
      <c r="CD147" s="195">
        <v>20245248.803849556</v>
      </c>
      <c r="CE147" s="195">
        <v>11369964.787925659</v>
      </c>
      <c r="CF147" s="195">
        <v>0</v>
      </c>
      <c r="CG147" s="229">
        <v>20697782.914731998</v>
      </c>
      <c r="CH147" s="195">
        <v>-617371</v>
      </c>
      <c r="CI147" s="195">
        <v>214355.8809</v>
      </c>
      <c r="CJ147" s="195">
        <v>112174497.24771534</v>
      </c>
      <c r="CL147" s="195">
        <v>54665</v>
      </c>
    </row>
    <row r="148" spans="1:90" ht="9.75">
      <c r="A148" s="195">
        <v>494</v>
      </c>
      <c r="B148" s="195" t="s">
        <v>216</v>
      </c>
      <c r="C148" s="195">
        <v>8995</v>
      </c>
      <c r="D148" s="195">
        <v>35688979.24</v>
      </c>
      <c r="E148" s="195">
        <v>11731026.936686179</v>
      </c>
      <c r="F148" s="195">
        <v>1540502.0837358476</v>
      </c>
      <c r="G148" s="195">
        <v>48960508.26042203</v>
      </c>
      <c r="H148" s="195">
        <v>3540.31</v>
      </c>
      <c r="I148" s="195">
        <v>31845088.45</v>
      </c>
      <c r="J148" s="195">
        <v>17115419.81042203</v>
      </c>
      <c r="K148" s="195">
        <v>169488.67510743113</v>
      </c>
      <c r="L148" s="195">
        <v>1101165.2605401515</v>
      </c>
      <c r="M148" s="195">
        <v>0</v>
      </c>
      <c r="N148" s="195">
        <v>18386073.74606961</v>
      </c>
      <c r="O148" s="195">
        <v>6779418.835418537</v>
      </c>
      <c r="P148" s="195">
        <v>25165492.581488147</v>
      </c>
      <c r="Q148" s="195">
        <v>852</v>
      </c>
      <c r="R148" s="195">
        <v>150</v>
      </c>
      <c r="S148" s="195">
        <v>924</v>
      </c>
      <c r="T148" s="195">
        <v>481</v>
      </c>
      <c r="U148" s="195">
        <v>382</v>
      </c>
      <c r="V148" s="195">
        <v>4730</v>
      </c>
      <c r="W148" s="195">
        <v>789</v>
      </c>
      <c r="X148" s="195">
        <v>469</v>
      </c>
      <c r="Y148" s="195">
        <v>218</v>
      </c>
      <c r="Z148" s="195">
        <v>10</v>
      </c>
      <c r="AA148" s="195">
        <v>0</v>
      </c>
      <c r="AB148" s="195">
        <v>8871</v>
      </c>
      <c r="AC148" s="195">
        <v>114</v>
      </c>
      <c r="AD148" s="195">
        <v>1476</v>
      </c>
      <c r="AE148" s="195">
        <v>1.1481599970041008</v>
      </c>
      <c r="AF148" s="195">
        <v>11731026.936686179</v>
      </c>
      <c r="AG148" s="195">
        <v>4860596.084043755</v>
      </c>
      <c r="AH148" s="195">
        <v>1343881.2713683646</v>
      </c>
      <c r="AI148" s="195">
        <v>561905.8577881852</v>
      </c>
      <c r="AJ148" s="195">
        <v>502</v>
      </c>
      <c r="AK148" s="195">
        <v>3912</v>
      </c>
      <c r="AL148" s="195">
        <v>0.9664590086892647</v>
      </c>
      <c r="AM148" s="195">
        <v>114</v>
      </c>
      <c r="AN148" s="195">
        <v>0.012673707615341857</v>
      </c>
      <c r="AO148" s="195">
        <v>0.008705453647087889</v>
      </c>
      <c r="AP148" s="195">
        <v>0</v>
      </c>
      <c r="AQ148" s="195">
        <v>10</v>
      </c>
      <c r="AR148" s="195">
        <v>0</v>
      </c>
      <c r="AS148" s="195">
        <v>0</v>
      </c>
      <c r="AT148" s="195">
        <v>0</v>
      </c>
      <c r="AU148" s="195">
        <v>783.65</v>
      </c>
      <c r="AV148" s="195">
        <v>11.478338543992855</v>
      </c>
      <c r="AW148" s="195">
        <v>1.5773463241224837</v>
      </c>
      <c r="AX148" s="195">
        <v>243</v>
      </c>
      <c r="AY148" s="195">
        <v>2787</v>
      </c>
      <c r="AZ148" s="195">
        <v>0.08719052744886975</v>
      </c>
      <c r="BA148" s="195">
        <v>0.02216772724620128</v>
      </c>
      <c r="BB148" s="195">
        <v>0</v>
      </c>
      <c r="BC148" s="195">
        <v>2403</v>
      </c>
      <c r="BD148" s="195">
        <v>3294</v>
      </c>
      <c r="BE148" s="195">
        <v>0.7295081967213115</v>
      </c>
      <c r="BF148" s="195">
        <v>0.29856667867900544</v>
      </c>
      <c r="BG148" s="195">
        <v>0</v>
      </c>
      <c r="BH148" s="195">
        <v>0</v>
      </c>
      <c r="BI148" s="195">
        <v>0</v>
      </c>
      <c r="BJ148" s="195">
        <v>-2158.7999999999997</v>
      </c>
      <c r="BK148" s="195">
        <v>-36879.5</v>
      </c>
      <c r="BL148" s="195">
        <v>-2518.6000000000004</v>
      </c>
      <c r="BM148" s="195">
        <v>-12862.849999999999</v>
      </c>
      <c r="BN148" s="195">
        <v>-359.8</v>
      </c>
      <c r="BO148" s="195">
        <v>-149101</v>
      </c>
      <c r="BP148" s="195">
        <v>-391664.5515076744</v>
      </c>
      <c r="BQ148" s="195">
        <v>-768802.65</v>
      </c>
      <c r="BR148" s="195">
        <v>-106345.7427293472</v>
      </c>
      <c r="BS148" s="195">
        <v>653139</v>
      </c>
      <c r="BT148" s="195">
        <v>192506</v>
      </c>
      <c r="BU148" s="195">
        <v>447332.6942989805</v>
      </c>
      <c r="BV148" s="195">
        <v>11353.484939487833</v>
      </c>
      <c r="BW148" s="195">
        <v>31511.033225112184</v>
      </c>
      <c r="BX148" s="195">
        <v>234842.3314750822</v>
      </c>
      <c r="BY148" s="195">
        <v>426890.521875695</v>
      </c>
      <c r="BZ148" s="195">
        <v>628463.0091237711</v>
      </c>
      <c r="CA148" s="195">
        <v>166555.01917787222</v>
      </c>
      <c r="CB148" s="195">
        <v>809.55</v>
      </c>
      <c r="CC148" s="195">
        <v>43268.91066117222</v>
      </c>
      <c r="CD148" s="195">
        <v>2581764.512047826</v>
      </c>
      <c r="CE148" s="195">
        <v>1101165.2605401515</v>
      </c>
      <c r="CF148" s="195">
        <v>0</v>
      </c>
      <c r="CG148" s="229">
        <v>6779418.835418537</v>
      </c>
      <c r="CH148" s="195">
        <v>-320436</v>
      </c>
      <c r="CI148" s="195">
        <v>217957.81059</v>
      </c>
      <c r="CJ148" s="195">
        <v>24845056.581488147</v>
      </c>
      <c r="CL148" s="195">
        <v>9063</v>
      </c>
    </row>
    <row r="149" spans="1:90" ht="9.75">
      <c r="A149" s="195">
        <v>495</v>
      </c>
      <c r="B149" s="195" t="s">
        <v>217</v>
      </c>
      <c r="C149" s="195">
        <v>1663</v>
      </c>
      <c r="D149" s="195">
        <v>6693822.4</v>
      </c>
      <c r="E149" s="195">
        <v>2477639.028386083</v>
      </c>
      <c r="F149" s="195">
        <v>706001.9571762645</v>
      </c>
      <c r="G149" s="195">
        <v>9877463.385562347</v>
      </c>
      <c r="H149" s="195">
        <v>3540.31</v>
      </c>
      <c r="I149" s="195">
        <v>5887535.53</v>
      </c>
      <c r="J149" s="195">
        <v>3989927.855562347</v>
      </c>
      <c r="K149" s="195">
        <v>142228.1601935416</v>
      </c>
      <c r="L149" s="195">
        <v>541412.8871991574</v>
      </c>
      <c r="M149" s="195">
        <v>0</v>
      </c>
      <c r="N149" s="195">
        <v>4673568.902955046</v>
      </c>
      <c r="O149" s="195">
        <v>1269565.4561397703</v>
      </c>
      <c r="P149" s="195">
        <v>5943134.359094816</v>
      </c>
      <c r="Q149" s="195">
        <v>74</v>
      </c>
      <c r="R149" s="195">
        <v>18</v>
      </c>
      <c r="S149" s="195">
        <v>113</v>
      </c>
      <c r="T149" s="195">
        <v>52</v>
      </c>
      <c r="U149" s="195">
        <v>56</v>
      </c>
      <c r="V149" s="195">
        <v>812</v>
      </c>
      <c r="W149" s="195">
        <v>248</v>
      </c>
      <c r="X149" s="195">
        <v>193</v>
      </c>
      <c r="Y149" s="195">
        <v>97</v>
      </c>
      <c r="Z149" s="195">
        <v>1</v>
      </c>
      <c r="AA149" s="195">
        <v>0</v>
      </c>
      <c r="AB149" s="195">
        <v>1646</v>
      </c>
      <c r="AC149" s="195">
        <v>16</v>
      </c>
      <c r="AD149" s="195">
        <v>538</v>
      </c>
      <c r="AE149" s="195">
        <v>1.311636010385691</v>
      </c>
      <c r="AF149" s="195">
        <v>2477639.028386083</v>
      </c>
      <c r="AG149" s="195">
        <v>92131481.21425155</v>
      </c>
      <c r="AH149" s="195">
        <v>26566599.103694987</v>
      </c>
      <c r="AI149" s="195">
        <v>9275906.223804964</v>
      </c>
      <c r="AJ149" s="195">
        <v>92</v>
      </c>
      <c r="AK149" s="195">
        <v>689</v>
      </c>
      <c r="AL149" s="195">
        <v>1.0056507296309714</v>
      </c>
      <c r="AM149" s="195">
        <v>16</v>
      </c>
      <c r="AN149" s="195">
        <v>0.009621166566446182</v>
      </c>
      <c r="AO149" s="195">
        <v>0.005652912598192214</v>
      </c>
      <c r="AP149" s="195">
        <v>0</v>
      </c>
      <c r="AQ149" s="195">
        <v>1</v>
      </c>
      <c r="AR149" s="195">
        <v>0</v>
      </c>
      <c r="AS149" s="195">
        <v>0</v>
      </c>
      <c r="AT149" s="195">
        <v>0</v>
      </c>
      <c r="AU149" s="195">
        <v>733.26</v>
      </c>
      <c r="AV149" s="195">
        <v>2.267954068134086</v>
      </c>
      <c r="AW149" s="195">
        <v>7.983104844930276</v>
      </c>
      <c r="AX149" s="195">
        <v>44</v>
      </c>
      <c r="AY149" s="195">
        <v>396</v>
      </c>
      <c r="AZ149" s="195">
        <v>0.1111111111111111</v>
      </c>
      <c r="BA149" s="195">
        <v>0.046088310908442634</v>
      </c>
      <c r="BB149" s="195">
        <v>0.223333</v>
      </c>
      <c r="BC149" s="195">
        <v>606</v>
      </c>
      <c r="BD149" s="195">
        <v>577</v>
      </c>
      <c r="BE149" s="195">
        <v>1.050259965337955</v>
      </c>
      <c r="BF149" s="195">
        <v>0.6193184472956489</v>
      </c>
      <c r="BG149" s="195">
        <v>0</v>
      </c>
      <c r="BH149" s="195">
        <v>0</v>
      </c>
      <c r="BI149" s="195">
        <v>0</v>
      </c>
      <c r="BJ149" s="195">
        <v>-399.12</v>
      </c>
      <c r="BK149" s="195">
        <v>-6818.299999999999</v>
      </c>
      <c r="BL149" s="195">
        <v>-465.64000000000004</v>
      </c>
      <c r="BM149" s="195">
        <v>-2378.0899999999997</v>
      </c>
      <c r="BN149" s="195">
        <v>-66.52</v>
      </c>
      <c r="BO149" s="195">
        <v>35851</v>
      </c>
      <c r="BP149" s="195">
        <v>-73530.89281178563</v>
      </c>
      <c r="BQ149" s="195">
        <v>-142136.61</v>
      </c>
      <c r="BR149" s="195">
        <v>30935.09080532845</v>
      </c>
      <c r="BS149" s="195">
        <v>201000</v>
      </c>
      <c r="BT149" s="195">
        <v>58208</v>
      </c>
      <c r="BU149" s="195">
        <v>145030.28769449375</v>
      </c>
      <c r="BV149" s="195">
        <v>7608.706656098017</v>
      </c>
      <c r="BW149" s="195">
        <v>11383.485910040366</v>
      </c>
      <c r="BX149" s="195">
        <v>76181.8023706329</v>
      </c>
      <c r="BY149" s="195">
        <v>89379.49012113403</v>
      </c>
      <c r="BZ149" s="195">
        <v>138868.57876536797</v>
      </c>
      <c r="CA149" s="195">
        <v>38570.21217983624</v>
      </c>
      <c r="CB149" s="195">
        <v>149.67</v>
      </c>
      <c r="CC149" s="195">
        <v>-16999.544491988687</v>
      </c>
      <c r="CD149" s="195">
        <v>816266.5600109431</v>
      </c>
      <c r="CE149" s="195">
        <v>541412.8871991574</v>
      </c>
      <c r="CF149" s="195">
        <v>0</v>
      </c>
      <c r="CG149" s="229">
        <v>1269565.4561397703</v>
      </c>
      <c r="CH149" s="195">
        <v>-416018</v>
      </c>
      <c r="CI149" s="195">
        <v>-69596.89481</v>
      </c>
      <c r="CJ149" s="195">
        <v>5527116.359094816</v>
      </c>
      <c r="CL149" s="195">
        <v>1710</v>
      </c>
    </row>
    <row r="150" spans="1:90" ht="9.75">
      <c r="A150" s="195">
        <v>498</v>
      </c>
      <c r="B150" s="195" t="s">
        <v>218</v>
      </c>
      <c r="C150" s="195">
        <v>2350</v>
      </c>
      <c r="D150" s="195">
        <v>7912476.64</v>
      </c>
      <c r="E150" s="195">
        <v>2677848.185817544</v>
      </c>
      <c r="F150" s="195">
        <v>1880175.9046372157</v>
      </c>
      <c r="G150" s="195">
        <v>12470500.73045476</v>
      </c>
      <c r="H150" s="195">
        <v>3540.31</v>
      </c>
      <c r="I150" s="195">
        <v>8319728.5</v>
      </c>
      <c r="J150" s="195">
        <v>4150772.2304547597</v>
      </c>
      <c r="K150" s="195">
        <v>2674442.420574256</v>
      </c>
      <c r="L150" s="195">
        <v>913754.5935669916</v>
      </c>
      <c r="M150" s="195">
        <v>0</v>
      </c>
      <c r="N150" s="195">
        <v>7738969.244596007</v>
      </c>
      <c r="O150" s="195">
        <v>1312983.540857142</v>
      </c>
      <c r="P150" s="195">
        <v>9051952.78545315</v>
      </c>
      <c r="Q150" s="195">
        <v>128</v>
      </c>
      <c r="R150" s="195">
        <v>33</v>
      </c>
      <c r="S150" s="195">
        <v>152</v>
      </c>
      <c r="T150" s="195">
        <v>70</v>
      </c>
      <c r="U150" s="195">
        <v>68</v>
      </c>
      <c r="V150" s="195">
        <v>1308</v>
      </c>
      <c r="W150" s="195">
        <v>335</v>
      </c>
      <c r="X150" s="195">
        <v>189</v>
      </c>
      <c r="Y150" s="195">
        <v>67</v>
      </c>
      <c r="Z150" s="195">
        <v>15</v>
      </c>
      <c r="AA150" s="195">
        <v>4</v>
      </c>
      <c r="AB150" s="195">
        <v>2229</v>
      </c>
      <c r="AC150" s="195">
        <v>102</v>
      </c>
      <c r="AD150" s="195">
        <v>591</v>
      </c>
      <c r="AE150" s="195">
        <v>1.0031956424141086</v>
      </c>
      <c r="AF150" s="195">
        <v>2677848.185817544</v>
      </c>
      <c r="AG150" s="195">
        <v>14642547.768146334</v>
      </c>
      <c r="AH150" s="195">
        <v>3033053.838733037</v>
      </c>
      <c r="AI150" s="195">
        <v>1828423.8229615558</v>
      </c>
      <c r="AJ150" s="195">
        <v>195</v>
      </c>
      <c r="AK150" s="195">
        <v>1093</v>
      </c>
      <c r="AL150" s="195">
        <v>1.3436712257803531</v>
      </c>
      <c r="AM150" s="195">
        <v>102</v>
      </c>
      <c r="AN150" s="195">
        <v>0.04340425531914894</v>
      </c>
      <c r="AO150" s="195">
        <v>0.03943600135089497</v>
      </c>
      <c r="AP150" s="195">
        <v>0</v>
      </c>
      <c r="AQ150" s="195">
        <v>15</v>
      </c>
      <c r="AR150" s="195">
        <v>4</v>
      </c>
      <c r="AS150" s="195">
        <v>0</v>
      </c>
      <c r="AT150" s="195">
        <v>0</v>
      </c>
      <c r="AU150" s="195">
        <v>1904.1</v>
      </c>
      <c r="AV150" s="195">
        <v>1.234178877159813</v>
      </c>
      <c r="AW150" s="195">
        <v>14.669927872259398</v>
      </c>
      <c r="AX150" s="195">
        <v>117</v>
      </c>
      <c r="AY150" s="195">
        <v>678</v>
      </c>
      <c r="AZ150" s="195">
        <v>0.17256637168141592</v>
      </c>
      <c r="BA150" s="195">
        <v>0.10754357147874745</v>
      </c>
      <c r="BB150" s="195">
        <v>1.766666</v>
      </c>
      <c r="BC150" s="195">
        <v>961</v>
      </c>
      <c r="BD150" s="195">
        <v>960</v>
      </c>
      <c r="BE150" s="195">
        <v>1.0010416666666666</v>
      </c>
      <c r="BF150" s="195">
        <v>0.5701001486243605</v>
      </c>
      <c r="BG150" s="195">
        <v>0</v>
      </c>
      <c r="BH150" s="195">
        <v>4</v>
      </c>
      <c r="BI150" s="195">
        <v>0</v>
      </c>
      <c r="BJ150" s="195">
        <v>-564</v>
      </c>
      <c r="BK150" s="195">
        <v>-9635</v>
      </c>
      <c r="BL150" s="195">
        <v>-658.0000000000001</v>
      </c>
      <c r="BM150" s="195">
        <v>-3360.5</v>
      </c>
      <c r="BN150" s="195">
        <v>-94</v>
      </c>
      <c r="BO150" s="195">
        <v>21632</v>
      </c>
      <c r="BP150" s="195">
        <v>-16506.9351210131</v>
      </c>
      <c r="BQ150" s="195">
        <v>-200854.5</v>
      </c>
      <c r="BR150" s="195">
        <v>250073.0429299483</v>
      </c>
      <c r="BS150" s="195">
        <v>181502</v>
      </c>
      <c r="BT150" s="195">
        <v>72651</v>
      </c>
      <c r="BU150" s="195">
        <v>189835.50121662323</v>
      </c>
      <c r="BV150" s="195">
        <v>9827.294284804399</v>
      </c>
      <c r="BW150" s="195">
        <v>18290.03388256738</v>
      </c>
      <c r="BX150" s="195">
        <v>66345.62201419225</v>
      </c>
      <c r="BY150" s="195">
        <v>141999.74252757968</v>
      </c>
      <c r="BZ150" s="195">
        <v>202939.75100335455</v>
      </c>
      <c r="CA150" s="195">
        <v>74380.81561117168</v>
      </c>
      <c r="CB150" s="195">
        <v>211.5</v>
      </c>
      <c r="CC150" s="195">
        <v>-15076.774782236955</v>
      </c>
      <c r="CD150" s="195">
        <v>1214752.5286880047</v>
      </c>
      <c r="CE150" s="195">
        <v>913754.5935669916</v>
      </c>
      <c r="CF150" s="195">
        <v>0</v>
      </c>
      <c r="CG150" s="229">
        <v>1312983.540857142</v>
      </c>
      <c r="CH150" s="195">
        <v>192245</v>
      </c>
      <c r="CI150" s="195">
        <v>57359.719999999994</v>
      </c>
      <c r="CJ150" s="195">
        <v>9244197.78545315</v>
      </c>
      <c r="CL150" s="195">
        <v>2358</v>
      </c>
    </row>
    <row r="151" spans="1:90" ht="9.75">
      <c r="A151" s="195">
        <v>499</v>
      </c>
      <c r="B151" s="195" t="s">
        <v>219</v>
      </c>
      <c r="C151" s="195">
        <v>19380</v>
      </c>
      <c r="D151" s="195">
        <v>71398631.84</v>
      </c>
      <c r="E151" s="195">
        <v>17293883.65166787</v>
      </c>
      <c r="F151" s="195">
        <v>6688406.643589712</v>
      </c>
      <c r="G151" s="195">
        <v>95380922.13525757</v>
      </c>
      <c r="H151" s="195">
        <v>3540.31</v>
      </c>
      <c r="I151" s="195">
        <v>68611207.8</v>
      </c>
      <c r="J151" s="195">
        <v>26769714.335257575</v>
      </c>
      <c r="K151" s="195">
        <v>170227.24690076394</v>
      </c>
      <c r="L151" s="195">
        <v>3522606.8129664017</v>
      </c>
      <c r="M151" s="195">
        <v>0</v>
      </c>
      <c r="N151" s="195">
        <v>30462548.39512474</v>
      </c>
      <c r="O151" s="195">
        <v>2959005.7570081907</v>
      </c>
      <c r="P151" s="195">
        <v>33421554.152132932</v>
      </c>
      <c r="Q151" s="195">
        <v>1585</v>
      </c>
      <c r="R151" s="195">
        <v>296</v>
      </c>
      <c r="S151" s="195">
        <v>1564</v>
      </c>
      <c r="T151" s="195">
        <v>689</v>
      </c>
      <c r="U151" s="195">
        <v>660</v>
      </c>
      <c r="V151" s="195">
        <v>10612</v>
      </c>
      <c r="W151" s="195">
        <v>2176</v>
      </c>
      <c r="X151" s="195">
        <v>1197</v>
      </c>
      <c r="Y151" s="195">
        <v>601</v>
      </c>
      <c r="Z151" s="195">
        <v>13328</v>
      </c>
      <c r="AA151" s="195">
        <v>1</v>
      </c>
      <c r="AB151" s="195">
        <v>5595</v>
      </c>
      <c r="AC151" s="195">
        <v>456</v>
      </c>
      <c r="AD151" s="195">
        <v>3974</v>
      </c>
      <c r="AE151" s="195">
        <v>0.7856087417403259</v>
      </c>
      <c r="AF151" s="195">
        <v>17293883.65166787</v>
      </c>
      <c r="AG151" s="195">
        <v>3056246.6068198318</v>
      </c>
      <c r="AH151" s="195">
        <v>926059.9348360009</v>
      </c>
      <c r="AI151" s="195">
        <v>258655.0773945615</v>
      </c>
      <c r="AJ151" s="195">
        <v>688</v>
      </c>
      <c r="AK151" s="195">
        <v>9586</v>
      </c>
      <c r="AL151" s="195">
        <v>0.5405421704982228</v>
      </c>
      <c r="AM151" s="195">
        <v>456</v>
      </c>
      <c r="AN151" s="195">
        <v>0.023529411764705882</v>
      </c>
      <c r="AO151" s="195">
        <v>0.019561157796451914</v>
      </c>
      <c r="AP151" s="195">
        <v>3</v>
      </c>
      <c r="AQ151" s="195">
        <v>13328</v>
      </c>
      <c r="AR151" s="195">
        <v>1</v>
      </c>
      <c r="AS151" s="195">
        <v>3</v>
      </c>
      <c r="AT151" s="195">
        <v>2191</v>
      </c>
      <c r="AU151" s="195">
        <v>848.83</v>
      </c>
      <c r="AV151" s="195">
        <v>22.831426787460387</v>
      </c>
      <c r="AW151" s="195">
        <v>0.7929997226167425</v>
      </c>
      <c r="AX151" s="195">
        <v>501</v>
      </c>
      <c r="AY151" s="195">
        <v>6348</v>
      </c>
      <c r="AZ151" s="195">
        <v>0.07892249527410208</v>
      </c>
      <c r="BA151" s="195">
        <v>0.013899695071433613</v>
      </c>
      <c r="BB151" s="195">
        <v>0</v>
      </c>
      <c r="BC151" s="195">
        <v>5110</v>
      </c>
      <c r="BD151" s="195">
        <v>8963</v>
      </c>
      <c r="BE151" s="195">
        <v>0.5701216110677229</v>
      </c>
      <c r="BF151" s="195">
        <v>0.13918009302541678</v>
      </c>
      <c r="BG151" s="195">
        <v>0</v>
      </c>
      <c r="BH151" s="195">
        <v>1</v>
      </c>
      <c r="BI151" s="195">
        <v>0</v>
      </c>
      <c r="BJ151" s="195">
        <v>-4651.2</v>
      </c>
      <c r="BK151" s="195">
        <v>-79458</v>
      </c>
      <c r="BL151" s="195">
        <v>-5426.400000000001</v>
      </c>
      <c r="BM151" s="195">
        <v>-27713.399999999998</v>
      </c>
      <c r="BN151" s="195">
        <v>-775.2</v>
      </c>
      <c r="BO151" s="195">
        <v>-186509</v>
      </c>
      <c r="BP151" s="195">
        <v>-243102.13541855654</v>
      </c>
      <c r="BQ151" s="195">
        <v>-1656408.6</v>
      </c>
      <c r="BR151" s="195">
        <v>184900.8623964414</v>
      </c>
      <c r="BS151" s="195">
        <v>1354331</v>
      </c>
      <c r="BT151" s="195">
        <v>457111</v>
      </c>
      <c r="BU151" s="195">
        <v>972889.3078533442</v>
      </c>
      <c r="BV151" s="195">
        <v>21636.19619890987</v>
      </c>
      <c r="BW151" s="195">
        <v>12412.837833004593</v>
      </c>
      <c r="BX151" s="195">
        <v>412351.04040340486</v>
      </c>
      <c r="BY151" s="195">
        <v>922743.1690326901</v>
      </c>
      <c r="BZ151" s="195">
        <v>1507483.560543186</v>
      </c>
      <c r="CA151" s="195">
        <v>502308.89879035315</v>
      </c>
      <c r="CB151" s="195">
        <v>1744.2</v>
      </c>
      <c r="CC151" s="195">
        <v>-52714.12466637585</v>
      </c>
      <c r="CD151" s="195">
        <v>6111851.748384958</v>
      </c>
      <c r="CE151" s="195">
        <v>3522606.8129664017</v>
      </c>
      <c r="CF151" s="195">
        <v>0</v>
      </c>
      <c r="CG151" s="229">
        <v>2959005.7570081907</v>
      </c>
      <c r="CH151" s="195">
        <v>-1909088</v>
      </c>
      <c r="CI151" s="195">
        <v>-5944.552799999947</v>
      </c>
      <c r="CJ151" s="195">
        <v>31512466.152132932</v>
      </c>
      <c r="CL151" s="195">
        <v>19302</v>
      </c>
    </row>
    <row r="152" spans="1:90" ht="9.75">
      <c r="A152" s="195">
        <v>500</v>
      </c>
      <c r="B152" s="195" t="s">
        <v>220</v>
      </c>
      <c r="C152" s="195">
        <v>9941</v>
      </c>
      <c r="D152" s="195">
        <v>35149115.25</v>
      </c>
      <c r="E152" s="195">
        <v>8817740.81428888</v>
      </c>
      <c r="F152" s="195">
        <v>1079391.2287956094</v>
      </c>
      <c r="G152" s="195">
        <v>45046247.293084495</v>
      </c>
      <c r="H152" s="195">
        <v>3540.31</v>
      </c>
      <c r="I152" s="195">
        <v>35194221.71</v>
      </c>
      <c r="J152" s="195">
        <v>9852025.583084494</v>
      </c>
      <c r="K152" s="195">
        <v>121200.11940975944</v>
      </c>
      <c r="L152" s="195">
        <v>710435.3522817246</v>
      </c>
      <c r="M152" s="195">
        <v>0</v>
      </c>
      <c r="N152" s="195">
        <v>10683661.054775978</v>
      </c>
      <c r="O152" s="195">
        <v>212900.3718030737</v>
      </c>
      <c r="P152" s="195">
        <v>10896561.42657905</v>
      </c>
      <c r="Q152" s="195">
        <v>814</v>
      </c>
      <c r="R152" s="195">
        <v>152</v>
      </c>
      <c r="S152" s="195">
        <v>940</v>
      </c>
      <c r="T152" s="195">
        <v>445</v>
      </c>
      <c r="U152" s="195">
        <v>402</v>
      </c>
      <c r="V152" s="195">
        <v>5576</v>
      </c>
      <c r="W152" s="195">
        <v>978</v>
      </c>
      <c r="X152" s="195">
        <v>486</v>
      </c>
      <c r="Y152" s="195">
        <v>148</v>
      </c>
      <c r="Z152" s="195">
        <v>13</v>
      </c>
      <c r="AA152" s="195">
        <v>1</v>
      </c>
      <c r="AB152" s="195">
        <v>9776</v>
      </c>
      <c r="AC152" s="195">
        <v>151</v>
      </c>
      <c r="AD152" s="195">
        <v>1612</v>
      </c>
      <c r="AE152" s="195">
        <v>0.7808988847746161</v>
      </c>
      <c r="AF152" s="195">
        <v>8817740.81428888</v>
      </c>
      <c r="AG152" s="195">
        <v>3342731.5243655844</v>
      </c>
      <c r="AH152" s="195">
        <v>786245.2625227417</v>
      </c>
      <c r="AI152" s="195">
        <v>214059.37439549918</v>
      </c>
      <c r="AJ152" s="195">
        <v>545</v>
      </c>
      <c r="AK152" s="195">
        <v>4771</v>
      </c>
      <c r="AL152" s="195">
        <v>0.8603311611595371</v>
      </c>
      <c r="AM152" s="195">
        <v>151</v>
      </c>
      <c r="AN152" s="195">
        <v>0.015189618750628709</v>
      </c>
      <c r="AO152" s="195">
        <v>0.01122136478237474</v>
      </c>
      <c r="AP152" s="195">
        <v>0</v>
      </c>
      <c r="AQ152" s="195">
        <v>13</v>
      </c>
      <c r="AR152" s="195">
        <v>1</v>
      </c>
      <c r="AS152" s="195">
        <v>0</v>
      </c>
      <c r="AT152" s="195">
        <v>0</v>
      </c>
      <c r="AU152" s="195">
        <v>144.06</v>
      </c>
      <c r="AV152" s="195">
        <v>69.0059697348327</v>
      </c>
      <c r="AW152" s="195">
        <v>0.26237317117596254</v>
      </c>
      <c r="AX152" s="195">
        <v>232</v>
      </c>
      <c r="AY152" s="195">
        <v>3420</v>
      </c>
      <c r="AZ152" s="195">
        <v>0.06783625730994151</v>
      </c>
      <c r="BA152" s="195">
        <v>0.002813457107273043</v>
      </c>
      <c r="BB152" s="195">
        <v>0</v>
      </c>
      <c r="BC152" s="195">
        <v>2592</v>
      </c>
      <c r="BD152" s="195">
        <v>4153</v>
      </c>
      <c r="BE152" s="195">
        <v>0.6241271370093908</v>
      </c>
      <c r="BF152" s="195">
        <v>0.19318561896708475</v>
      </c>
      <c r="BG152" s="195">
        <v>0</v>
      </c>
      <c r="BH152" s="195">
        <v>1</v>
      </c>
      <c r="BI152" s="195">
        <v>0</v>
      </c>
      <c r="BJ152" s="195">
        <v>-2385.8399999999997</v>
      </c>
      <c r="BK152" s="195">
        <v>-40758.1</v>
      </c>
      <c r="BL152" s="195">
        <v>-2783.4800000000005</v>
      </c>
      <c r="BM152" s="195">
        <v>-14215.63</v>
      </c>
      <c r="BN152" s="195">
        <v>-397.64</v>
      </c>
      <c r="BO152" s="195">
        <v>104302</v>
      </c>
      <c r="BP152" s="195">
        <v>-240100.87448746327</v>
      </c>
      <c r="BQ152" s="195">
        <v>-849657.27</v>
      </c>
      <c r="BR152" s="195">
        <v>-63532.664028301835</v>
      </c>
      <c r="BS152" s="195">
        <v>581389</v>
      </c>
      <c r="BT152" s="195">
        <v>183400</v>
      </c>
      <c r="BU152" s="195">
        <v>363140.8708062557</v>
      </c>
      <c r="BV152" s="195">
        <v>3914.9002659224384</v>
      </c>
      <c r="BW152" s="195">
        <v>-423439.1547483835</v>
      </c>
      <c r="BX152" s="195">
        <v>128225.02205424709</v>
      </c>
      <c r="BY152" s="195">
        <v>386549.5045330577</v>
      </c>
      <c r="BZ152" s="195">
        <v>667376.9982023478</v>
      </c>
      <c r="CA152" s="195">
        <v>211878.02063454478</v>
      </c>
      <c r="CB152" s="195">
        <v>894.6899999999999</v>
      </c>
      <c r="CC152" s="195">
        <v>9298.039049497762</v>
      </c>
      <c r="CD152" s="195">
        <v>2153993.686769188</v>
      </c>
      <c r="CE152" s="195">
        <v>710435.3522817246</v>
      </c>
      <c r="CF152" s="195">
        <v>0</v>
      </c>
      <c r="CG152" s="229">
        <v>212900.3718030737</v>
      </c>
      <c r="CH152" s="195">
        <v>-725074</v>
      </c>
      <c r="CI152" s="195">
        <v>-259748.27749999997</v>
      </c>
      <c r="CJ152" s="195">
        <v>10171487.42657905</v>
      </c>
      <c r="CL152" s="195">
        <v>9791</v>
      </c>
    </row>
    <row r="153" spans="1:90" ht="9.75">
      <c r="A153" s="195">
        <v>503</v>
      </c>
      <c r="B153" s="195" t="s">
        <v>221</v>
      </c>
      <c r="C153" s="195">
        <v>7842</v>
      </c>
      <c r="D153" s="195">
        <v>27607017.95</v>
      </c>
      <c r="E153" s="195">
        <v>8359545.8214642415</v>
      </c>
      <c r="F153" s="195">
        <v>1332137.6908475836</v>
      </c>
      <c r="G153" s="195">
        <v>37298701.46231183</v>
      </c>
      <c r="H153" s="195">
        <v>3540.31</v>
      </c>
      <c r="I153" s="195">
        <v>27763111.02</v>
      </c>
      <c r="J153" s="195">
        <v>9535590.442311827</v>
      </c>
      <c r="K153" s="195">
        <v>92415.30699505834</v>
      </c>
      <c r="L153" s="195">
        <v>1768348.5301509015</v>
      </c>
      <c r="M153" s="195">
        <v>0</v>
      </c>
      <c r="N153" s="195">
        <v>11396354.279457787</v>
      </c>
      <c r="O153" s="195">
        <v>3982861.3167847595</v>
      </c>
      <c r="P153" s="195">
        <v>15379215.596242547</v>
      </c>
      <c r="Q153" s="195">
        <v>439</v>
      </c>
      <c r="R153" s="195">
        <v>80</v>
      </c>
      <c r="S153" s="195">
        <v>525</v>
      </c>
      <c r="T153" s="195">
        <v>272</v>
      </c>
      <c r="U153" s="195">
        <v>303</v>
      </c>
      <c r="V153" s="195">
        <v>4319</v>
      </c>
      <c r="W153" s="195">
        <v>1060</v>
      </c>
      <c r="X153" s="195">
        <v>570</v>
      </c>
      <c r="Y153" s="195">
        <v>274</v>
      </c>
      <c r="Z153" s="195">
        <v>61</v>
      </c>
      <c r="AA153" s="195">
        <v>0</v>
      </c>
      <c r="AB153" s="195">
        <v>7652</v>
      </c>
      <c r="AC153" s="195">
        <v>129</v>
      </c>
      <c r="AD153" s="195">
        <v>1904</v>
      </c>
      <c r="AE153" s="195">
        <v>0.938476477931335</v>
      </c>
      <c r="AF153" s="195">
        <v>8359545.8214642415</v>
      </c>
      <c r="AG153" s="195">
        <v>20598500.15150901</v>
      </c>
      <c r="AH153" s="195">
        <v>6328453.588915947</v>
      </c>
      <c r="AI153" s="195">
        <v>1516253.9019681192</v>
      </c>
      <c r="AJ153" s="195">
        <v>387</v>
      </c>
      <c r="AK153" s="195">
        <v>3707</v>
      </c>
      <c r="AL153" s="195">
        <v>0.7862613841644805</v>
      </c>
      <c r="AM153" s="195">
        <v>129</v>
      </c>
      <c r="AN153" s="195">
        <v>0.016449885233358837</v>
      </c>
      <c r="AO153" s="195">
        <v>0.012481631265104869</v>
      </c>
      <c r="AP153" s="195">
        <v>0</v>
      </c>
      <c r="AQ153" s="195">
        <v>61</v>
      </c>
      <c r="AR153" s="195">
        <v>0</v>
      </c>
      <c r="AS153" s="195">
        <v>0</v>
      </c>
      <c r="AT153" s="195">
        <v>0</v>
      </c>
      <c r="AU153" s="195">
        <v>519.86</v>
      </c>
      <c r="AV153" s="195">
        <v>15.084830531296888</v>
      </c>
      <c r="AW153" s="195">
        <v>1.20023324569918</v>
      </c>
      <c r="AX153" s="195">
        <v>356</v>
      </c>
      <c r="AY153" s="195">
        <v>2490</v>
      </c>
      <c r="AZ153" s="195">
        <v>0.1429718875502008</v>
      </c>
      <c r="BA153" s="195">
        <v>0.07794908734753232</v>
      </c>
      <c r="BB153" s="195">
        <v>0</v>
      </c>
      <c r="BC153" s="195">
        <v>2055</v>
      </c>
      <c r="BD153" s="195">
        <v>3327</v>
      </c>
      <c r="BE153" s="195">
        <v>0.6176735798016231</v>
      </c>
      <c r="BF153" s="195">
        <v>0.186732061759317</v>
      </c>
      <c r="BG153" s="195">
        <v>0</v>
      </c>
      <c r="BH153" s="195">
        <v>0</v>
      </c>
      <c r="BI153" s="195">
        <v>0</v>
      </c>
      <c r="BJ153" s="195">
        <v>-1882.08</v>
      </c>
      <c r="BK153" s="195">
        <v>-32152.199999999997</v>
      </c>
      <c r="BL153" s="195">
        <v>-2195.76</v>
      </c>
      <c r="BM153" s="195">
        <v>-11214.06</v>
      </c>
      <c r="BN153" s="195">
        <v>-313.68</v>
      </c>
      <c r="BO153" s="195">
        <v>-137561</v>
      </c>
      <c r="BP153" s="195">
        <v>-202084.90269361492</v>
      </c>
      <c r="BQ153" s="195">
        <v>-670255.74</v>
      </c>
      <c r="BR153" s="195">
        <v>16050.776211857796</v>
      </c>
      <c r="BS153" s="195">
        <v>672555</v>
      </c>
      <c r="BT153" s="195">
        <v>216780</v>
      </c>
      <c r="BU153" s="195">
        <v>474562.0938275964</v>
      </c>
      <c r="BV153" s="195">
        <v>15988.73824683974</v>
      </c>
      <c r="BW153" s="195">
        <v>78732.96706707103</v>
      </c>
      <c r="BX153" s="195">
        <v>195548.96349423224</v>
      </c>
      <c r="BY153" s="195">
        <v>430684.55735492456</v>
      </c>
      <c r="BZ153" s="195">
        <v>726253.7460421171</v>
      </c>
      <c r="CA153" s="195">
        <v>224508.76185975465</v>
      </c>
      <c r="CB153" s="195">
        <v>705.78</v>
      </c>
      <c r="CC153" s="195">
        <v>4505.048740123515</v>
      </c>
      <c r="CD153" s="195">
        <v>2919785.9528445164</v>
      </c>
      <c r="CE153" s="195">
        <v>1768348.5301509015</v>
      </c>
      <c r="CF153" s="195">
        <v>0</v>
      </c>
      <c r="CG153" s="229">
        <v>3982861.3167847595</v>
      </c>
      <c r="CH153" s="195">
        <v>-73574</v>
      </c>
      <c r="CI153" s="195">
        <v>191177.3395000001</v>
      </c>
      <c r="CJ153" s="195">
        <v>15305641.596242547</v>
      </c>
      <c r="CL153" s="195">
        <v>7859</v>
      </c>
    </row>
    <row r="154" spans="1:90" ht="9.75">
      <c r="A154" s="195">
        <v>504</v>
      </c>
      <c r="B154" s="195" t="s">
        <v>222</v>
      </c>
      <c r="C154" s="195">
        <v>1986</v>
      </c>
      <c r="D154" s="195">
        <v>7006324.25</v>
      </c>
      <c r="E154" s="195">
        <v>2080098.6349962172</v>
      </c>
      <c r="F154" s="195">
        <v>595350.9958395754</v>
      </c>
      <c r="G154" s="195">
        <v>9681773.880835792</v>
      </c>
      <c r="H154" s="195">
        <v>3540.31</v>
      </c>
      <c r="I154" s="195">
        <v>7031055.66</v>
      </c>
      <c r="J154" s="195">
        <v>2650718.220835792</v>
      </c>
      <c r="K154" s="195">
        <v>21481.42693098128</v>
      </c>
      <c r="L154" s="195">
        <v>677438.5603855618</v>
      </c>
      <c r="M154" s="195">
        <v>0</v>
      </c>
      <c r="N154" s="195">
        <v>3349638.208152335</v>
      </c>
      <c r="O154" s="195">
        <v>1469403.9347944185</v>
      </c>
      <c r="P154" s="195">
        <v>4819042.142946754</v>
      </c>
      <c r="Q154" s="195">
        <v>125</v>
      </c>
      <c r="R154" s="195">
        <v>23</v>
      </c>
      <c r="S154" s="195">
        <v>146</v>
      </c>
      <c r="T154" s="195">
        <v>52</v>
      </c>
      <c r="U154" s="195">
        <v>56</v>
      </c>
      <c r="V154" s="195">
        <v>1053</v>
      </c>
      <c r="W154" s="195">
        <v>299</v>
      </c>
      <c r="X154" s="195">
        <v>166</v>
      </c>
      <c r="Y154" s="195">
        <v>66</v>
      </c>
      <c r="Z154" s="195">
        <v>190</v>
      </c>
      <c r="AA154" s="195">
        <v>0</v>
      </c>
      <c r="AB154" s="195">
        <v>1728</v>
      </c>
      <c r="AC154" s="195">
        <v>68</v>
      </c>
      <c r="AD154" s="195">
        <v>531</v>
      </c>
      <c r="AE154" s="195">
        <v>0.9220877067901806</v>
      </c>
      <c r="AF154" s="195">
        <v>2080098.6349962172</v>
      </c>
      <c r="AG154" s="195">
        <v>10952307.494761461</v>
      </c>
      <c r="AH154" s="195">
        <v>2354622.4814191977</v>
      </c>
      <c r="AI154" s="195">
        <v>1123811.7155763707</v>
      </c>
      <c r="AJ154" s="195">
        <v>122</v>
      </c>
      <c r="AK154" s="195">
        <v>903</v>
      </c>
      <c r="AL154" s="195">
        <v>1.0175380257995112</v>
      </c>
      <c r="AM154" s="195">
        <v>68</v>
      </c>
      <c r="AN154" s="195">
        <v>0.03423967774420947</v>
      </c>
      <c r="AO154" s="195">
        <v>0.0302714237759555</v>
      </c>
      <c r="AP154" s="195">
        <v>1</v>
      </c>
      <c r="AQ154" s="195">
        <v>190</v>
      </c>
      <c r="AR154" s="195">
        <v>0</v>
      </c>
      <c r="AS154" s="195">
        <v>0</v>
      </c>
      <c r="AT154" s="195">
        <v>0</v>
      </c>
      <c r="AU154" s="195">
        <v>200.35</v>
      </c>
      <c r="AV154" s="195">
        <v>9.912652857499376</v>
      </c>
      <c r="AW154" s="195">
        <v>1.8264853384533737</v>
      </c>
      <c r="AX154" s="195">
        <v>95</v>
      </c>
      <c r="AY154" s="195">
        <v>580</v>
      </c>
      <c r="AZ154" s="195">
        <v>0.16379310344827586</v>
      </c>
      <c r="BA154" s="195">
        <v>0.09877030324560739</v>
      </c>
      <c r="BB154" s="195">
        <v>0</v>
      </c>
      <c r="BC154" s="195">
        <v>465</v>
      </c>
      <c r="BD154" s="195">
        <v>772</v>
      </c>
      <c r="BE154" s="195">
        <v>0.6023316062176166</v>
      </c>
      <c r="BF154" s="195">
        <v>0.17139008817531054</v>
      </c>
      <c r="BG154" s="195">
        <v>0</v>
      </c>
      <c r="BH154" s="195">
        <v>0</v>
      </c>
      <c r="BI154" s="195">
        <v>0</v>
      </c>
      <c r="BJ154" s="195">
        <v>-476.64</v>
      </c>
      <c r="BK154" s="195">
        <v>-8142.599999999999</v>
      </c>
      <c r="BL154" s="195">
        <v>-556.08</v>
      </c>
      <c r="BM154" s="195">
        <v>-2839.98</v>
      </c>
      <c r="BN154" s="195">
        <v>-79.44</v>
      </c>
      <c r="BO154" s="195">
        <v>-5293</v>
      </c>
      <c r="BP154" s="195">
        <v>-82034.46544988328</v>
      </c>
      <c r="BQ154" s="195">
        <v>-169743.41999999998</v>
      </c>
      <c r="BR154" s="195">
        <v>166062.03001650702</v>
      </c>
      <c r="BS154" s="195">
        <v>195468</v>
      </c>
      <c r="BT154" s="195">
        <v>62369</v>
      </c>
      <c r="BU154" s="195">
        <v>141372.8779053007</v>
      </c>
      <c r="BV154" s="195">
        <v>6568.424044971691</v>
      </c>
      <c r="BW154" s="195">
        <v>18572.25033574297</v>
      </c>
      <c r="BX154" s="195">
        <v>55129.76659964208</v>
      </c>
      <c r="BY154" s="195">
        <v>116165.3091711666</v>
      </c>
      <c r="BZ154" s="195">
        <v>177216.08435129444</v>
      </c>
      <c r="CA154" s="195">
        <v>53369.71593996365</v>
      </c>
      <c r="CB154" s="195">
        <v>178.73999999999998</v>
      </c>
      <c r="CC154" s="195">
        <v>12599.827470855751</v>
      </c>
      <c r="CD154" s="195">
        <v>999898.1858354451</v>
      </c>
      <c r="CE154" s="195">
        <v>677438.5603855618</v>
      </c>
      <c r="CF154" s="195">
        <v>0</v>
      </c>
      <c r="CG154" s="229">
        <v>1469403.9347944185</v>
      </c>
      <c r="CH154" s="195">
        <v>-439099</v>
      </c>
      <c r="CI154" s="195">
        <v>-621570.7840000001</v>
      </c>
      <c r="CJ154" s="195">
        <v>4379943.142946754</v>
      </c>
      <c r="CL154" s="195">
        <v>1969</v>
      </c>
    </row>
    <row r="155" spans="1:90" ht="9.75">
      <c r="A155" s="195">
        <v>505</v>
      </c>
      <c r="B155" s="195" t="s">
        <v>223</v>
      </c>
      <c r="C155" s="195">
        <v>20853</v>
      </c>
      <c r="D155" s="195">
        <v>73156369.83</v>
      </c>
      <c r="E155" s="195">
        <v>19940622.673891123</v>
      </c>
      <c r="F155" s="195">
        <v>3087465.7062349143</v>
      </c>
      <c r="G155" s="195">
        <v>96184458.21012604</v>
      </c>
      <c r="H155" s="195">
        <v>3540.31</v>
      </c>
      <c r="I155" s="195">
        <v>73826084.42999999</v>
      </c>
      <c r="J155" s="195">
        <v>22358373.78012605</v>
      </c>
      <c r="K155" s="195">
        <v>276237.9716961265</v>
      </c>
      <c r="L155" s="195">
        <v>3152590.5502477475</v>
      </c>
      <c r="M155" s="195">
        <v>0</v>
      </c>
      <c r="N155" s="195">
        <v>25787202.302069925</v>
      </c>
      <c r="O155" s="195">
        <v>5069308.907317081</v>
      </c>
      <c r="P155" s="195">
        <v>30856511.209387004</v>
      </c>
      <c r="Q155" s="195">
        <v>1603</v>
      </c>
      <c r="R155" s="195">
        <v>288</v>
      </c>
      <c r="S155" s="195">
        <v>1902</v>
      </c>
      <c r="T155" s="195">
        <v>869</v>
      </c>
      <c r="U155" s="195">
        <v>863</v>
      </c>
      <c r="V155" s="195">
        <v>11735</v>
      </c>
      <c r="W155" s="195">
        <v>2160</v>
      </c>
      <c r="X155" s="195">
        <v>1051</v>
      </c>
      <c r="Y155" s="195">
        <v>382</v>
      </c>
      <c r="Z155" s="195">
        <v>197</v>
      </c>
      <c r="AA155" s="195">
        <v>3</v>
      </c>
      <c r="AB155" s="195">
        <v>20111</v>
      </c>
      <c r="AC155" s="195">
        <v>542</v>
      </c>
      <c r="AD155" s="195">
        <v>3593</v>
      </c>
      <c r="AE155" s="195">
        <v>0.8418558219164625</v>
      </c>
      <c r="AF155" s="195">
        <v>19940622.673891123</v>
      </c>
      <c r="AG155" s="195">
        <v>9913250.38809598</v>
      </c>
      <c r="AH155" s="195">
        <v>2571759.7619834333</v>
      </c>
      <c r="AI155" s="195">
        <v>1168407.4185754329</v>
      </c>
      <c r="AJ155" s="195">
        <v>820</v>
      </c>
      <c r="AK155" s="195">
        <v>10105</v>
      </c>
      <c r="AL155" s="195">
        <v>0.6111616604209134</v>
      </c>
      <c r="AM155" s="195">
        <v>542</v>
      </c>
      <c r="AN155" s="195">
        <v>0.025991464057929316</v>
      </c>
      <c r="AO155" s="195">
        <v>0.02202321008967535</v>
      </c>
      <c r="AP155" s="195">
        <v>0</v>
      </c>
      <c r="AQ155" s="195">
        <v>197</v>
      </c>
      <c r="AR155" s="195">
        <v>3</v>
      </c>
      <c r="AS155" s="195">
        <v>0</v>
      </c>
      <c r="AT155" s="195">
        <v>0</v>
      </c>
      <c r="AU155" s="195">
        <v>580.86</v>
      </c>
      <c r="AV155" s="195">
        <v>35.9002169197397</v>
      </c>
      <c r="AW155" s="195">
        <v>0.5043232788781663</v>
      </c>
      <c r="AX155" s="195">
        <v>1060</v>
      </c>
      <c r="AY155" s="195">
        <v>7138</v>
      </c>
      <c r="AZ155" s="195">
        <v>0.14850098066685347</v>
      </c>
      <c r="BA155" s="195">
        <v>0.083478180464185</v>
      </c>
      <c r="BB155" s="195">
        <v>0</v>
      </c>
      <c r="BC155" s="195">
        <v>5956</v>
      </c>
      <c r="BD155" s="195">
        <v>9294</v>
      </c>
      <c r="BE155" s="195">
        <v>0.6408435549817086</v>
      </c>
      <c r="BF155" s="195">
        <v>0.20990203693940257</v>
      </c>
      <c r="BG155" s="195">
        <v>0</v>
      </c>
      <c r="BH155" s="195">
        <v>3</v>
      </c>
      <c r="BI155" s="195">
        <v>0</v>
      </c>
      <c r="BJ155" s="195">
        <v>-5004.72</v>
      </c>
      <c r="BK155" s="195">
        <v>-85497.29999999999</v>
      </c>
      <c r="BL155" s="195">
        <v>-5838.84</v>
      </c>
      <c r="BM155" s="195">
        <v>-29819.789999999997</v>
      </c>
      <c r="BN155" s="195">
        <v>-834.12</v>
      </c>
      <c r="BO155" s="195">
        <v>-224658</v>
      </c>
      <c r="BP155" s="195">
        <v>-484703.64037156646</v>
      </c>
      <c r="BQ155" s="195">
        <v>-1782305.91</v>
      </c>
      <c r="BR155" s="195">
        <v>80214.3359831199</v>
      </c>
      <c r="BS155" s="195">
        <v>1479734</v>
      </c>
      <c r="BT155" s="195">
        <v>475013</v>
      </c>
      <c r="BU155" s="195">
        <v>989053.6281817912</v>
      </c>
      <c r="BV155" s="195">
        <v>9088.89205300404</v>
      </c>
      <c r="BW155" s="195">
        <v>13788.275486488605</v>
      </c>
      <c r="BX155" s="195">
        <v>313030.11754291435</v>
      </c>
      <c r="BY155" s="195">
        <v>1002537.4279780103</v>
      </c>
      <c r="BZ155" s="195">
        <v>1537345.6575770497</v>
      </c>
      <c r="CA155" s="195">
        <v>495828.13027097966</v>
      </c>
      <c r="CB155" s="195">
        <v>1876.77</v>
      </c>
      <c r="CC155" s="195">
        <v>-12345.044454043076</v>
      </c>
      <c r="CD155" s="195">
        <v>6161758.370619314</v>
      </c>
      <c r="CE155" s="195">
        <v>3152590.5502477475</v>
      </c>
      <c r="CF155" s="195">
        <v>0</v>
      </c>
      <c r="CG155" s="229">
        <v>5069308.907317081</v>
      </c>
      <c r="CH155" s="195">
        <v>-2381333</v>
      </c>
      <c r="CI155" s="195">
        <v>-248654.38620000042</v>
      </c>
      <c r="CJ155" s="195">
        <v>28475178.209387004</v>
      </c>
      <c r="CL155" s="195">
        <v>20685</v>
      </c>
    </row>
    <row r="156" spans="1:90" ht="9.75">
      <c r="A156" s="195">
        <v>508</v>
      </c>
      <c r="B156" s="195" t="s">
        <v>224</v>
      </c>
      <c r="C156" s="195">
        <v>10448</v>
      </c>
      <c r="D156" s="195">
        <v>38225120.42</v>
      </c>
      <c r="E156" s="195">
        <v>16411312.87951153</v>
      </c>
      <c r="F156" s="195">
        <v>2097889.9673044956</v>
      </c>
      <c r="G156" s="195">
        <v>56734323.26681603</v>
      </c>
      <c r="H156" s="195">
        <v>3540.31</v>
      </c>
      <c r="I156" s="195">
        <v>36989158.88</v>
      </c>
      <c r="J156" s="195">
        <v>19745164.386816025</v>
      </c>
      <c r="K156" s="195">
        <v>402548.9252468965</v>
      </c>
      <c r="L156" s="195">
        <v>1961833.6907375623</v>
      </c>
      <c r="M156" s="195">
        <v>0</v>
      </c>
      <c r="N156" s="195">
        <v>22109547.002800487</v>
      </c>
      <c r="O156" s="195">
        <v>4395313.275330909</v>
      </c>
      <c r="P156" s="195">
        <v>26504860.278131396</v>
      </c>
      <c r="Q156" s="195">
        <v>455</v>
      </c>
      <c r="R156" s="195">
        <v>81</v>
      </c>
      <c r="S156" s="195">
        <v>570</v>
      </c>
      <c r="T156" s="195">
        <v>323</v>
      </c>
      <c r="U156" s="195">
        <v>351</v>
      </c>
      <c r="V156" s="195">
        <v>5391</v>
      </c>
      <c r="W156" s="195">
        <v>1748</v>
      </c>
      <c r="X156" s="195">
        <v>1028</v>
      </c>
      <c r="Y156" s="195">
        <v>501</v>
      </c>
      <c r="Z156" s="195">
        <v>20</v>
      </c>
      <c r="AA156" s="195">
        <v>4</v>
      </c>
      <c r="AB156" s="195">
        <v>10172</v>
      </c>
      <c r="AC156" s="195">
        <v>252</v>
      </c>
      <c r="AD156" s="195">
        <v>3277</v>
      </c>
      <c r="AE156" s="195">
        <v>1.382858388899587</v>
      </c>
      <c r="AF156" s="195">
        <v>16411312.87951153</v>
      </c>
      <c r="AG156" s="195">
        <v>24061263.933450844</v>
      </c>
      <c r="AH156" s="195">
        <v>5565869.270938525</v>
      </c>
      <c r="AI156" s="195">
        <v>2827367.570140552</v>
      </c>
      <c r="AJ156" s="195">
        <v>640</v>
      </c>
      <c r="AK156" s="195">
        <v>4469</v>
      </c>
      <c r="AL156" s="195">
        <v>1.078569628790784</v>
      </c>
      <c r="AM156" s="195">
        <v>252</v>
      </c>
      <c r="AN156" s="195">
        <v>0.024119448698315466</v>
      </c>
      <c r="AO156" s="195">
        <v>0.020151194730061498</v>
      </c>
      <c r="AP156" s="195">
        <v>0</v>
      </c>
      <c r="AQ156" s="195">
        <v>20</v>
      </c>
      <c r="AR156" s="195">
        <v>4</v>
      </c>
      <c r="AS156" s="195">
        <v>0</v>
      </c>
      <c r="AT156" s="195">
        <v>0</v>
      </c>
      <c r="AU156" s="195">
        <v>535</v>
      </c>
      <c r="AV156" s="195">
        <v>19.528971962616822</v>
      </c>
      <c r="AW156" s="195">
        <v>0.9271002664174286</v>
      </c>
      <c r="AX156" s="195">
        <v>412</v>
      </c>
      <c r="AY156" s="195">
        <v>2833</v>
      </c>
      <c r="AZ156" s="195">
        <v>0.14542887398517473</v>
      </c>
      <c r="BA156" s="195">
        <v>0.08040607378250626</v>
      </c>
      <c r="BB156" s="195">
        <v>0</v>
      </c>
      <c r="BC156" s="195">
        <v>3895</v>
      </c>
      <c r="BD156" s="195">
        <v>3740</v>
      </c>
      <c r="BE156" s="195">
        <v>1.0414438502673797</v>
      </c>
      <c r="BF156" s="195">
        <v>0.6105023322250737</v>
      </c>
      <c r="BG156" s="195">
        <v>0</v>
      </c>
      <c r="BH156" s="195">
        <v>4</v>
      </c>
      <c r="BI156" s="195">
        <v>0</v>
      </c>
      <c r="BJ156" s="195">
        <v>-2507.52</v>
      </c>
      <c r="BK156" s="195">
        <v>-42836.799999999996</v>
      </c>
      <c r="BL156" s="195">
        <v>-2925.44</v>
      </c>
      <c r="BM156" s="195">
        <v>-14940.64</v>
      </c>
      <c r="BN156" s="195">
        <v>-417.92</v>
      </c>
      <c r="BO156" s="195">
        <v>69280</v>
      </c>
      <c r="BP156" s="195">
        <v>-589747.7729598316</v>
      </c>
      <c r="BQ156" s="195">
        <v>-892990.5599999999</v>
      </c>
      <c r="BR156" s="195">
        <v>12822.151121586561</v>
      </c>
      <c r="BS156" s="195">
        <v>803272</v>
      </c>
      <c r="BT156" s="195">
        <v>260536</v>
      </c>
      <c r="BU156" s="195">
        <v>594607.0055709057</v>
      </c>
      <c r="BV156" s="195">
        <v>29984.572558197375</v>
      </c>
      <c r="BW156" s="195">
        <v>81713.79125779483</v>
      </c>
      <c r="BX156" s="195">
        <v>348205.48234426253</v>
      </c>
      <c r="BY156" s="195">
        <v>470837.27244409214</v>
      </c>
      <c r="BZ156" s="195">
        <v>887671.2259239312</v>
      </c>
      <c r="CA156" s="195">
        <v>248352.33437413833</v>
      </c>
      <c r="CB156" s="195">
        <v>940.3199999999999</v>
      </c>
      <c r="CC156" s="195">
        <v>7567.308102485476</v>
      </c>
      <c r="CD156" s="195">
        <v>3816416.343697394</v>
      </c>
      <c r="CE156" s="195">
        <v>1961833.6907375623</v>
      </c>
      <c r="CF156" s="195">
        <v>0</v>
      </c>
      <c r="CG156" s="229">
        <v>4395313.275330909</v>
      </c>
      <c r="CH156" s="195">
        <v>-841976</v>
      </c>
      <c r="CI156" s="195">
        <v>112933.46690000003</v>
      </c>
      <c r="CJ156" s="195">
        <v>25662884.278131396</v>
      </c>
      <c r="CL156" s="195">
        <v>10604</v>
      </c>
    </row>
    <row r="157" spans="1:90" ht="9.75">
      <c r="A157" s="195">
        <v>507</v>
      </c>
      <c r="B157" s="195" t="s">
        <v>225</v>
      </c>
      <c r="C157" s="195">
        <v>6097</v>
      </c>
      <c r="D157" s="195">
        <v>21768880.799999997</v>
      </c>
      <c r="E157" s="195">
        <v>10615561.173777027</v>
      </c>
      <c r="F157" s="195">
        <v>1738911.7693995717</v>
      </c>
      <c r="G157" s="195">
        <v>34123353.743176594</v>
      </c>
      <c r="H157" s="195">
        <v>3540.31</v>
      </c>
      <c r="I157" s="195">
        <v>21585270.07</v>
      </c>
      <c r="J157" s="195">
        <v>12538083.673176594</v>
      </c>
      <c r="K157" s="195">
        <v>429545.58170606196</v>
      </c>
      <c r="L157" s="195">
        <v>1451205.2505941435</v>
      </c>
      <c r="M157" s="195">
        <v>0</v>
      </c>
      <c r="N157" s="195">
        <v>14418834.505476799</v>
      </c>
      <c r="O157" s="195">
        <v>3736835.9989873418</v>
      </c>
      <c r="P157" s="195">
        <v>18155670.504464142</v>
      </c>
      <c r="Q157" s="195">
        <v>263</v>
      </c>
      <c r="R157" s="195">
        <v>47</v>
      </c>
      <c r="S157" s="195">
        <v>316</v>
      </c>
      <c r="T157" s="195">
        <v>190</v>
      </c>
      <c r="U157" s="195">
        <v>165</v>
      </c>
      <c r="V157" s="195">
        <v>3103</v>
      </c>
      <c r="W157" s="195">
        <v>1108</v>
      </c>
      <c r="X157" s="195">
        <v>647</v>
      </c>
      <c r="Y157" s="195">
        <v>258</v>
      </c>
      <c r="Z157" s="195">
        <v>13</v>
      </c>
      <c r="AA157" s="195">
        <v>0</v>
      </c>
      <c r="AB157" s="195">
        <v>5964</v>
      </c>
      <c r="AC157" s="195">
        <v>120</v>
      </c>
      <c r="AD157" s="195">
        <v>2013</v>
      </c>
      <c r="AE157" s="195">
        <v>1.5328311219699229</v>
      </c>
      <c r="AF157" s="195">
        <v>10615561.173777027</v>
      </c>
      <c r="AG157" s="195">
        <v>2400810.3486866704</v>
      </c>
      <c r="AH157" s="195">
        <v>625147.0611447919</v>
      </c>
      <c r="AI157" s="195">
        <v>240816.79619493659</v>
      </c>
      <c r="AJ157" s="195">
        <v>384</v>
      </c>
      <c r="AK157" s="195">
        <v>2596</v>
      </c>
      <c r="AL157" s="195">
        <v>1.1140510795992327</v>
      </c>
      <c r="AM157" s="195">
        <v>120</v>
      </c>
      <c r="AN157" s="195">
        <v>0.019681810726586847</v>
      </c>
      <c r="AO157" s="195">
        <v>0.01571355675833288</v>
      </c>
      <c r="AP157" s="195">
        <v>0</v>
      </c>
      <c r="AQ157" s="195">
        <v>13</v>
      </c>
      <c r="AR157" s="195">
        <v>0</v>
      </c>
      <c r="AS157" s="195">
        <v>0</v>
      </c>
      <c r="AT157" s="195">
        <v>0</v>
      </c>
      <c r="AU157" s="195">
        <v>980.91</v>
      </c>
      <c r="AV157" s="195">
        <v>6.215656890030686</v>
      </c>
      <c r="AW157" s="195">
        <v>2.912856264386107</v>
      </c>
      <c r="AX157" s="195">
        <v>277</v>
      </c>
      <c r="AY157" s="195">
        <v>1541</v>
      </c>
      <c r="AZ157" s="195">
        <v>0.17975340687865024</v>
      </c>
      <c r="BA157" s="195">
        <v>0.11473060667598177</v>
      </c>
      <c r="BB157" s="195">
        <v>0.1874</v>
      </c>
      <c r="BC157" s="195">
        <v>2027</v>
      </c>
      <c r="BD157" s="195">
        <v>2180</v>
      </c>
      <c r="BE157" s="195">
        <v>0.9298165137614679</v>
      </c>
      <c r="BF157" s="195">
        <v>0.49887499571916183</v>
      </c>
      <c r="BG157" s="195">
        <v>0</v>
      </c>
      <c r="BH157" s="195">
        <v>0</v>
      </c>
      <c r="BI157" s="195">
        <v>0</v>
      </c>
      <c r="BJ157" s="195">
        <v>-1463.28</v>
      </c>
      <c r="BK157" s="195">
        <v>-24997.699999999997</v>
      </c>
      <c r="BL157" s="195">
        <v>-1707.16</v>
      </c>
      <c r="BM157" s="195">
        <v>-8718.71</v>
      </c>
      <c r="BN157" s="195">
        <v>-243.88</v>
      </c>
      <c r="BO157" s="195">
        <v>-181678</v>
      </c>
      <c r="BP157" s="195">
        <v>-276616.21581576497</v>
      </c>
      <c r="BQ157" s="195">
        <v>-521110.58999999997</v>
      </c>
      <c r="BR157" s="195">
        <v>122414.00437887199</v>
      </c>
      <c r="BS157" s="195">
        <v>612511</v>
      </c>
      <c r="BT157" s="195">
        <v>180567</v>
      </c>
      <c r="BU157" s="195">
        <v>450385.43213346513</v>
      </c>
      <c r="BV157" s="195">
        <v>24541.28516919258</v>
      </c>
      <c r="BW157" s="195">
        <v>82977.25452723737</v>
      </c>
      <c r="BX157" s="195">
        <v>229492.8758543228</v>
      </c>
      <c r="BY157" s="195">
        <v>315091.644873337</v>
      </c>
      <c r="BZ157" s="195">
        <v>509287.6136667533</v>
      </c>
      <c r="CA157" s="195">
        <v>159162.22503759747</v>
      </c>
      <c r="CB157" s="195">
        <v>548.73</v>
      </c>
      <c r="CC157" s="195">
        <v>-39742.59923086878</v>
      </c>
      <c r="CD157" s="195">
        <v>2465924.2864099084</v>
      </c>
      <c r="CE157" s="195">
        <v>1451205.2505941435</v>
      </c>
      <c r="CF157" s="195">
        <v>0</v>
      </c>
      <c r="CG157" s="229">
        <v>3736835.9989873418</v>
      </c>
      <c r="CH157" s="195">
        <v>-280006</v>
      </c>
      <c r="CI157" s="195">
        <v>76470.9358</v>
      </c>
      <c r="CJ157" s="195">
        <v>17875664.504464142</v>
      </c>
      <c r="CL157" s="195">
        <v>6159</v>
      </c>
    </row>
    <row r="158" spans="1:90" ht="9.75">
      <c r="A158" s="195">
        <v>529</v>
      </c>
      <c r="B158" s="195" t="s">
        <v>226</v>
      </c>
      <c r="C158" s="195">
        <v>19068</v>
      </c>
      <c r="D158" s="195">
        <v>63566576.16</v>
      </c>
      <c r="E158" s="195">
        <v>18275301.809543516</v>
      </c>
      <c r="F158" s="195">
        <v>3660685.8679879825</v>
      </c>
      <c r="G158" s="195">
        <v>85502563.83753149</v>
      </c>
      <c r="H158" s="195">
        <v>3540.31</v>
      </c>
      <c r="I158" s="195">
        <v>67506631.08</v>
      </c>
      <c r="J158" s="195">
        <v>17995932.757531494</v>
      </c>
      <c r="K158" s="195">
        <v>381803.1307839321</v>
      </c>
      <c r="L158" s="195">
        <v>963234.8016349501</v>
      </c>
      <c r="M158" s="195">
        <v>0</v>
      </c>
      <c r="N158" s="195">
        <v>19340970.689950373</v>
      </c>
      <c r="O158" s="195">
        <v>-4175400.9845602713</v>
      </c>
      <c r="P158" s="195">
        <v>15165569.705390101</v>
      </c>
      <c r="Q158" s="195">
        <v>1081</v>
      </c>
      <c r="R158" s="195">
        <v>204</v>
      </c>
      <c r="S158" s="195">
        <v>1309</v>
      </c>
      <c r="T158" s="195">
        <v>684</v>
      </c>
      <c r="U158" s="195">
        <v>686</v>
      </c>
      <c r="V158" s="195">
        <v>10671</v>
      </c>
      <c r="W158" s="195">
        <v>2708</v>
      </c>
      <c r="X158" s="195">
        <v>1260</v>
      </c>
      <c r="Y158" s="195">
        <v>465</v>
      </c>
      <c r="Z158" s="195">
        <v>246</v>
      </c>
      <c r="AA158" s="195">
        <v>1</v>
      </c>
      <c r="AB158" s="195">
        <v>18420</v>
      </c>
      <c r="AC158" s="195">
        <v>401</v>
      </c>
      <c r="AD158" s="195">
        <v>4433</v>
      </c>
      <c r="AE158" s="195">
        <v>0.8437755988536665</v>
      </c>
      <c r="AF158" s="195">
        <v>18275301.809543516</v>
      </c>
      <c r="AG158" s="195">
        <v>11784702.95233818</v>
      </c>
      <c r="AH158" s="195">
        <v>4187156.975941245</v>
      </c>
      <c r="AI158" s="195">
        <v>1213003.1215744952</v>
      </c>
      <c r="AJ158" s="195">
        <v>900</v>
      </c>
      <c r="AK158" s="195">
        <v>9051</v>
      </c>
      <c r="AL158" s="195">
        <v>0.748901175277492</v>
      </c>
      <c r="AM158" s="195">
        <v>401</v>
      </c>
      <c r="AN158" s="195">
        <v>0.021029997902244597</v>
      </c>
      <c r="AO158" s="195">
        <v>0.01706174393399063</v>
      </c>
      <c r="AP158" s="195">
        <v>0</v>
      </c>
      <c r="AQ158" s="195">
        <v>246</v>
      </c>
      <c r="AR158" s="195">
        <v>1</v>
      </c>
      <c r="AS158" s="195">
        <v>3</v>
      </c>
      <c r="AT158" s="195">
        <v>4377</v>
      </c>
      <c r="AU158" s="195">
        <v>311.9</v>
      </c>
      <c r="AV158" s="195">
        <v>61.13497915998718</v>
      </c>
      <c r="AW158" s="195">
        <v>0.2961531247441804</v>
      </c>
      <c r="AX158" s="195">
        <v>690</v>
      </c>
      <c r="AY158" s="195">
        <v>6075</v>
      </c>
      <c r="AZ158" s="195">
        <v>0.11358024691358025</v>
      </c>
      <c r="BA158" s="195">
        <v>0.04855744671091178</v>
      </c>
      <c r="BB158" s="195">
        <v>0</v>
      </c>
      <c r="BC158" s="195">
        <v>5979</v>
      </c>
      <c r="BD158" s="195">
        <v>7991</v>
      </c>
      <c r="BE158" s="195">
        <v>0.7482167438368165</v>
      </c>
      <c r="BF158" s="195">
        <v>0.3172752257945104</v>
      </c>
      <c r="BG158" s="195">
        <v>0</v>
      </c>
      <c r="BH158" s="195">
        <v>1</v>
      </c>
      <c r="BI158" s="195">
        <v>0</v>
      </c>
      <c r="BJ158" s="195">
        <v>-4576.32</v>
      </c>
      <c r="BK158" s="195">
        <v>-78178.79999999999</v>
      </c>
      <c r="BL158" s="195">
        <v>-5339.040000000001</v>
      </c>
      <c r="BM158" s="195">
        <v>-27267.239999999998</v>
      </c>
      <c r="BN158" s="195">
        <v>-762.72</v>
      </c>
      <c r="BO158" s="195">
        <v>-111370</v>
      </c>
      <c r="BP158" s="195">
        <v>-850857.473964948</v>
      </c>
      <c r="BQ158" s="195">
        <v>-1629741.96</v>
      </c>
      <c r="BR158" s="195">
        <v>-180401.39770806208</v>
      </c>
      <c r="BS158" s="195">
        <v>1126269</v>
      </c>
      <c r="BT158" s="195">
        <v>399804</v>
      </c>
      <c r="BU158" s="195">
        <v>766201.2766296709</v>
      </c>
      <c r="BV158" s="195">
        <v>14389.925838253772</v>
      </c>
      <c r="BW158" s="195">
        <v>-431494.31892511674</v>
      </c>
      <c r="BX158" s="195">
        <v>292074.77072624414</v>
      </c>
      <c r="BY158" s="195">
        <v>716649.1748623804</v>
      </c>
      <c r="BZ158" s="195">
        <v>1313253.560745515</v>
      </c>
      <c r="CA158" s="195">
        <v>420754.2834986441</v>
      </c>
      <c r="CB158" s="195">
        <v>1716.12</v>
      </c>
      <c r="CC158" s="195">
        <v>-206526.12006763177</v>
      </c>
      <c r="CD158" s="195">
        <v>4122464.355599898</v>
      </c>
      <c r="CE158" s="195">
        <v>963234.8016349501</v>
      </c>
      <c r="CF158" s="195">
        <v>0</v>
      </c>
      <c r="CG158" s="229">
        <v>-4175400.9845602713</v>
      </c>
      <c r="CH158" s="195">
        <v>-950569</v>
      </c>
      <c r="CI158" s="195">
        <v>-109491.88369999989</v>
      </c>
      <c r="CJ158" s="195">
        <v>14215000.705390101</v>
      </c>
      <c r="CL158" s="195">
        <v>18961</v>
      </c>
    </row>
    <row r="159" spans="1:90" ht="9.75">
      <c r="A159" s="195">
        <v>531</v>
      </c>
      <c r="B159" s="195" t="s">
        <v>227</v>
      </c>
      <c r="C159" s="195">
        <v>5548</v>
      </c>
      <c r="D159" s="195">
        <v>19961052.76</v>
      </c>
      <c r="E159" s="195">
        <v>5902041.97264469</v>
      </c>
      <c r="F159" s="195">
        <v>841036.6732364243</v>
      </c>
      <c r="G159" s="195">
        <v>26704131.405881118</v>
      </c>
      <c r="H159" s="195">
        <v>3540.31</v>
      </c>
      <c r="I159" s="195">
        <v>19641639.88</v>
      </c>
      <c r="J159" s="195">
        <v>7062491.525881119</v>
      </c>
      <c r="K159" s="195">
        <v>102980.45452325552</v>
      </c>
      <c r="L159" s="195">
        <v>1044758.2250706303</v>
      </c>
      <c r="M159" s="195">
        <v>0</v>
      </c>
      <c r="N159" s="195">
        <v>8210230.205475004</v>
      </c>
      <c r="O159" s="195">
        <v>3261391.0648404816</v>
      </c>
      <c r="P159" s="195">
        <v>11471621.270315487</v>
      </c>
      <c r="Q159" s="195">
        <v>327</v>
      </c>
      <c r="R159" s="195">
        <v>53</v>
      </c>
      <c r="S159" s="195">
        <v>394</v>
      </c>
      <c r="T159" s="195">
        <v>201</v>
      </c>
      <c r="U159" s="195">
        <v>202</v>
      </c>
      <c r="V159" s="195">
        <v>2898</v>
      </c>
      <c r="W159" s="195">
        <v>829</v>
      </c>
      <c r="X159" s="195">
        <v>462</v>
      </c>
      <c r="Y159" s="195">
        <v>182</v>
      </c>
      <c r="Z159" s="195">
        <v>24</v>
      </c>
      <c r="AA159" s="195">
        <v>0</v>
      </c>
      <c r="AB159" s="195">
        <v>5461</v>
      </c>
      <c r="AC159" s="195">
        <v>63</v>
      </c>
      <c r="AD159" s="195">
        <v>1473</v>
      </c>
      <c r="AE159" s="195">
        <v>0.9365552193734864</v>
      </c>
      <c r="AF159" s="195">
        <v>5902041.97264469</v>
      </c>
      <c r="AG159" s="195">
        <v>20364514.891901232</v>
      </c>
      <c r="AH159" s="195">
        <v>5344430.000456959</v>
      </c>
      <c r="AI159" s="195">
        <v>1962210.9319587427</v>
      </c>
      <c r="AJ159" s="195">
        <v>334</v>
      </c>
      <c r="AK159" s="195">
        <v>2489</v>
      </c>
      <c r="AL159" s="195">
        <v>1.0106485047559564</v>
      </c>
      <c r="AM159" s="195">
        <v>63</v>
      </c>
      <c r="AN159" s="195">
        <v>0.011355443403028118</v>
      </c>
      <c r="AO159" s="195">
        <v>0.00738718943477415</v>
      </c>
      <c r="AP159" s="195">
        <v>0</v>
      </c>
      <c r="AQ159" s="195">
        <v>24</v>
      </c>
      <c r="AR159" s="195">
        <v>0</v>
      </c>
      <c r="AS159" s="195">
        <v>0</v>
      </c>
      <c r="AT159" s="195">
        <v>0</v>
      </c>
      <c r="AU159" s="195">
        <v>182.91</v>
      </c>
      <c r="AV159" s="195">
        <v>30.33185719752884</v>
      </c>
      <c r="AW159" s="195">
        <v>0.5969075678912138</v>
      </c>
      <c r="AX159" s="195">
        <v>220</v>
      </c>
      <c r="AY159" s="195">
        <v>1695</v>
      </c>
      <c r="AZ159" s="195">
        <v>0.12979351032448377</v>
      </c>
      <c r="BA159" s="195">
        <v>0.0647707101218153</v>
      </c>
      <c r="BB159" s="195">
        <v>0</v>
      </c>
      <c r="BC159" s="195">
        <v>1548</v>
      </c>
      <c r="BD159" s="195">
        <v>2135</v>
      </c>
      <c r="BE159" s="195">
        <v>0.7250585480093676</v>
      </c>
      <c r="BF159" s="195">
        <v>0.29411702996706157</v>
      </c>
      <c r="BG159" s="195">
        <v>0</v>
      </c>
      <c r="BH159" s="195">
        <v>0</v>
      </c>
      <c r="BI159" s="195">
        <v>0</v>
      </c>
      <c r="BJ159" s="195">
        <v>-1331.52</v>
      </c>
      <c r="BK159" s="195">
        <v>-22746.8</v>
      </c>
      <c r="BL159" s="195">
        <v>-1553.44</v>
      </c>
      <c r="BM159" s="195">
        <v>-7933.639999999999</v>
      </c>
      <c r="BN159" s="195">
        <v>-221.92000000000002</v>
      </c>
      <c r="BO159" s="195">
        <v>-28716</v>
      </c>
      <c r="BP159" s="195">
        <v>-197082.80114179276</v>
      </c>
      <c r="BQ159" s="195">
        <v>-474187.56</v>
      </c>
      <c r="BR159" s="195">
        <v>-12822.98214763403</v>
      </c>
      <c r="BS159" s="195">
        <v>438841</v>
      </c>
      <c r="BT159" s="195">
        <v>144033</v>
      </c>
      <c r="BU159" s="195">
        <v>315657.2615734365</v>
      </c>
      <c r="BV159" s="195">
        <v>13267.612924917235</v>
      </c>
      <c r="BW159" s="195">
        <v>5784.877426108886</v>
      </c>
      <c r="BX159" s="195">
        <v>154824.90383729787</v>
      </c>
      <c r="BY159" s="195">
        <v>277279.57392231474</v>
      </c>
      <c r="BZ159" s="195">
        <v>446750.8001192693</v>
      </c>
      <c r="CA159" s="195">
        <v>128636.00200883782</v>
      </c>
      <c r="CB159" s="195">
        <v>499.32</v>
      </c>
      <c r="CC159" s="195">
        <v>29113.656547874874</v>
      </c>
      <c r="CD159" s="195">
        <v>1913481.9062124232</v>
      </c>
      <c r="CE159" s="195">
        <v>1044758.2250706303</v>
      </c>
      <c r="CF159" s="195">
        <v>0</v>
      </c>
      <c r="CG159" s="229">
        <v>3261391.0648404816</v>
      </c>
      <c r="CH159" s="195">
        <v>-531352</v>
      </c>
      <c r="CI159" s="195">
        <v>-36423.42219999997</v>
      </c>
      <c r="CJ159" s="195">
        <v>10940269.270315487</v>
      </c>
      <c r="CL159" s="195">
        <v>5651</v>
      </c>
    </row>
    <row r="160" spans="1:90" ht="9.75">
      <c r="A160" s="195">
        <v>535</v>
      </c>
      <c r="B160" s="195" t="s">
        <v>228</v>
      </c>
      <c r="C160" s="195">
        <v>10889</v>
      </c>
      <c r="D160" s="195">
        <v>43670918.44</v>
      </c>
      <c r="E160" s="195">
        <v>16844827.7532516</v>
      </c>
      <c r="F160" s="195">
        <v>1500830.5471239984</v>
      </c>
      <c r="G160" s="195">
        <v>62016576.74037559</v>
      </c>
      <c r="H160" s="195">
        <v>3540.31</v>
      </c>
      <c r="I160" s="195">
        <v>38550435.589999996</v>
      </c>
      <c r="J160" s="195">
        <v>23466141.150375597</v>
      </c>
      <c r="K160" s="195">
        <v>319774.37858888187</v>
      </c>
      <c r="L160" s="195">
        <v>2608018.194546125</v>
      </c>
      <c r="M160" s="195">
        <v>0</v>
      </c>
      <c r="N160" s="195">
        <v>26393933.723510604</v>
      </c>
      <c r="O160" s="195">
        <v>11479223.591345115</v>
      </c>
      <c r="P160" s="195">
        <v>37873157.31485572</v>
      </c>
      <c r="Q160" s="195">
        <v>995</v>
      </c>
      <c r="R160" s="195">
        <v>190</v>
      </c>
      <c r="S160" s="195">
        <v>1044</v>
      </c>
      <c r="T160" s="195">
        <v>506</v>
      </c>
      <c r="U160" s="195">
        <v>457</v>
      </c>
      <c r="V160" s="195">
        <v>5494</v>
      </c>
      <c r="W160" s="195">
        <v>1160</v>
      </c>
      <c r="X160" s="195">
        <v>715</v>
      </c>
      <c r="Y160" s="195">
        <v>328</v>
      </c>
      <c r="Z160" s="195">
        <v>7</v>
      </c>
      <c r="AA160" s="195">
        <v>0</v>
      </c>
      <c r="AB160" s="195">
        <v>10798</v>
      </c>
      <c r="AC160" s="195">
        <v>84</v>
      </c>
      <c r="AD160" s="195">
        <v>2203</v>
      </c>
      <c r="AE160" s="195">
        <v>1.3619028348520608</v>
      </c>
      <c r="AF160" s="195">
        <v>16844827.7532516</v>
      </c>
      <c r="AG160" s="195">
        <v>23484098.090456177</v>
      </c>
      <c r="AH160" s="195">
        <v>4464899.482884725</v>
      </c>
      <c r="AI160" s="195">
        <v>2738176.1641424266</v>
      </c>
      <c r="AJ160" s="195">
        <v>551</v>
      </c>
      <c r="AK160" s="195">
        <v>4571</v>
      </c>
      <c r="AL160" s="195">
        <v>0.907860132751782</v>
      </c>
      <c r="AM160" s="195">
        <v>84</v>
      </c>
      <c r="AN160" s="195">
        <v>0.007714206997887776</v>
      </c>
      <c r="AO160" s="195">
        <v>0.003745953029633808</v>
      </c>
      <c r="AP160" s="195">
        <v>0</v>
      </c>
      <c r="AQ160" s="195">
        <v>7</v>
      </c>
      <c r="AR160" s="195">
        <v>0</v>
      </c>
      <c r="AS160" s="195">
        <v>0</v>
      </c>
      <c r="AT160" s="195">
        <v>0</v>
      </c>
      <c r="AU160" s="195">
        <v>527.87</v>
      </c>
      <c r="AV160" s="195">
        <v>20.628184969784225</v>
      </c>
      <c r="AW160" s="195">
        <v>0.8776979232986747</v>
      </c>
      <c r="AX160" s="195">
        <v>310</v>
      </c>
      <c r="AY160" s="195">
        <v>2871</v>
      </c>
      <c r="AZ160" s="195">
        <v>0.1079763148728666</v>
      </c>
      <c r="BA160" s="195">
        <v>0.04295351467019813</v>
      </c>
      <c r="BB160" s="195">
        <v>0</v>
      </c>
      <c r="BC160" s="195">
        <v>3482</v>
      </c>
      <c r="BD160" s="195">
        <v>3885</v>
      </c>
      <c r="BE160" s="195">
        <v>0.8962676962676963</v>
      </c>
      <c r="BF160" s="195">
        <v>0.46532617822539024</v>
      </c>
      <c r="BG160" s="195">
        <v>0</v>
      </c>
      <c r="BH160" s="195">
        <v>0</v>
      </c>
      <c r="BI160" s="195">
        <v>0</v>
      </c>
      <c r="BJ160" s="195">
        <v>-2613.36</v>
      </c>
      <c r="BK160" s="195">
        <v>-44644.899999999994</v>
      </c>
      <c r="BL160" s="195">
        <v>-3048.92</v>
      </c>
      <c r="BM160" s="195">
        <v>-15571.269999999999</v>
      </c>
      <c r="BN160" s="195">
        <v>-435.56</v>
      </c>
      <c r="BO160" s="195">
        <v>-75295</v>
      </c>
      <c r="BP160" s="195">
        <v>-345645.21723091067</v>
      </c>
      <c r="BQ160" s="195">
        <v>-930682.83</v>
      </c>
      <c r="BR160" s="195">
        <v>74965.71019779146</v>
      </c>
      <c r="BS160" s="195">
        <v>959779</v>
      </c>
      <c r="BT160" s="195">
        <v>298038</v>
      </c>
      <c r="BU160" s="195">
        <v>742244.5716010841</v>
      </c>
      <c r="BV160" s="195">
        <v>31395.044960570765</v>
      </c>
      <c r="BW160" s="195">
        <v>86216.86642767818</v>
      </c>
      <c r="BX160" s="195">
        <v>384828.58999843674</v>
      </c>
      <c r="BY160" s="195">
        <v>586699.586095908</v>
      </c>
      <c r="BZ160" s="195">
        <v>917056.1474282783</v>
      </c>
      <c r="CA160" s="195">
        <v>248359.72539936053</v>
      </c>
      <c r="CB160" s="195">
        <v>980.01</v>
      </c>
      <c r="CC160" s="195">
        <v>15964.159667927612</v>
      </c>
      <c r="CD160" s="195">
        <v>4271885.751777035</v>
      </c>
      <c r="CE160" s="195">
        <v>2608018.194546125</v>
      </c>
      <c r="CF160" s="195">
        <v>0</v>
      </c>
      <c r="CG160" s="229">
        <v>11479223.591345115</v>
      </c>
      <c r="CH160" s="195">
        <v>-1146288</v>
      </c>
      <c r="CI160" s="195">
        <v>-70161.36659999998</v>
      </c>
      <c r="CJ160" s="195">
        <v>36726869.31485572</v>
      </c>
      <c r="CL160" s="195">
        <v>10876</v>
      </c>
    </row>
    <row r="161" spans="1:90" ht="9.75">
      <c r="A161" s="195">
        <v>536</v>
      </c>
      <c r="B161" s="195" t="s">
        <v>229</v>
      </c>
      <c r="C161" s="195">
        <v>33210</v>
      </c>
      <c r="D161" s="195">
        <v>115095893.95000002</v>
      </c>
      <c r="E161" s="195">
        <v>31063297.220013466</v>
      </c>
      <c r="F161" s="195">
        <v>5246985.7008595625</v>
      </c>
      <c r="G161" s="195">
        <v>151406176.87087306</v>
      </c>
      <c r="H161" s="195">
        <v>3540.31</v>
      </c>
      <c r="I161" s="195">
        <v>117573695.1</v>
      </c>
      <c r="J161" s="195">
        <v>33832481.77087307</v>
      </c>
      <c r="K161" s="195">
        <v>733290.9847549824</v>
      </c>
      <c r="L161" s="195">
        <v>3647070.210220999</v>
      </c>
      <c r="M161" s="195">
        <v>0</v>
      </c>
      <c r="N161" s="195">
        <v>38212842.96584905</v>
      </c>
      <c r="O161" s="195">
        <v>3546868.0857397225</v>
      </c>
      <c r="P161" s="195">
        <v>41759711.051588774</v>
      </c>
      <c r="Q161" s="195">
        <v>2425</v>
      </c>
      <c r="R161" s="195">
        <v>443</v>
      </c>
      <c r="S161" s="195">
        <v>2851</v>
      </c>
      <c r="T161" s="195">
        <v>1194</v>
      </c>
      <c r="U161" s="195">
        <v>1150</v>
      </c>
      <c r="V161" s="195">
        <v>18744</v>
      </c>
      <c r="W161" s="195">
        <v>3805</v>
      </c>
      <c r="X161" s="195">
        <v>1855</v>
      </c>
      <c r="Y161" s="195">
        <v>743</v>
      </c>
      <c r="Z161" s="195">
        <v>106</v>
      </c>
      <c r="AA161" s="195">
        <v>0</v>
      </c>
      <c r="AB161" s="195">
        <v>32282</v>
      </c>
      <c r="AC161" s="195">
        <v>822</v>
      </c>
      <c r="AD161" s="195">
        <v>6403</v>
      </c>
      <c r="AE161" s="195">
        <v>0.8234670455213323</v>
      </c>
      <c r="AF161" s="195">
        <v>31063297.220013466</v>
      </c>
      <c r="AG161" s="195">
        <v>7845048.00445753</v>
      </c>
      <c r="AH161" s="195">
        <v>1245992.1323722522</v>
      </c>
      <c r="AI161" s="195">
        <v>900833.200581059</v>
      </c>
      <c r="AJ161" s="195">
        <v>2292</v>
      </c>
      <c r="AK161" s="195">
        <v>15781</v>
      </c>
      <c r="AL161" s="195">
        <v>1.0938522414298941</v>
      </c>
      <c r="AM161" s="195">
        <v>822</v>
      </c>
      <c r="AN161" s="195">
        <v>0.024751580849141825</v>
      </c>
      <c r="AO161" s="195">
        <v>0.020783326880887857</v>
      </c>
      <c r="AP161" s="195">
        <v>0</v>
      </c>
      <c r="AQ161" s="195">
        <v>106</v>
      </c>
      <c r="AR161" s="195">
        <v>0</v>
      </c>
      <c r="AS161" s="195">
        <v>0</v>
      </c>
      <c r="AT161" s="195">
        <v>0</v>
      </c>
      <c r="AU161" s="195">
        <v>288.19</v>
      </c>
      <c r="AV161" s="195">
        <v>115.23647593601443</v>
      </c>
      <c r="AW161" s="195">
        <v>0.15711444629262705</v>
      </c>
      <c r="AX161" s="195">
        <v>1215</v>
      </c>
      <c r="AY161" s="195">
        <v>11558</v>
      </c>
      <c r="AZ161" s="195">
        <v>0.1051219934244679</v>
      </c>
      <c r="BA161" s="195">
        <v>0.04009919322179943</v>
      </c>
      <c r="BB161" s="195">
        <v>0</v>
      </c>
      <c r="BC161" s="195">
        <v>10288</v>
      </c>
      <c r="BD161" s="195">
        <v>13176</v>
      </c>
      <c r="BE161" s="195">
        <v>0.7808136004857317</v>
      </c>
      <c r="BF161" s="195">
        <v>0.3498720824434256</v>
      </c>
      <c r="BG161" s="195">
        <v>0</v>
      </c>
      <c r="BH161" s="195">
        <v>0</v>
      </c>
      <c r="BI161" s="195">
        <v>0</v>
      </c>
      <c r="BJ161" s="195">
        <v>-7970.4</v>
      </c>
      <c r="BK161" s="195">
        <v>-136161</v>
      </c>
      <c r="BL161" s="195">
        <v>-9298.800000000001</v>
      </c>
      <c r="BM161" s="195">
        <v>-47490.299999999996</v>
      </c>
      <c r="BN161" s="195">
        <v>-1328.4</v>
      </c>
      <c r="BO161" s="195">
        <v>591491</v>
      </c>
      <c r="BP161" s="195">
        <v>-1290542.200370115</v>
      </c>
      <c r="BQ161" s="195">
        <v>-2838458.7</v>
      </c>
      <c r="BR161" s="195">
        <v>-794237.1566494778</v>
      </c>
      <c r="BS161" s="195">
        <v>2025008</v>
      </c>
      <c r="BT161" s="195">
        <v>639058</v>
      </c>
      <c r="BU161" s="195">
        <v>1293658.0277316587</v>
      </c>
      <c r="BV161" s="195">
        <v>16113.233209466209</v>
      </c>
      <c r="BW161" s="195">
        <v>29726.065003372754</v>
      </c>
      <c r="BX161" s="195">
        <v>685453.0718300026</v>
      </c>
      <c r="BY161" s="195">
        <v>1344889.1313814824</v>
      </c>
      <c r="BZ161" s="195">
        <v>2233952.074535946</v>
      </c>
      <c r="CA161" s="195">
        <v>696277.775913277</v>
      </c>
      <c r="CB161" s="195">
        <v>2988.9</v>
      </c>
      <c r="CC161" s="195">
        <v>191644.28763538686</v>
      </c>
      <c r="CD161" s="195">
        <v>8958015.010591114</v>
      </c>
      <c r="CE161" s="195">
        <v>3647070.210220999</v>
      </c>
      <c r="CF161" s="195">
        <v>0</v>
      </c>
      <c r="CG161" s="229">
        <v>3546868.0857397225</v>
      </c>
      <c r="CH161" s="195">
        <v>-2199549</v>
      </c>
      <c r="CI161" s="195">
        <v>-301747.3252099999</v>
      </c>
      <c r="CJ161" s="195">
        <v>39560162.051588774</v>
      </c>
      <c r="CL161" s="195">
        <v>33162</v>
      </c>
    </row>
    <row r="162" spans="1:90" ht="9.75">
      <c r="A162" s="195">
        <v>538</v>
      </c>
      <c r="B162" s="195" t="s">
        <v>230</v>
      </c>
      <c r="C162" s="195">
        <v>4815</v>
      </c>
      <c r="D162" s="195">
        <v>17451549.11</v>
      </c>
      <c r="E162" s="195">
        <v>4148060.9294166835</v>
      </c>
      <c r="F162" s="195">
        <v>599434.7927124546</v>
      </c>
      <c r="G162" s="195">
        <v>22199044.832129136</v>
      </c>
      <c r="H162" s="195">
        <v>3540.31</v>
      </c>
      <c r="I162" s="195">
        <v>17046592.65</v>
      </c>
      <c r="J162" s="195">
        <v>5152452.182129137</v>
      </c>
      <c r="K162" s="195">
        <v>11410.989226206386</v>
      </c>
      <c r="L162" s="195">
        <v>1067935.718371611</v>
      </c>
      <c r="M162" s="195">
        <v>0</v>
      </c>
      <c r="N162" s="195">
        <v>6231798.8897269545</v>
      </c>
      <c r="O162" s="195">
        <v>1975971.3987504765</v>
      </c>
      <c r="P162" s="195">
        <v>8207770.288477431</v>
      </c>
      <c r="Q162" s="195">
        <v>371</v>
      </c>
      <c r="R162" s="195">
        <v>70</v>
      </c>
      <c r="S162" s="195">
        <v>419</v>
      </c>
      <c r="T162" s="195">
        <v>209</v>
      </c>
      <c r="U162" s="195">
        <v>176</v>
      </c>
      <c r="V162" s="195">
        <v>2730</v>
      </c>
      <c r="W162" s="195">
        <v>485</v>
      </c>
      <c r="X162" s="195">
        <v>227</v>
      </c>
      <c r="Y162" s="195">
        <v>128</v>
      </c>
      <c r="Z162" s="195">
        <v>33</v>
      </c>
      <c r="AA162" s="195">
        <v>1</v>
      </c>
      <c r="AB162" s="195">
        <v>4724</v>
      </c>
      <c r="AC162" s="195">
        <v>57</v>
      </c>
      <c r="AD162" s="195">
        <v>840</v>
      </c>
      <c r="AE162" s="195">
        <v>0.7584315356862363</v>
      </c>
      <c r="AF162" s="195">
        <v>4148060.9294166835</v>
      </c>
      <c r="AG162" s="195">
        <v>19328266.13698196</v>
      </c>
      <c r="AH162" s="195">
        <v>5700363.060985614</v>
      </c>
      <c r="AI162" s="195">
        <v>1997887.4943579922</v>
      </c>
      <c r="AJ162" s="195">
        <v>220</v>
      </c>
      <c r="AK162" s="195">
        <v>2429</v>
      </c>
      <c r="AL162" s="195">
        <v>0.6821403404400749</v>
      </c>
      <c r="AM162" s="195">
        <v>57</v>
      </c>
      <c r="AN162" s="195">
        <v>0.011838006230529595</v>
      </c>
      <c r="AO162" s="195">
        <v>0.007869752262275627</v>
      </c>
      <c r="AP162" s="195">
        <v>0</v>
      </c>
      <c r="AQ162" s="195">
        <v>33</v>
      </c>
      <c r="AR162" s="195">
        <v>1</v>
      </c>
      <c r="AS162" s="195">
        <v>0</v>
      </c>
      <c r="AT162" s="195">
        <v>0</v>
      </c>
      <c r="AU162" s="195">
        <v>198.97</v>
      </c>
      <c r="AV162" s="195">
        <v>24.199628084635876</v>
      </c>
      <c r="AW162" s="195">
        <v>0.7481650150191957</v>
      </c>
      <c r="AX162" s="195">
        <v>201</v>
      </c>
      <c r="AY162" s="195">
        <v>1712</v>
      </c>
      <c r="AZ162" s="195">
        <v>0.11740654205607477</v>
      </c>
      <c r="BA162" s="195">
        <v>0.0523837418534063</v>
      </c>
      <c r="BB162" s="195">
        <v>0</v>
      </c>
      <c r="BC162" s="195">
        <v>1026</v>
      </c>
      <c r="BD162" s="195">
        <v>2190</v>
      </c>
      <c r="BE162" s="195">
        <v>0.4684931506849315</v>
      </c>
      <c r="BF162" s="195">
        <v>0.037551632642625454</v>
      </c>
      <c r="BG162" s="195">
        <v>0</v>
      </c>
      <c r="BH162" s="195">
        <v>1</v>
      </c>
      <c r="BI162" s="195">
        <v>0</v>
      </c>
      <c r="BJ162" s="195">
        <v>-1155.6</v>
      </c>
      <c r="BK162" s="195">
        <v>-19741.5</v>
      </c>
      <c r="BL162" s="195">
        <v>-1348.2</v>
      </c>
      <c r="BM162" s="195">
        <v>-6885.45</v>
      </c>
      <c r="BN162" s="195">
        <v>-192.6</v>
      </c>
      <c r="BO162" s="195">
        <v>-33501</v>
      </c>
      <c r="BP162" s="195">
        <v>-76532.15374287892</v>
      </c>
      <c r="BQ162" s="195">
        <v>-411538.05</v>
      </c>
      <c r="BR162" s="195">
        <v>79742.1947365161</v>
      </c>
      <c r="BS162" s="195">
        <v>391270</v>
      </c>
      <c r="BT162" s="195">
        <v>123013</v>
      </c>
      <c r="BU162" s="195">
        <v>242596.63038865852</v>
      </c>
      <c r="BV162" s="195">
        <v>3579.7945299190155</v>
      </c>
      <c r="BW162" s="195">
        <v>17659.404046923213</v>
      </c>
      <c r="BX162" s="195">
        <v>96120.12557031705</v>
      </c>
      <c r="BY162" s="195">
        <v>243463.35821764384</v>
      </c>
      <c r="BZ162" s="195">
        <v>418804.3747541638</v>
      </c>
      <c r="CA162" s="195">
        <v>138475.49627501806</v>
      </c>
      <c r="CB162" s="195">
        <v>433.34999999999997</v>
      </c>
      <c r="CC162" s="195">
        <v>5426.143595330752</v>
      </c>
      <c r="CD162" s="195">
        <v>1727371.77211449</v>
      </c>
      <c r="CE162" s="195">
        <v>1067935.718371611</v>
      </c>
      <c r="CF162" s="195">
        <v>0</v>
      </c>
      <c r="CG162" s="229">
        <v>1975971.3987504765</v>
      </c>
      <c r="CH162" s="195">
        <v>406508</v>
      </c>
      <c r="CI162" s="195">
        <v>-117548.31710000001</v>
      </c>
      <c r="CJ162" s="195">
        <v>8614278.288477432</v>
      </c>
      <c r="CL162" s="195">
        <v>4859</v>
      </c>
    </row>
    <row r="163" spans="1:90" ht="9.75">
      <c r="A163" s="195">
        <v>541</v>
      </c>
      <c r="B163" s="195" t="s">
        <v>231</v>
      </c>
      <c r="C163" s="195">
        <v>7885</v>
      </c>
      <c r="D163" s="195">
        <v>28530514.2</v>
      </c>
      <c r="E163" s="195">
        <v>16578185.55118853</v>
      </c>
      <c r="F163" s="195">
        <v>2498421.0751586095</v>
      </c>
      <c r="G163" s="195">
        <v>47607120.82634714</v>
      </c>
      <c r="H163" s="195">
        <v>3540.31</v>
      </c>
      <c r="I163" s="195">
        <v>27915344.349999998</v>
      </c>
      <c r="J163" s="195">
        <v>19691776.476347145</v>
      </c>
      <c r="K163" s="195">
        <v>1891454.1933610383</v>
      </c>
      <c r="L163" s="195">
        <v>2365400.8349388232</v>
      </c>
      <c r="M163" s="195">
        <v>0</v>
      </c>
      <c r="N163" s="195">
        <v>23948631.50464701</v>
      </c>
      <c r="O163" s="195">
        <v>6197424.637479026</v>
      </c>
      <c r="P163" s="195">
        <v>30146056.142126035</v>
      </c>
      <c r="Q163" s="195">
        <v>359</v>
      </c>
      <c r="R163" s="195">
        <v>63</v>
      </c>
      <c r="S163" s="195">
        <v>412</v>
      </c>
      <c r="T163" s="195">
        <v>224</v>
      </c>
      <c r="U163" s="195">
        <v>228</v>
      </c>
      <c r="V163" s="195">
        <v>4063</v>
      </c>
      <c r="W163" s="195">
        <v>1322</v>
      </c>
      <c r="X163" s="195">
        <v>856</v>
      </c>
      <c r="Y163" s="195">
        <v>358</v>
      </c>
      <c r="Z163" s="195">
        <v>6</v>
      </c>
      <c r="AA163" s="195">
        <v>0</v>
      </c>
      <c r="AB163" s="195">
        <v>7748</v>
      </c>
      <c r="AC163" s="195">
        <v>131</v>
      </c>
      <c r="AD163" s="195">
        <v>2536</v>
      </c>
      <c r="AE163" s="195">
        <v>1.850984771515194</v>
      </c>
      <c r="AF163" s="195">
        <v>16578185.55118853</v>
      </c>
      <c r="AG163" s="195">
        <v>39858969.37339421</v>
      </c>
      <c r="AH163" s="195">
        <v>8504128.384475635</v>
      </c>
      <c r="AI163" s="195">
        <v>4013613.26991561</v>
      </c>
      <c r="AJ163" s="195">
        <v>582</v>
      </c>
      <c r="AK163" s="195">
        <v>3370</v>
      </c>
      <c r="AL163" s="195">
        <v>1.3006835610906988</v>
      </c>
      <c r="AM163" s="195">
        <v>131</v>
      </c>
      <c r="AN163" s="195">
        <v>0.016613823715916298</v>
      </c>
      <c r="AO163" s="195">
        <v>0.01264556974766233</v>
      </c>
      <c r="AP163" s="195">
        <v>0</v>
      </c>
      <c r="AQ163" s="195">
        <v>6</v>
      </c>
      <c r="AR163" s="195">
        <v>0</v>
      </c>
      <c r="AS163" s="195">
        <v>0</v>
      </c>
      <c r="AT163" s="195">
        <v>0</v>
      </c>
      <c r="AU163" s="195">
        <v>1601.04</v>
      </c>
      <c r="AV163" s="195">
        <v>4.924923799530306</v>
      </c>
      <c r="AW163" s="195">
        <v>3.6762629933740842</v>
      </c>
      <c r="AX163" s="195">
        <v>313</v>
      </c>
      <c r="AY163" s="195">
        <v>1975</v>
      </c>
      <c r="AZ163" s="195">
        <v>0.15848101265822784</v>
      </c>
      <c r="BA163" s="195">
        <v>0.09345821245555937</v>
      </c>
      <c r="BB163" s="195">
        <v>0.965</v>
      </c>
      <c r="BC163" s="195">
        <v>2894</v>
      </c>
      <c r="BD163" s="195">
        <v>2750</v>
      </c>
      <c r="BE163" s="195">
        <v>1.0523636363636364</v>
      </c>
      <c r="BF163" s="195">
        <v>0.6214221183213303</v>
      </c>
      <c r="BG163" s="195">
        <v>0</v>
      </c>
      <c r="BH163" s="195">
        <v>0</v>
      </c>
      <c r="BI163" s="195">
        <v>0</v>
      </c>
      <c r="BJ163" s="195">
        <v>-1892.3999999999999</v>
      </c>
      <c r="BK163" s="195">
        <v>-32328.499999999996</v>
      </c>
      <c r="BL163" s="195">
        <v>-2207.8</v>
      </c>
      <c r="BM163" s="195">
        <v>-11275.55</v>
      </c>
      <c r="BN163" s="195">
        <v>-315.40000000000003</v>
      </c>
      <c r="BO163" s="195">
        <v>193779</v>
      </c>
      <c r="BP163" s="195">
        <v>-300626.3032645113</v>
      </c>
      <c r="BQ163" s="195">
        <v>-673930.95</v>
      </c>
      <c r="BR163" s="195">
        <v>-89808.90800933167</v>
      </c>
      <c r="BS163" s="195">
        <v>756826</v>
      </c>
      <c r="BT163" s="195">
        <v>234773</v>
      </c>
      <c r="BU163" s="195">
        <v>639524.9180393966</v>
      </c>
      <c r="BV163" s="195">
        <v>35355.39664014255</v>
      </c>
      <c r="BW163" s="195">
        <v>112339.74465221076</v>
      </c>
      <c r="BX163" s="195">
        <v>332146.3313516602</v>
      </c>
      <c r="BY163" s="195">
        <v>434638.1382878318</v>
      </c>
      <c r="BZ163" s="195">
        <v>682224.9709488422</v>
      </c>
      <c r="CA163" s="195">
        <v>242807.01222851875</v>
      </c>
      <c r="CB163" s="195">
        <v>709.65</v>
      </c>
      <c r="CC163" s="195">
        <v>44796.88406406356</v>
      </c>
      <c r="CD163" s="195">
        <v>3620585.2382033346</v>
      </c>
      <c r="CE163" s="195">
        <v>2365400.8349388232</v>
      </c>
      <c r="CF163" s="195">
        <v>0</v>
      </c>
      <c r="CG163" s="229">
        <v>6197424.637479026</v>
      </c>
      <c r="CH163" s="195">
        <v>-775230</v>
      </c>
      <c r="CI163" s="195">
        <v>-109504.92000000001</v>
      </c>
      <c r="CJ163" s="195">
        <v>29370826.142126035</v>
      </c>
      <c r="CL163" s="195">
        <v>7996</v>
      </c>
    </row>
    <row r="164" spans="1:90" ht="9.75">
      <c r="A164" s="195">
        <v>543</v>
      </c>
      <c r="B164" s="195" t="s">
        <v>232</v>
      </c>
      <c r="C164" s="195">
        <v>42010</v>
      </c>
      <c r="D164" s="195">
        <v>145536356.54</v>
      </c>
      <c r="E164" s="195">
        <v>36411054.448896</v>
      </c>
      <c r="F164" s="195">
        <v>6483026.971062673</v>
      </c>
      <c r="G164" s="195">
        <v>188430437.95995864</v>
      </c>
      <c r="H164" s="195">
        <v>3540.31</v>
      </c>
      <c r="I164" s="195">
        <v>148728423.1</v>
      </c>
      <c r="J164" s="195">
        <v>39702014.85995865</v>
      </c>
      <c r="K164" s="195">
        <v>471891.80427186296</v>
      </c>
      <c r="L164" s="195">
        <v>3125346.1589547005</v>
      </c>
      <c r="M164" s="195">
        <v>0</v>
      </c>
      <c r="N164" s="195">
        <v>43299252.82318521</v>
      </c>
      <c r="O164" s="195">
        <v>-6674439.048155241</v>
      </c>
      <c r="P164" s="195">
        <v>36624813.77502997</v>
      </c>
      <c r="Q164" s="195">
        <v>3233</v>
      </c>
      <c r="R164" s="195">
        <v>590</v>
      </c>
      <c r="S164" s="195">
        <v>3989</v>
      </c>
      <c r="T164" s="195">
        <v>1954</v>
      </c>
      <c r="U164" s="195">
        <v>1900</v>
      </c>
      <c r="V164" s="195">
        <v>23912</v>
      </c>
      <c r="W164" s="195">
        <v>3999</v>
      </c>
      <c r="X164" s="195">
        <v>1913</v>
      </c>
      <c r="Y164" s="195">
        <v>520</v>
      </c>
      <c r="Z164" s="195">
        <v>486</v>
      </c>
      <c r="AA164" s="195">
        <v>1</v>
      </c>
      <c r="AB164" s="195">
        <v>39869</v>
      </c>
      <c r="AC164" s="195">
        <v>1654</v>
      </c>
      <c r="AD164" s="195">
        <v>6432</v>
      </c>
      <c r="AE164" s="195">
        <v>0.7630414349152636</v>
      </c>
      <c r="AF164" s="195">
        <v>36411054.448896</v>
      </c>
      <c r="AG164" s="195">
        <v>5434457.983807587</v>
      </c>
      <c r="AH164" s="195">
        <v>1042591.0301405474</v>
      </c>
      <c r="AI164" s="195">
        <v>606501.5607872476</v>
      </c>
      <c r="AJ164" s="195">
        <v>1577</v>
      </c>
      <c r="AK164" s="195">
        <v>21020</v>
      </c>
      <c r="AL164" s="195">
        <v>0.565037861060233</v>
      </c>
      <c r="AM164" s="195">
        <v>1654</v>
      </c>
      <c r="AN164" s="195">
        <v>0.0393715781956677</v>
      </c>
      <c r="AO164" s="195">
        <v>0.035403324227413734</v>
      </c>
      <c r="AP164" s="195">
        <v>0</v>
      </c>
      <c r="AQ164" s="195">
        <v>486</v>
      </c>
      <c r="AR164" s="195">
        <v>1</v>
      </c>
      <c r="AS164" s="195">
        <v>0</v>
      </c>
      <c r="AT164" s="195">
        <v>0</v>
      </c>
      <c r="AU164" s="195">
        <v>361.86</v>
      </c>
      <c r="AV164" s="195">
        <v>116.09462222959155</v>
      </c>
      <c r="AW164" s="195">
        <v>0.1559530903472431</v>
      </c>
      <c r="AX164" s="195">
        <v>2182</v>
      </c>
      <c r="AY164" s="195">
        <v>15177</v>
      </c>
      <c r="AZ164" s="195">
        <v>0.14377017855966265</v>
      </c>
      <c r="BA164" s="195">
        <v>0.07874737835699418</v>
      </c>
      <c r="BB164" s="195">
        <v>0</v>
      </c>
      <c r="BC164" s="195">
        <v>11756</v>
      </c>
      <c r="BD164" s="195">
        <v>19306</v>
      </c>
      <c r="BE164" s="195">
        <v>0.6089298663627888</v>
      </c>
      <c r="BF164" s="195">
        <v>0.17798834832048271</v>
      </c>
      <c r="BG164" s="195">
        <v>0</v>
      </c>
      <c r="BH164" s="195">
        <v>1</v>
      </c>
      <c r="BI164" s="195">
        <v>0</v>
      </c>
      <c r="BJ164" s="195">
        <v>-10082.4</v>
      </c>
      <c r="BK164" s="195">
        <v>-172240.99999999997</v>
      </c>
      <c r="BL164" s="195">
        <v>-11762.800000000001</v>
      </c>
      <c r="BM164" s="195">
        <v>-60074.299999999996</v>
      </c>
      <c r="BN164" s="195">
        <v>-1680.4</v>
      </c>
      <c r="BO164" s="195">
        <v>244629</v>
      </c>
      <c r="BP164" s="195">
        <v>-1595170.184876084</v>
      </c>
      <c r="BQ164" s="195">
        <v>-3590594.6999999997</v>
      </c>
      <c r="BR164" s="195">
        <v>-528898.4591088146</v>
      </c>
      <c r="BS164" s="195">
        <v>2508951</v>
      </c>
      <c r="BT164" s="195">
        <v>815872</v>
      </c>
      <c r="BU164" s="195">
        <v>1541302.5968424971</v>
      </c>
      <c r="BV164" s="195">
        <v>-2689.5568037836974</v>
      </c>
      <c r="BW164" s="195">
        <v>-252744.74866968312</v>
      </c>
      <c r="BX164" s="195">
        <v>461128.2963192452</v>
      </c>
      <c r="BY164" s="195">
        <v>1697250.0701201775</v>
      </c>
      <c r="BZ164" s="195">
        <v>2641548.730693181</v>
      </c>
      <c r="CA164" s="195">
        <v>772378.8438964307</v>
      </c>
      <c r="CB164" s="195">
        <v>3780.8999999999996</v>
      </c>
      <c r="CC164" s="195">
        <v>-98782.32945846539</v>
      </c>
      <c r="CD164" s="195">
        <v>9806246.943830784</v>
      </c>
      <c r="CE164" s="195">
        <v>3125346.1589547005</v>
      </c>
      <c r="CF164" s="195">
        <v>0</v>
      </c>
      <c r="CG164" s="229">
        <v>-6674439.048155241</v>
      </c>
      <c r="CH164" s="195">
        <v>-6430304</v>
      </c>
      <c r="CI164" s="195">
        <v>-327568.3246199999</v>
      </c>
      <c r="CJ164" s="195">
        <v>30194509.775029972</v>
      </c>
      <c r="CL164" s="195">
        <v>41897</v>
      </c>
    </row>
    <row r="165" spans="1:90" ht="9.75">
      <c r="A165" s="195">
        <v>545</v>
      </c>
      <c r="B165" s="195" t="s">
        <v>233</v>
      </c>
      <c r="C165" s="195">
        <v>9439</v>
      </c>
      <c r="D165" s="195">
        <v>35753357.29000001</v>
      </c>
      <c r="E165" s="195">
        <v>10074868.160197927</v>
      </c>
      <c r="F165" s="195">
        <v>5978569.603292536</v>
      </c>
      <c r="G165" s="195">
        <v>51806795.053490475</v>
      </c>
      <c r="H165" s="195">
        <v>3540.31</v>
      </c>
      <c r="I165" s="195">
        <v>33416986.09</v>
      </c>
      <c r="J165" s="195">
        <v>18389808.963490475</v>
      </c>
      <c r="K165" s="195">
        <v>652356.3631973213</v>
      </c>
      <c r="L165" s="195">
        <v>3246164.3306752853</v>
      </c>
      <c r="M165" s="195">
        <v>0</v>
      </c>
      <c r="N165" s="195">
        <v>22288329.657363083</v>
      </c>
      <c r="O165" s="195">
        <v>6294652.169645713</v>
      </c>
      <c r="P165" s="195">
        <v>28582981.827008795</v>
      </c>
      <c r="Q165" s="195">
        <v>578</v>
      </c>
      <c r="R165" s="195">
        <v>101</v>
      </c>
      <c r="S165" s="195">
        <v>520</v>
      </c>
      <c r="T165" s="195">
        <v>267</v>
      </c>
      <c r="U165" s="195">
        <v>269</v>
      </c>
      <c r="V165" s="195">
        <v>5048</v>
      </c>
      <c r="W165" s="195">
        <v>1308</v>
      </c>
      <c r="X165" s="195">
        <v>848</v>
      </c>
      <c r="Y165" s="195">
        <v>500</v>
      </c>
      <c r="Z165" s="195">
        <v>7682</v>
      </c>
      <c r="AA165" s="195">
        <v>0</v>
      </c>
      <c r="AB165" s="195">
        <v>514</v>
      </c>
      <c r="AC165" s="195">
        <v>1243</v>
      </c>
      <c r="AD165" s="195">
        <v>2656</v>
      </c>
      <c r="AE165" s="195">
        <v>0.9396820540105241</v>
      </c>
      <c r="AF165" s="195">
        <v>10074868.160197927</v>
      </c>
      <c r="AG165" s="195">
        <v>18422093.62706069</v>
      </c>
      <c r="AH165" s="195">
        <v>6917637.5238219965</v>
      </c>
      <c r="AI165" s="195">
        <v>1435981.6365698068</v>
      </c>
      <c r="AJ165" s="195">
        <v>200</v>
      </c>
      <c r="AK165" s="195">
        <v>4448</v>
      </c>
      <c r="AL165" s="195">
        <v>0.33864431142269086</v>
      </c>
      <c r="AM165" s="195">
        <v>1243</v>
      </c>
      <c r="AN165" s="195">
        <v>0.13168767877953172</v>
      </c>
      <c r="AO165" s="195">
        <v>0.12771942481127774</v>
      </c>
      <c r="AP165" s="195">
        <v>3</v>
      </c>
      <c r="AQ165" s="195">
        <v>7682</v>
      </c>
      <c r="AR165" s="195">
        <v>0</v>
      </c>
      <c r="AS165" s="195">
        <v>3</v>
      </c>
      <c r="AT165" s="195">
        <v>98</v>
      </c>
      <c r="AU165" s="195">
        <v>977.52</v>
      </c>
      <c r="AV165" s="195">
        <v>9.656068418037483</v>
      </c>
      <c r="AW165" s="195">
        <v>1.8750193479967396</v>
      </c>
      <c r="AX165" s="195">
        <v>596</v>
      </c>
      <c r="AY165" s="195">
        <v>2747</v>
      </c>
      <c r="AZ165" s="195">
        <v>0.21696396068438295</v>
      </c>
      <c r="BA165" s="195">
        <v>0.15194116048171447</v>
      </c>
      <c r="BB165" s="195">
        <v>0.152383</v>
      </c>
      <c r="BC165" s="195">
        <v>4271</v>
      </c>
      <c r="BD165" s="195">
        <v>4171</v>
      </c>
      <c r="BE165" s="195">
        <v>1.0239750659314313</v>
      </c>
      <c r="BF165" s="195">
        <v>0.5930335478891252</v>
      </c>
      <c r="BG165" s="195">
        <v>0</v>
      </c>
      <c r="BH165" s="195">
        <v>0</v>
      </c>
      <c r="BI165" s="195">
        <v>0</v>
      </c>
      <c r="BJ165" s="195">
        <v>-2265.36</v>
      </c>
      <c r="BK165" s="195">
        <v>-38699.899999999994</v>
      </c>
      <c r="BL165" s="195">
        <v>-2642.92</v>
      </c>
      <c r="BM165" s="195">
        <v>-13497.769999999999</v>
      </c>
      <c r="BN165" s="195">
        <v>-377.56</v>
      </c>
      <c r="BO165" s="195">
        <v>-230722</v>
      </c>
      <c r="BP165" s="195">
        <v>-129554.43019219371</v>
      </c>
      <c r="BQ165" s="195">
        <v>-806751.33</v>
      </c>
      <c r="BR165" s="195">
        <v>236161.79568575323</v>
      </c>
      <c r="BS165" s="195">
        <v>882100</v>
      </c>
      <c r="BT165" s="195">
        <v>360351</v>
      </c>
      <c r="BU165" s="195">
        <v>862960.744308594</v>
      </c>
      <c r="BV165" s="195">
        <v>51821.1785332741</v>
      </c>
      <c r="BW165" s="195">
        <v>100620.96981149455</v>
      </c>
      <c r="BX165" s="195">
        <v>341477.81833302096</v>
      </c>
      <c r="BY165" s="195">
        <v>661809.1977842076</v>
      </c>
      <c r="BZ165" s="195">
        <v>988815.4396264588</v>
      </c>
      <c r="CA165" s="195">
        <v>340082.1036645482</v>
      </c>
      <c r="CB165" s="195">
        <v>849.51</v>
      </c>
      <c r="CC165" s="195">
        <v>-78489.99687987202</v>
      </c>
      <c r="CD165" s="195">
        <v>4518404.100867479</v>
      </c>
      <c r="CE165" s="195">
        <v>3246164.3306752853</v>
      </c>
      <c r="CF165" s="195">
        <v>0</v>
      </c>
      <c r="CG165" s="229">
        <v>6294652.169645713</v>
      </c>
      <c r="CH165" s="195">
        <v>81680</v>
      </c>
      <c r="CI165" s="195">
        <v>-37935.633</v>
      </c>
      <c r="CJ165" s="195">
        <v>28664661.827008795</v>
      </c>
      <c r="CL165" s="195">
        <v>9387</v>
      </c>
    </row>
    <row r="166" spans="1:90" ht="9.75">
      <c r="A166" s="195">
        <v>560</v>
      </c>
      <c r="B166" s="195" t="s">
        <v>234</v>
      </c>
      <c r="C166" s="195">
        <v>16279</v>
      </c>
      <c r="D166" s="195">
        <v>57510049.15</v>
      </c>
      <c r="E166" s="195">
        <v>17968917.64308568</v>
      </c>
      <c r="F166" s="195">
        <v>3136446.4417096376</v>
      </c>
      <c r="G166" s="195">
        <v>78615413.23479532</v>
      </c>
      <c r="H166" s="195">
        <v>3540.31</v>
      </c>
      <c r="I166" s="195">
        <v>57632706.49</v>
      </c>
      <c r="J166" s="195">
        <v>20982706.744795315</v>
      </c>
      <c r="K166" s="195">
        <v>284577.7296202127</v>
      </c>
      <c r="L166" s="195">
        <v>3081310.176414339</v>
      </c>
      <c r="M166" s="195">
        <v>0</v>
      </c>
      <c r="N166" s="195">
        <v>24348594.650829867</v>
      </c>
      <c r="O166" s="195">
        <v>9544145.07634505</v>
      </c>
      <c r="P166" s="195">
        <v>33892739.727174915</v>
      </c>
      <c r="Q166" s="195">
        <v>1056</v>
      </c>
      <c r="R166" s="195">
        <v>201</v>
      </c>
      <c r="S166" s="195">
        <v>1234</v>
      </c>
      <c r="T166" s="195">
        <v>594</v>
      </c>
      <c r="U166" s="195">
        <v>523</v>
      </c>
      <c r="V166" s="195">
        <v>8866</v>
      </c>
      <c r="W166" s="195">
        <v>2205</v>
      </c>
      <c r="X166" s="195">
        <v>1132</v>
      </c>
      <c r="Y166" s="195">
        <v>468</v>
      </c>
      <c r="Z166" s="195">
        <v>99</v>
      </c>
      <c r="AA166" s="195">
        <v>3</v>
      </c>
      <c r="AB166" s="195">
        <v>15790</v>
      </c>
      <c r="AC166" s="195">
        <v>387</v>
      </c>
      <c r="AD166" s="195">
        <v>3805</v>
      </c>
      <c r="AE166" s="195">
        <v>0.9717660946097157</v>
      </c>
      <c r="AF166" s="195">
        <v>17968917.64308568</v>
      </c>
      <c r="AG166" s="195">
        <v>43733900.0733828</v>
      </c>
      <c r="AH166" s="195">
        <v>9954200.880645491</v>
      </c>
      <c r="AI166" s="195">
        <v>4780659.361499482</v>
      </c>
      <c r="AJ166" s="195">
        <v>951</v>
      </c>
      <c r="AK166" s="195">
        <v>7621</v>
      </c>
      <c r="AL166" s="195">
        <v>0.9398252803076569</v>
      </c>
      <c r="AM166" s="195">
        <v>387</v>
      </c>
      <c r="AN166" s="195">
        <v>0.023772959026967258</v>
      </c>
      <c r="AO166" s="195">
        <v>0.01980470505871329</v>
      </c>
      <c r="AP166" s="195">
        <v>0</v>
      </c>
      <c r="AQ166" s="195">
        <v>99</v>
      </c>
      <c r="AR166" s="195">
        <v>3</v>
      </c>
      <c r="AS166" s="195">
        <v>0</v>
      </c>
      <c r="AT166" s="195">
        <v>0</v>
      </c>
      <c r="AU166" s="195">
        <v>785.14</v>
      </c>
      <c r="AV166" s="195">
        <v>20.733881855465267</v>
      </c>
      <c r="AW166" s="195">
        <v>0.8732236074079949</v>
      </c>
      <c r="AX166" s="195">
        <v>853</v>
      </c>
      <c r="AY166" s="195">
        <v>5234</v>
      </c>
      <c r="AZ166" s="195">
        <v>0.16297286969812763</v>
      </c>
      <c r="BA166" s="195">
        <v>0.09795006949545916</v>
      </c>
      <c r="BB166" s="195">
        <v>0</v>
      </c>
      <c r="BC166" s="195">
        <v>4557</v>
      </c>
      <c r="BD166" s="195">
        <v>6437</v>
      </c>
      <c r="BE166" s="195">
        <v>0.7079384806586919</v>
      </c>
      <c r="BF166" s="195">
        <v>0.27699696261638584</v>
      </c>
      <c r="BG166" s="195">
        <v>0</v>
      </c>
      <c r="BH166" s="195">
        <v>3</v>
      </c>
      <c r="BI166" s="195">
        <v>0</v>
      </c>
      <c r="BJ166" s="195">
        <v>-3906.96</v>
      </c>
      <c r="BK166" s="195">
        <v>-66743.9</v>
      </c>
      <c r="BL166" s="195">
        <v>-4558.120000000001</v>
      </c>
      <c r="BM166" s="195">
        <v>-23278.969999999998</v>
      </c>
      <c r="BN166" s="195">
        <v>-651.16</v>
      </c>
      <c r="BO166" s="195">
        <v>-142897</v>
      </c>
      <c r="BP166" s="195">
        <v>-996418.6291229726</v>
      </c>
      <c r="BQ166" s="195">
        <v>-1391366.13</v>
      </c>
      <c r="BR166" s="195">
        <v>195649.91878824774</v>
      </c>
      <c r="BS166" s="195">
        <v>1347206</v>
      </c>
      <c r="BT166" s="195">
        <v>448989</v>
      </c>
      <c r="BU166" s="195">
        <v>1044372.1029025062</v>
      </c>
      <c r="BV166" s="195">
        <v>40840.80575134025</v>
      </c>
      <c r="BW166" s="195">
        <v>25536.415548027293</v>
      </c>
      <c r="BX166" s="195">
        <v>410477.114387732</v>
      </c>
      <c r="BY166" s="195">
        <v>841468.4395644694</v>
      </c>
      <c r="BZ166" s="195">
        <v>1345148.8386893263</v>
      </c>
      <c r="CA166" s="195">
        <v>420079.57119075465</v>
      </c>
      <c r="CB166" s="195">
        <v>1465.11</v>
      </c>
      <c r="CC166" s="195">
        <v>69151.48871490645</v>
      </c>
      <c r="CD166" s="195">
        <v>6048464.545537312</v>
      </c>
      <c r="CE166" s="195">
        <v>3081310.176414339</v>
      </c>
      <c r="CF166" s="195">
        <v>0</v>
      </c>
      <c r="CG166" s="229">
        <v>9544145.07634505</v>
      </c>
      <c r="CH166" s="195">
        <v>-1717126</v>
      </c>
      <c r="CI166" s="195">
        <v>51557.26286999986</v>
      </c>
      <c r="CJ166" s="195">
        <v>32175613.727174915</v>
      </c>
      <c r="CL166" s="195">
        <v>16326</v>
      </c>
    </row>
    <row r="167" spans="1:90" ht="9.75">
      <c r="A167" s="195">
        <v>561</v>
      </c>
      <c r="B167" s="195" t="s">
        <v>235</v>
      </c>
      <c r="C167" s="195">
        <v>1363</v>
      </c>
      <c r="D167" s="195">
        <v>5436066.199999999</v>
      </c>
      <c r="E167" s="195">
        <v>1518113.766046133</v>
      </c>
      <c r="F167" s="195">
        <v>342545.90953697445</v>
      </c>
      <c r="G167" s="195">
        <v>7296725.875583107</v>
      </c>
      <c r="H167" s="195">
        <v>3540.31</v>
      </c>
      <c r="I167" s="195">
        <v>4825442.53</v>
      </c>
      <c r="J167" s="195">
        <v>2471283.3455831064</v>
      </c>
      <c r="K167" s="195">
        <v>30375.802681177345</v>
      </c>
      <c r="L167" s="195">
        <v>459374.08818790433</v>
      </c>
      <c r="M167" s="195">
        <v>0</v>
      </c>
      <c r="N167" s="195">
        <v>2961033.2364521883</v>
      </c>
      <c r="O167" s="195">
        <v>977256.9363815383</v>
      </c>
      <c r="P167" s="195">
        <v>3938290.1728337267</v>
      </c>
      <c r="Q167" s="195">
        <v>72</v>
      </c>
      <c r="R167" s="195">
        <v>22</v>
      </c>
      <c r="S167" s="195">
        <v>114</v>
      </c>
      <c r="T167" s="195">
        <v>60</v>
      </c>
      <c r="U167" s="195">
        <v>57</v>
      </c>
      <c r="V167" s="195">
        <v>691</v>
      </c>
      <c r="W167" s="195">
        <v>177</v>
      </c>
      <c r="X167" s="195">
        <v>107</v>
      </c>
      <c r="Y167" s="195">
        <v>63</v>
      </c>
      <c r="Z167" s="195">
        <v>2</v>
      </c>
      <c r="AA167" s="195">
        <v>0</v>
      </c>
      <c r="AB167" s="195">
        <v>1288</v>
      </c>
      <c r="AC167" s="195">
        <v>73</v>
      </c>
      <c r="AD167" s="195">
        <v>347</v>
      </c>
      <c r="AE167" s="195">
        <v>0.9805641469715284</v>
      </c>
      <c r="AF167" s="195">
        <v>1518113.766046133</v>
      </c>
      <c r="AG167" s="195">
        <v>13119066.504975744</v>
      </c>
      <c r="AH167" s="195">
        <v>2718329.3132019755</v>
      </c>
      <c r="AI167" s="195">
        <v>1230841.4027741202</v>
      </c>
      <c r="AJ167" s="195">
        <v>49</v>
      </c>
      <c r="AK167" s="195">
        <v>632</v>
      </c>
      <c r="AL167" s="195">
        <v>0.5839256721772019</v>
      </c>
      <c r="AM167" s="195">
        <v>73</v>
      </c>
      <c r="AN167" s="195">
        <v>0.05355832721936904</v>
      </c>
      <c r="AO167" s="195">
        <v>0.04959007325111507</v>
      </c>
      <c r="AP167" s="195">
        <v>0</v>
      </c>
      <c r="AQ167" s="195">
        <v>2</v>
      </c>
      <c r="AR167" s="195">
        <v>0</v>
      </c>
      <c r="AS167" s="195">
        <v>0</v>
      </c>
      <c r="AT167" s="195">
        <v>0</v>
      </c>
      <c r="AU167" s="195">
        <v>117.61</v>
      </c>
      <c r="AV167" s="195">
        <v>11.589150582433467</v>
      </c>
      <c r="AW167" s="195">
        <v>1.5622642039740269</v>
      </c>
      <c r="AX167" s="195">
        <v>70</v>
      </c>
      <c r="AY167" s="195">
        <v>389</v>
      </c>
      <c r="AZ167" s="195">
        <v>0.17994858611825193</v>
      </c>
      <c r="BA167" s="195">
        <v>0.11492578591558346</v>
      </c>
      <c r="BB167" s="195">
        <v>0</v>
      </c>
      <c r="BC167" s="195">
        <v>443</v>
      </c>
      <c r="BD167" s="195">
        <v>565</v>
      </c>
      <c r="BE167" s="195">
        <v>0.784070796460177</v>
      </c>
      <c r="BF167" s="195">
        <v>0.3531292784178709</v>
      </c>
      <c r="BG167" s="195">
        <v>0</v>
      </c>
      <c r="BH167" s="195">
        <v>0</v>
      </c>
      <c r="BI167" s="195">
        <v>0</v>
      </c>
      <c r="BJ167" s="195">
        <v>-327.12</v>
      </c>
      <c r="BK167" s="195">
        <v>-5588.299999999999</v>
      </c>
      <c r="BL167" s="195">
        <v>-381.64000000000004</v>
      </c>
      <c r="BM167" s="195">
        <v>-1949.09</v>
      </c>
      <c r="BN167" s="195">
        <v>-54.52</v>
      </c>
      <c r="BO167" s="195">
        <v>-16189</v>
      </c>
      <c r="BP167" s="195">
        <v>-42017.653035306066</v>
      </c>
      <c r="BQ167" s="195">
        <v>-116495.61</v>
      </c>
      <c r="BR167" s="195">
        <v>69611.57795016142</v>
      </c>
      <c r="BS167" s="195">
        <v>125388</v>
      </c>
      <c r="BT167" s="195">
        <v>47164</v>
      </c>
      <c r="BU167" s="195">
        <v>120705.51309423543</v>
      </c>
      <c r="BV167" s="195">
        <v>6912.047351031206</v>
      </c>
      <c r="BW167" s="195">
        <v>16468.420393850014</v>
      </c>
      <c r="BX167" s="195">
        <v>44923.49796783315</v>
      </c>
      <c r="BY167" s="195">
        <v>91105.93591017868</v>
      </c>
      <c r="BZ167" s="195">
        <v>127322.0639238273</v>
      </c>
      <c r="CA167" s="195">
        <v>39869.88826017633</v>
      </c>
      <c r="CB167" s="195">
        <v>122.67</v>
      </c>
      <c r="CC167" s="195">
        <v>-7089.873628083123</v>
      </c>
      <c r="CD167" s="195">
        <v>666396.5212232104</v>
      </c>
      <c r="CE167" s="195">
        <v>459374.08818790433</v>
      </c>
      <c r="CF167" s="195">
        <v>0</v>
      </c>
      <c r="CG167" s="229">
        <v>977256.9363815383</v>
      </c>
      <c r="CH167" s="195">
        <v>-238740</v>
      </c>
      <c r="CI167" s="195">
        <v>-632260.55</v>
      </c>
      <c r="CJ167" s="195">
        <v>3699550.1728337267</v>
      </c>
      <c r="CL167" s="195">
        <v>1377</v>
      </c>
    </row>
    <row r="168" spans="1:90" ht="9.75">
      <c r="A168" s="195">
        <v>562</v>
      </c>
      <c r="B168" s="195" t="s">
        <v>236</v>
      </c>
      <c r="C168" s="195">
        <v>9312</v>
      </c>
      <c r="D168" s="195">
        <v>33740488.12</v>
      </c>
      <c r="E168" s="195">
        <v>11340695.402115073</v>
      </c>
      <c r="F168" s="195">
        <v>1796958.7043805306</v>
      </c>
      <c r="G168" s="195">
        <v>46878142.226495594</v>
      </c>
      <c r="H168" s="195">
        <v>3540.31</v>
      </c>
      <c r="I168" s="195">
        <v>32967366.72</v>
      </c>
      <c r="J168" s="195">
        <v>13910775.506495595</v>
      </c>
      <c r="K168" s="195">
        <v>213294.4387937318</v>
      </c>
      <c r="L168" s="195">
        <v>2175835.2822037013</v>
      </c>
      <c r="M168" s="195">
        <v>586830.2146297545</v>
      </c>
      <c r="N168" s="195">
        <v>16886735.442122784</v>
      </c>
      <c r="O168" s="195">
        <v>5870503.940188763</v>
      </c>
      <c r="P168" s="195">
        <v>22757239.382311545</v>
      </c>
      <c r="Q168" s="195">
        <v>524</v>
      </c>
      <c r="R168" s="195">
        <v>97</v>
      </c>
      <c r="S168" s="195">
        <v>633</v>
      </c>
      <c r="T168" s="195">
        <v>290</v>
      </c>
      <c r="U168" s="195">
        <v>282</v>
      </c>
      <c r="V168" s="195">
        <v>4896</v>
      </c>
      <c r="W168" s="195">
        <v>1392</v>
      </c>
      <c r="X168" s="195">
        <v>839</v>
      </c>
      <c r="Y168" s="195">
        <v>359</v>
      </c>
      <c r="Z168" s="195">
        <v>15</v>
      </c>
      <c r="AA168" s="195">
        <v>0</v>
      </c>
      <c r="AB168" s="195">
        <v>9162</v>
      </c>
      <c r="AC168" s="195">
        <v>135</v>
      </c>
      <c r="AD168" s="195">
        <v>2590</v>
      </c>
      <c r="AE168" s="195">
        <v>1.0721715174286235</v>
      </c>
      <c r="AF168" s="195">
        <v>11340695.402115073</v>
      </c>
      <c r="AG168" s="195">
        <v>22749565.43137682</v>
      </c>
      <c r="AH168" s="195">
        <v>5008308.735600225</v>
      </c>
      <c r="AI168" s="195">
        <v>2452763.664948428</v>
      </c>
      <c r="AJ168" s="195">
        <v>572</v>
      </c>
      <c r="AK168" s="195">
        <v>4213</v>
      </c>
      <c r="AL168" s="195">
        <v>1.022546666512046</v>
      </c>
      <c r="AM168" s="195">
        <v>135</v>
      </c>
      <c r="AN168" s="195">
        <v>0.014497422680412372</v>
      </c>
      <c r="AO168" s="195">
        <v>0.010529168712158404</v>
      </c>
      <c r="AP168" s="195">
        <v>0</v>
      </c>
      <c r="AQ168" s="195">
        <v>15</v>
      </c>
      <c r="AR168" s="195">
        <v>0</v>
      </c>
      <c r="AS168" s="195">
        <v>0</v>
      </c>
      <c r="AT168" s="195">
        <v>0</v>
      </c>
      <c r="AU168" s="195">
        <v>799.63</v>
      </c>
      <c r="AV168" s="195">
        <v>11.645385991020847</v>
      </c>
      <c r="AW168" s="195">
        <v>1.554720051646259</v>
      </c>
      <c r="AX168" s="195">
        <v>334</v>
      </c>
      <c r="AY168" s="195">
        <v>2707</v>
      </c>
      <c r="AZ168" s="195">
        <v>0.12338381972663465</v>
      </c>
      <c r="BA168" s="195">
        <v>0.058361019523966176</v>
      </c>
      <c r="BB168" s="195">
        <v>0</v>
      </c>
      <c r="BC168" s="195">
        <v>2804</v>
      </c>
      <c r="BD168" s="195">
        <v>3532</v>
      </c>
      <c r="BE168" s="195">
        <v>0.7938844847112118</v>
      </c>
      <c r="BF168" s="195">
        <v>0.3629429666689057</v>
      </c>
      <c r="BG168" s="195">
        <v>0</v>
      </c>
      <c r="BH168" s="195">
        <v>0</v>
      </c>
      <c r="BI168" s="195">
        <v>0</v>
      </c>
      <c r="BJ168" s="195">
        <v>-2234.88</v>
      </c>
      <c r="BK168" s="195">
        <v>-38179.2</v>
      </c>
      <c r="BL168" s="195">
        <v>-2607.36</v>
      </c>
      <c r="BM168" s="195">
        <v>-13316.16</v>
      </c>
      <c r="BN168" s="195">
        <v>-372.48</v>
      </c>
      <c r="BO168" s="195">
        <v>126949</v>
      </c>
      <c r="BP168" s="195">
        <v>-524720.4527861436</v>
      </c>
      <c r="BQ168" s="195">
        <v>-795896.64</v>
      </c>
      <c r="BR168" s="195">
        <v>-13207.785282626748</v>
      </c>
      <c r="BS168" s="195">
        <v>830958</v>
      </c>
      <c r="BT168" s="195">
        <v>272171</v>
      </c>
      <c r="BU168" s="195">
        <v>596253.0285823218</v>
      </c>
      <c r="BV168" s="195">
        <v>27439.14402939919</v>
      </c>
      <c r="BW168" s="195">
        <v>84570.05489581006</v>
      </c>
      <c r="BX168" s="195">
        <v>269120.68028650165</v>
      </c>
      <c r="BY168" s="195">
        <v>520355.84063226765</v>
      </c>
      <c r="BZ168" s="195">
        <v>820429.6655784594</v>
      </c>
      <c r="CA168" s="195">
        <v>244926.64778241864</v>
      </c>
      <c r="CB168" s="195">
        <v>838.0799999999999</v>
      </c>
      <c r="CC168" s="195">
        <v>46504.37848529253</v>
      </c>
      <c r="CD168" s="195">
        <v>3827866.454989845</v>
      </c>
      <c r="CE168" s="195">
        <v>2175835.2822037013</v>
      </c>
      <c r="CF168" s="195">
        <v>586830.2146297545</v>
      </c>
      <c r="CG168" s="229">
        <v>5870503.940188763</v>
      </c>
      <c r="CH168" s="195">
        <v>-532671</v>
      </c>
      <c r="CI168" s="195">
        <v>-217133.91643000004</v>
      </c>
      <c r="CJ168" s="195">
        <v>22224568.382311545</v>
      </c>
      <c r="CL168" s="195">
        <v>9408</v>
      </c>
    </row>
    <row r="169" spans="1:90" ht="9.75">
      <c r="A169" s="195">
        <v>563</v>
      </c>
      <c r="B169" s="195" t="s">
        <v>237</v>
      </c>
      <c r="C169" s="195">
        <v>7514</v>
      </c>
      <c r="D169" s="195">
        <v>28723784.939999998</v>
      </c>
      <c r="E169" s="195">
        <v>13263573.682823695</v>
      </c>
      <c r="F169" s="195">
        <v>1222039.6866255526</v>
      </c>
      <c r="G169" s="195">
        <v>43209398.30944925</v>
      </c>
      <c r="H169" s="195">
        <v>3540.31</v>
      </c>
      <c r="I169" s="195">
        <v>26601889.34</v>
      </c>
      <c r="J169" s="195">
        <v>16607508.969449248</v>
      </c>
      <c r="K169" s="195">
        <v>279187.8863113573</v>
      </c>
      <c r="L169" s="195">
        <v>1661361.1673254948</v>
      </c>
      <c r="M169" s="195">
        <v>0</v>
      </c>
      <c r="N169" s="195">
        <v>18548058.0230861</v>
      </c>
      <c r="O169" s="195">
        <v>5918952.611126435</v>
      </c>
      <c r="P169" s="195">
        <v>24467010.634212535</v>
      </c>
      <c r="Q169" s="195">
        <v>527</v>
      </c>
      <c r="R169" s="195">
        <v>91</v>
      </c>
      <c r="S169" s="195">
        <v>595</v>
      </c>
      <c r="T169" s="195">
        <v>307</v>
      </c>
      <c r="U169" s="195">
        <v>320</v>
      </c>
      <c r="V169" s="195">
        <v>3873</v>
      </c>
      <c r="W169" s="195">
        <v>947</v>
      </c>
      <c r="X169" s="195">
        <v>587</v>
      </c>
      <c r="Y169" s="195">
        <v>267</v>
      </c>
      <c r="Z169" s="195">
        <v>13</v>
      </c>
      <c r="AA169" s="195">
        <v>0</v>
      </c>
      <c r="AB169" s="195">
        <v>7423</v>
      </c>
      <c r="AC169" s="195">
        <v>78</v>
      </c>
      <c r="AD169" s="195">
        <v>1801</v>
      </c>
      <c r="AE169" s="195">
        <v>1.5540210987105736</v>
      </c>
      <c r="AF169" s="195">
        <v>13263573.682823695</v>
      </c>
      <c r="AG169" s="195">
        <v>1696839.164492534</v>
      </c>
      <c r="AH169" s="195">
        <v>477558.617577408</v>
      </c>
      <c r="AI169" s="195">
        <v>187301.9525960618</v>
      </c>
      <c r="AJ169" s="195">
        <v>403</v>
      </c>
      <c r="AK169" s="195">
        <v>3245</v>
      </c>
      <c r="AL169" s="195">
        <v>0.9353387189135223</v>
      </c>
      <c r="AM169" s="195">
        <v>78</v>
      </c>
      <c r="AN169" s="195">
        <v>0.010380622837370242</v>
      </c>
      <c r="AO169" s="195">
        <v>0.006412368869116274</v>
      </c>
      <c r="AP169" s="195">
        <v>0</v>
      </c>
      <c r="AQ169" s="195">
        <v>13</v>
      </c>
      <c r="AR169" s="195">
        <v>0</v>
      </c>
      <c r="AS169" s="195">
        <v>0</v>
      </c>
      <c r="AT169" s="195">
        <v>0</v>
      </c>
      <c r="AU169" s="195">
        <v>587.79</v>
      </c>
      <c r="AV169" s="195">
        <v>12.783477092158765</v>
      </c>
      <c r="AW169" s="195">
        <v>1.4163059845827186</v>
      </c>
      <c r="AX169" s="195">
        <v>200</v>
      </c>
      <c r="AY169" s="195">
        <v>2016</v>
      </c>
      <c r="AZ169" s="195">
        <v>0.0992063492063492</v>
      </c>
      <c r="BA169" s="195">
        <v>0.03418354900368073</v>
      </c>
      <c r="BB169" s="195">
        <v>0</v>
      </c>
      <c r="BC169" s="195">
        <v>2797</v>
      </c>
      <c r="BD169" s="195">
        <v>2743</v>
      </c>
      <c r="BE169" s="195">
        <v>1.019686474662778</v>
      </c>
      <c r="BF169" s="195">
        <v>0.588744956620472</v>
      </c>
      <c r="BG169" s="195">
        <v>0</v>
      </c>
      <c r="BH169" s="195">
        <v>0</v>
      </c>
      <c r="BI169" s="195">
        <v>0</v>
      </c>
      <c r="BJ169" s="195">
        <v>-1803.36</v>
      </c>
      <c r="BK169" s="195">
        <v>-30807.399999999998</v>
      </c>
      <c r="BL169" s="195">
        <v>-2103.92</v>
      </c>
      <c r="BM169" s="195">
        <v>-10745.02</v>
      </c>
      <c r="BN169" s="195">
        <v>-300.56</v>
      </c>
      <c r="BO169" s="195">
        <v>-80932</v>
      </c>
      <c r="BP169" s="195">
        <v>-153064.30748575783</v>
      </c>
      <c r="BQ169" s="195">
        <v>-642221.58</v>
      </c>
      <c r="BR169" s="195">
        <v>-140909.5184260942</v>
      </c>
      <c r="BS169" s="195">
        <v>671353</v>
      </c>
      <c r="BT169" s="195">
        <v>207901</v>
      </c>
      <c r="BU169" s="195">
        <v>489424.8735210157</v>
      </c>
      <c r="BV169" s="195">
        <v>20115.51790016979</v>
      </c>
      <c r="BW169" s="195">
        <v>47737.777973836666</v>
      </c>
      <c r="BX169" s="195">
        <v>243027.83338420675</v>
      </c>
      <c r="BY169" s="195">
        <v>383364.1612117319</v>
      </c>
      <c r="BZ169" s="195">
        <v>631795.7651160285</v>
      </c>
      <c r="CA169" s="195">
        <v>182508.07198956658</v>
      </c>
      <c r="CB169" s="195">
        <v>676.26</v>
      </c>
      <c r="CC169" s="195">
        <v>67556.73214079102</v>
      </c>
      <c r="CD169" s="195">
        <v>2724070.3148112525</v>
      </c>
      <c r="CE169" s="195">
        <v>1661361.1673254948</v>
      </c>
      <c r="CF169" s="195">
        <v>0</v>
      </c>
      <c r="CG169" s="229">
        <v>5918952.611126435</v>
      </c>
      <c r="CH169" s="195">
        <v>-430142</v>
      </c>
      <c r="CI169" s="195">
        <v>78856.57869999998</v>
      </c>
      <c r="CJ169" s="195">
        <v>24036868.634212535</v>
      </c>
      <c r="CL169" s="195">
        <v>7610</v>
      </c>
    </row>
    <row r="170" spans="1:90" ht="9.75">
      <c r="A170" s="195">
        <v>564</v>
      </c>
      <c r="B170" s="195" t="s">
        <v>238</v>
      </c>
      <c r="C170" s="195">
        <v>200526</v>
      </c>
      <c r="D170" s="195">
        <v>648854836.63</v>
      </c>
      <c r="E170" s="195">
        <v>222117521.3387761</v>
      </c>
      <c r="F170" s="195">
        <v>39102601.224556856</v>
      </c>
      <c r="G170" s="195">
        <v>910074959.1933329</v>
      </c>
      <c r="H170" s="195">
        <v>3540.31</v>
      </c>
      <c r="I170" s="195">
        <v>709924203.06</v>
      </c>
      <c r="J170" s="195">
        <v>200150756.13333297</v>
      </c>
      <c r="K170" s="195">
        <v>7911392.4084213395</v>
      </c>
      <c r="L170" s="195">
        <v>28304576.38675738</v>
      </c>
      <c r="M170" s="195">
        <v>0</v>
      </c>
      <c r="N170" s="195">
        <v>236366724.92851168</v>
      </c>
      <c r="O170" s="195">
        <v>39150729.76778403</v>
      </c>
      <c r="P170" s="195">
        <v>275517454.69629574</v>
      </c>
      <c r="Q170" s="195">
        <v>15253</v>
      </c>
      <c r="R170" s="195">
        <v>2636</v>
      </c>
      <c r="S170" s="195">
        <v>15541</v>
      </c>
      <c r="T170" s="195">
        <v>6900</v>
      </c>
      <c r="U170" s="195">
        <v>7075</v>
      </c>
      <c r="V170" s="195">
        <v>123384</v>
      </c>
      <c r="W170" s="195">
        <v>17280</v>
      </c>
      <c r="X170" s="195">
        <v>9169</v>
      </c>
      <c r="Y170" s="195">
        <v>3288</v>
      </c>
      <c r="Z170" s="195">
        <v>454</v>
      </c>
      <c r="AA170" s="195">
        <v>115</v>
      </c>
      <c r="AB170" s="195">
        <v>192321</v>
      </c>
      <c r="AC170" s="195">
        <v>7636</v>
      </c>
      <c r="AD170" s="195">
        <v>29737</v>
      </c>
      <c r="AE170" s="195">
        <v>0.9751685239298973</v>
      </c>
      <c r="AF170" s="195">
        <v>222117521.3387761</v>
      </c>
      <c r="AG170" s="195">
        <v>14074038.256416459</v>
      </c>
      <c r="AH170" s="195">
        <v>3544198.1670685564</v>
      </c>
      <c r="AI170" s="195">
        <v>1221922.2621743076</v>
      </c>
      <c r="AJ170" s="195">
        <v>15887</v>
      </c>
      <c r="AK170" s="195">
        <v>95863</v>
      </c>
      <c r="AL170" s="195">
        <v>1.248157662338209</v>
      </c>
      <c r="AM170" s="195">
        <v>7636</v>
      </c>
      <c r="AN170" s="195">
        <v>0.03807984999451443</v>
      </c>
      <c r="AO170" s="195">
        <v>0.03411159602626046</v>
      </c>
      <c r="AP170" s="195">
        <v>0</v>
      </c>
      <c r="AQ170" s="195">
        <v>454</v>
      </c>
      <c r="AR170" s="195">
        <v>115</v>
      </c>
      <c r="AS170" s="195">
        <v>0</v>
      </c>
      <c r="AT170" s="195">
        <v>0</v>
      </c>
      <c r="AU170" s="195">
        <v>3031.64</v>
      </c>
      <c r="AV170" s="195">
        <v>66.144397092003</v>
      </c>
      <c r="AW170" s="195">
        <v>0.273724093126393</v>
      </c>
      <c r="AX170" s="195">
        <v>5694</v>
      </c>
      <c r="AY170" s="195">
        <v>64490</v>
      </c>
      <c r="AZ170" s="195">
        <v>0.08829275856721973</v>
      </c>
      <c r="BA170" s="195">
        <v>0.023269958364551258</v>
      </c>
      <c r="BB170" s="195">
        <v>0</v>
      </c>
      <c r="BC170" s="195">
        <v>83785</v>
      </c>
      <c r="BD170" s="195">
        <v>79335</v>
      </c>
      <c r="BE170" s="195">
        <v>1.0560912585870044</v>
      </c>
      <c r="BF170" s="195">
        <v>0.6251497405446983</v>
      </c>
      <c r="BG170" s="195">
        <v>0</v>
      </c>
      <c r="BH170" s="195">
        <v>115</v>
      </c>
      <c r="BI170" s="195">
        <v>0</v>
      </c>
      <c r="BJ170" s="195">
        <v>-48126.24</v>
      </c>
      <c r="BK170" s="195">
        <v>-822156.6</v>
      </c>
      <c r="BL170" s="195">
        <v>-56147.280000000006</v>
      </c>
      <c r="BM170" s="195">
        <v>-286752.18</v>
      </c>
      <c r="BN170" s="195">
        <v>-8021.04</v>
      </c>
      <c r="BO170" s="195">
        <v>2164676</v>
      </c>
      <c r="BP170" s="195">
        <v>-8809701.253069172</v>
      </c>
      <c r="BQ170" s="195">
        <v>-17138957.22</v>
      </c>
      <c r="BR170" s="195">
        <v>-1916537.577849215</v>
      </c>
      <c r="BS170" s="195">
        <v>11522544</v>
      </c>
      <c r="BT170" s="195">
        <v>4098255</v>
      </c>
      <c r="BU170" s="195">
        <v>9979124.861138187</v>
      </c>
      <c r="BV170" s="195">
        <v>334871.9485142128</v>
      </c>
      <c r="BW170" s="195">
        <v>2477521.5332884975</v>
      </c>
      <c r="BX170" s="195">
        <v>4353592.101941553</v>
      </c>
      <c r="BY170" s="195">
        <v>9470918.065931553</v>
      </c>
      <c r="BZ170" s="195">
        <v>12734337.278607612</v>
      </c>
      <c r="CA170" s="195">
        <v>4215333.408276163</v>
      </c>
      <c r="CB170" s="195">
        <v>18047.34</v>
      </c>
      <c r="CC170" s="195">
        <v>1925239.6799779816</v>
      </c>
      <c r="CD170" s="195">
        <v>61389955.19982655</v>
      </c>
      <c r="CE170" s="195">
        <v>28304576.38675738</v>
      </c>
      <c r="CF170" s="195">
        <v>0</v>
      </c>
      <c r="CG170" s="229">
        <v>39150729.76778403</v>
      </c>
      <c r="CH170" s="195">
        <v>-4746417</v>
      </c>
      <c r="CI170" s="195">
        <v>-10421269.06157</v>
      </c>
      <c r="CJ170" s="195">
        <v>270771037.69629574</v>
      </c>
      <c r="CL170" s="195">
        <v>198525</v>
      </c>
    </row>
    <row r="171" spans="1:90" ht="9.75">
      <c r="A171" s="195">
        <v>309</v>
      </c>
      <c r="B171" s="195" t="s">
        <v>239</v>
      </c>
      <c r="C171" s="195">
        <v>7091</v>
      </c>
      <c r="D171" s="195">
        <v>24613978.18</v>
      </c>
      <c r="E171" s="195">
        <v>11763710.83868444</v>
      </c>
      <c r="F171" s="195">
        <v>1763804.5113711262</v>
      </c>
      <c r="G171" s="195">
        <v>38141493.53005557</v>
      </c>
      <c r="H171" s="195">
        <v>3540.31</v>
      </c>
      <c r="I171" s="195">
        <v>25104338.21</v>
      </c>
      <c r="J171" s="195">
        <v>13037155.320055567</v>
      </c>
      <c r="K171" s="195">
        <v>357354.0289065276</v>
      </c>
      <c r="L171" s="195">
        <v>1666605.0937168289</v>
      </c>
      <c r="M171" s="195">
        <v>0</v>
      </c>
      <c r="N171" s="195">
        <v>15061114.442678923</v>
      </c>
      <c r="O171" s="195">
        <v>6070982.566119546</v>
      </c>
      <c r="P171" s="195">
        <v>21132097.00879847</v>
      </c>
      <c r="Q171" s="195">
        <v>411</v>
      </c>
      <c r="R171" s="195">
        <v>67</v>
      </c>
      <c r="S171" s="195">
        <v>429</v>
      </c>
      <c r="T171" s="195">
        <v>181</v>
      </c>
      <c r="U171" s="195">
        <v>234</v>
      </c>
      <c r="V171" s="195">
        <v>3771</v>
      </c>
      <c r="W171" s="195">
        <v>1112</v>
      </c>
      <c r="X171" s="195">
        <v>636</v>
      </c>
      <c r="Y171" s="195">
        <v>250</v>
      </c>
      <c r="Z171" s="195">
        <v>10</v>
      </c>
      <c r="AA171" s="195">
        <v>0</v>
      </c>
      <c r="AB171" s="195">
        <v>6846</v>
      </c>
      <c r="AC171" s="195">
        <v>235</v>
      </c>
      <c r="AD171" s="195">
        <v>1998</v>
      </c>
      <c r="AE171" s="195">
        <v>1.4605095547960523</v>
      </c>
      <c r="AF171" s="195">
        <v>11763710.83868444</v>
      </c>
      <c r="AG171" s="195">
        <v>34268201.835335806</v>
      </c>
      <c r="AH171" s="195">
        <v>5913122.878125196</v>
      </c>
      <c r="AI171" s="195">
        <v>3808473.036119922</v>
      </c>
      <c r="AJ171" s="195">
        <v>511</v>
      </c>
      <c r="AK171" s="195">
        <v>2819</v>
      </c>
      <c r="AL171" s="195">
        <v>1.3652255010169456</v>
      </c>
      <c r="AM171" s="195">
        <v>235</v>
      </c>
      <c r="AN171" s="195">
        <v>0.0331406007615287</v>
      </c>
      <c r="AO171" s="195">
        <v>0.029172346793274732</v>
      </c>
      <c r="AP171" s="195">
        <v>0</v>
      </c>
      <c r="AQ171" s="195">
        <v>10</v>
      </c>
      <c r="AR171" s="195">
        <v>0</v>
      </c>
      <c r="AS171" s="195">
        <v>0</v>
      </c>
      <c r="AT171" s="195">
        <v>0</v>
      </c>
      <c r="AU171" s="195">
        <v>445.81</v>
      </c>
      <c r="AV171" s="195">
        <v>15.9058791862004</v>
      </c>
      <c r="AW171" s="195">
        <v>1.1382781735893188</v>
      </c>
      <c r="AX171" s="195">
        <v>252</v>
      </c>
      <c r="AY171" s="195">
        <v>1820</v>
      </c>
      <c r="AZ171" s="195">
        <v>0.13846153846153847</v>
      </c>
      <c r="BA171" s="195">
        <v>0.07343873825887</v>
      </c>
      <c r="BB171" s="195">
        <v>0.0478</v>
      </c>
      <c r="BC171" s="195">
        <v>2502</v>
      </c>
      <c r="BD171" s="195">
        <v>2334</v>
      </c>
      <c r="BE171" s="195">
        <v>1.0719794344473008</v>
      </c>
      <c r="BF171" s="195">
        <v>0.6410379164049947</v>
      </c>
      <c r="BG171" s="195">
        <v>0</v>
      </c>
      <c r="BH171" s="195">
        <v>0</v>
      </c>
      <c r="BI171" s="195">
        <v>0</v>
      </c>
      <c r="BJ171" s="195">
        <v>-1701.84</v>
      </c>
      <c r="BK171" s="195">
        <v>-29073.1</v>
      </c>
      <c r="BL171" s="195">
        <v>-1985.4800000000002</v>
      </c>
      <c r="BM171" s="195">
        <v>-10140.13</v>
      </c>
      <c r="BN171" s="195">
        <v>-283.64</v>
      </c>
      <c r="BO171" s="195">
        <v>-98614</v>
      </c>
      <c r="BP171" s="195">
        <v>-375657.82654184353</v>
      </c>
      <c r="BQ171" s="195">
        <v>-606067.77</v>
      </c>
      <c r="BR171" s="195">
        <v>145432.3681433089</v>
      </c>
      <c r="BS171" s="195">
        <v>623638</v>
      </c>
      <c r="BT171" s="195">
        <v>194928</v>
      </c>
      <c r="BU171" s="195">
        <v>495129.1066012289</v>
      </c>
      <c r="BV171" s="195">
        <v>27465.201518653055</v>
      </c>
      <c r="BW171" s="195">
        <v>76620.8839905472</v>
      </c>
      <c r="BX171" s="195">
        <v>277622.93648706295</v>
      </c>
      <c r="BY171" s="195">
        <v>355298.1467629101</v>
      </c>
      <c r="BZ171" s="195">
        <v>580213.7405274005</v>
      </c>
      <c r="CA171" s="195">
        <v>172476.05893871904</v>
      </c>
      <c r="CB171" s="195">
        <v>638.1899999999999</v>
      </c>
      <c r="CC171" s="195">
        <v>49425.28728884207</v>
      </c>
      <c r="CD171" s="195">
        <v>2900699.3802586724</v>
      </c>
      <c r="CE171" s="195">
        <v>1666605.0937168289</v>
      </c>
      <c r="CF171" s="195">
        <v>0</v>
      </c>
      <c r="CG171" s="229">
        <v>6070982.566119546</v>
      </c>
      <c r="CH171" s="195">
        <v>-524543</v>
      </c>
      <c r="CI171" s="195">
        <v>35145.864799999996</v>
      </c>
      <c r="CJ171" s="195">
        <v>20607554.00879847</v>
      </c>
      <c r="CL171" s="195">
        <v>7139</v>
      </c>
    </row>
    <row r="172" spans="1:90" ht="9.75">
      <c r="A172" s="195">
        <v>576</v>
      </c>
      <c r="B172" s="195" t="s">
        <v>240</v>
      </c>
      <c r="C172" s="195">
        <v>3073</v>
      </c>
      <c r="D172" s="195">
        <v>11323837.17</v>
      </c>
      <c r="E172" s="195">
        <v>4890332.600076935</v>
      </c>
      <c r="F172" s="195">
        <v>790217.484779845</v>
      </c>
      <c r="G172" s="195">
        <v>17004387.25485678</v>
      </c>
      <c r="H172" s="195">
        <v>3540.31</v>
      </c>
      <c r="I172" s="195">
        <v>10879372.629999999</v>
      </c>
      <c r="J172" s="195">
        <v>6125014.624856781</v>
      </c>
      <c r="K172" s="195">
        <v>322541.87536905933</v>
      </c>
      <c r="L172" s="195">
        <v>1027974.3730187741</v>
      </c>
      <c r="M172" s="195">
        <v>0</v>
      </c>
      <c r="N172" s="195">
        <v>7475530.873244614</v>
      </c>
      <c r="O172" s="195">
        <v>2141952.1731999996</v>
      </c>
      <c r="P172" s="195">
        <v>9617483.046444613</v>
      </c>
      <c r="Q172" s="195">
        <v>91</v>
      </c>
      <c r="R172" s="195">
        <v>21</v>
      </c>
      <c r="S172" s="195">
        <v>153</v>
      </c>
      <c r="T172" s="195">
        <v>95</v>
      </c>
      <c r="U172" s="195">
        <v>91</v>
      </c>
      <c r="V172" s="195">
        <v>1488</v>
      </c>
      <c r="W172" s="195">
        <v>621</v>
      </c>
      <c r="X172" s="195">
        <v>355</v>
      </c>
      <c r="Y172" s="195">
        <v>158</v>
      </c>
      <c r="Z172" s="195">
        <v>10</v>
      </c>
      <c r="AA172" s="195">
        <v>0</v>
      </c>
      <c r="AB172" s="195">
        <v>3026</v>
      </c>
      <c r="AC172" s="195">
        <v>37</v>
      </c>
      <c r="AD172" s="195">
        <v>1134</v>
      </c>
      <c r="AE172" s="195">
        <v>1.4010169327700437</v>
      </c>
      <c r="AF172" s="195">
        <v>4890332.600076935</v>
      </c>
      <c r="AG172" s="195">
        <v>15020717.110347772</v>
      </c>
      <c r="AH172" s="195">
        <v>4774491.809917916</v>
      </c>
      <c r="AI172" s="195">
        <v>1578687.886166806</v>
      </c>
      <c r="AJ172" s="195">
        <v>166</v>
      </c>
      <c r="AK172" s="195">
        <v>1265</v>
      </c>
      <c r="AL172" s="195">
        <v>0.9883166914488118</v>
      </c>
      <c r="AM172" s="195">
        <v>37</v>
      </c>
      <c r="AN172" s="195">
        <v>0.012040351448096323</v>
      </c>
      <c r="AO172" s="195">
        <v>0.008072097479842355</v>
      </c>
      <c r="AP172" s="195">
        <v>0</v>
      </c>
      <c r="AQ172" s="195">
        <v>10</v>
      </c>
      <c r="AR172" s="195">
        <v>0</v>
      </c>
      <c r="AS172" s="195">
        <v>0</v>
      </c>
      <c r="AT172" s="195">
        <v>0</v>
      </c>
      <c r="AU172" s="195">
        <v>523.14</v>
      </c>
      <c r="AV172" s="195">
        <v>5.874144588446687</v>
      </c>
      <c r="AW172" s="195">
        <v>3.082204538344225</v>
      </c>
      <c r="AX172" s="195">
        <v>120</v>
      </c>
      <c r="AY172" s="195">
        <v>764</v>
      </c>
      <c r="AZ172" s="195">
        <v>0.15706806282722513</v>
      </c>
      <c r="BA172" s="195">
        <v>0.09204526262455666</v>
      </c>
      <c r="BB172" s="195">
        <v>0.405533</v>
      </c>
      <c r="BC172" s="195">
        <v>817</v>
      </c>
      <c r="BD172" s="195">
        <v>1078</v>
      </c>
      <c r="BE172" s="195">
        <v>0.7578849721706865</v>
      </c>
      <c r="BF172" s="195">
        <v>0.32694345412838044</v>
      </c>
      <c r="BG172" s="195">
        <v>0</v>
      </c>
      <c r="BH172" s="195">
        <v>0</v>
      </c>
      <c r="BI172" s="195">
        <v>0</v>
      </c>
      <c r="BJ172" s="195">
        <v>-737.52</v>
      </c>
      <c r="BK172" s="195">
        <v>-12599.3</v>
      </c>
      <c r="BL172" s="195">
        <v>-860.44</v>
      </c>
      <c r="BM172" s="195">
        <v>-4394.389999999999</v>
      </c>
      <c r="BN172" s="195">
        <v>-122.92</v>
      </c>
      <c r="BO172" s="195">
        <v>39631</v>
      </c>
      <c r="BP172" s="195">
        <v>-46519.544431946015</v>
      </c>
      <c r="BQ172" s="195">
        <v>-262649.31</v>
      </c>
      <c r="BR172" s="195">
        <v>31367.59674635902</v>
      </c>
      <c r="BS172" s="195">
        <v>333500</v>
      </c>
      <c r="BT172" s="195">
        <v>98579</v>
      </c>
      <c r="BU172" s="195">
        <v>244053.0007171452</v>
      </c>
      <c r="BV172" s="195">
        <v>13893.435066114844</v>
      </c>
      <c r="BW172" s="195">
        <v>51242.601931801124</v>
      </c>
      <c r="BX172" s="195">
        <v>118125.36311008477</v>
      </c>
      <c r="BY172" s="195">
        <v>174574.08487837674</v>
      </c>
      <c r="BZ172" s="195">
        <v>280874.32813366747</v>
      </c>
      <c r="CA172" s="195">
        <v>84072.98422832949</v>
      </c>
      <c r="CB172" s="195">
        <v>276.57</v>
      </c>
      <c r="CC172" s="195">
        <v>-23863.047361158522</v>
      </c>
      <c r="CD172" s="195">
        <v>1446511.29745072</v>
      </c>
      <c r="CE172" s="195">
        <v>1027974.3730187741</v>
      </c>
      <c r="CF172" s="195">
        <v>0</v>
      </c>
      <c r="CG172" s="229">
        <v>2141952.1731999996</v>
      </c>
      <c r="CH172" s="195">
        <v>-267610</v>
      </c>
      <c r="CI172" s="195">
        <v>-18928.707599999994</v>
      </c>
      <c r="CJ172" s="195">
        <v>9349873.046444613</v>
      </c>
      <c r="CL172" s="195">
        <v>3143</v>
      </c>
    </row>
    <row r="173" spans="1:90" ht="9.75">
      <c r="A173" s="195">
        <v>577</v>
      </c>
      <c r="B173" s="195" t="s">
        <v>241</v>
      </c>
      <c r="C173" s="195">
        <v>10713</v>
      </c>
      <c r="D173" s="195">
        <v>37197100.54</v>
      </c>
      <c r="E173" s="195">
        <v>9810217.924760126</v>
      </c>
      <c r="F173" s="195">
        <v>1272207.828431748</v>
      </c>
      <c r="G173" s="195">
        <v>48279526.29319187</v>
      </c>
      <c r="H173" s="195">
        <v>3540.31</v>
      </c>
      <c r="I173" s="195">
        <v>37927341.03</v>
      </c>
      <c r="J173" s="195">
        <v>10352185.263191871</v>
      </c>
      <c r="K173" s="195">
        <v>231853.3477531397</v>
      </c>
      <c r="L173" s="195">
        <v>1493410.6087590596</v>
      </c>
      <c r="M173" s="195">
        <v>0</v>
      </c>
      <c r="N173" s="195">
        <v>12077449.21970407</v>
      </c>
      <c r="O173" s="195">
        <v>1516323.7127749387</v>
      </c>
      <c r="P173" s="195">
        <v>13593772.932479007</v>
      </c>
      <c r="Q173" s="195">
        <v>805</v>
      </c>
      <c r="R173" s="195">
        <v>161</v>
      </c>
      <c r="S173" s="195">
        <v>795</v>
      </c>
      <c r="T173" s="195">
        <v>394</v>
      </c>
      <c r="U173" s="195">
        <v>361</v>
      </c>
      <c r="V173" s="195">
        <v>6006</v>
      </c>
      <c r="W173" s="195">
        <v>1342</v>
      </c>
      <c r="X173" s="195">
        <v>586</v>
      </c>
      <c r="Y173" s="195">
        <v>263</v>
      </c>
      <c r="Z173" s="195">
        <v>105</v>
      </c>
      <c r="AA173" s="195">
        <v>1</v>
      </c>
      <c r="AB173" s="195">
        <v>10389</v>
      </c>
      <c r="AC173" s="195">
        <v>218</v>
      </c>
      <c r="AD173" s="195">
        <v>2191</v>
      </c>
      <c r="AE173" s="195">
        <v>0.8061857126382637</v>
      </c>
      <c r="AF173" s="195">
        <v>9810217.924760126</v>
      </c>
      <c r="AG173" s="195">
        <v>280285761.90116817</v>
      </c>
      <c r="AH173" s="195">
        <v>53406299.09363318</v>
      </c>
      <c r="AI173" s="195">
        <v>34570588.96487312</v>
      </c>
      <c r="AJ173" s="195">
        <v>451</v>
      </c>
      <c r="AK173" s="195">
        <v>5122</v>
      </c>
      <c r="AL173" s="195">
        <v>0.6631557434994789</v>
      </c>
      <c r="AM173" s="195">
        <v>218</v>
      </c>
      <c r="AN173" s="195">
        <v>0.02034910855969383</v>
      </c>
      <c r="AO173" s="195">
        <v>0.016380854591439863</v>
      </c>
      <c r="AP173" s="195">
        <v>0</v>
      </c>
      <c r="AQ173" s="195">
        <v>105</v>
      </c>
      <c r="AR173" s="195">
        <v>1</v>
      </c>
      <c r="AS173" s="195">
        <v>0</v>
      </c>
      <c r="AT173" s="195">
        <v>0</v>
      </c>
      <c r="AU173" s="195">
        <v>238.36</v>
      </c>
      <c r="AV173" s="195">
        <v>44.94462158080214</v>
      </c>
      <c r="AW173" s="195">
        <v>0.40283607854725245</v>
      </c>
      <c r="AX173" s="195">
        <v>352</v>
      </c>
      <c r="AY173" s="195">
        <v>3543</v>
      </c>
      <c r="AZ173" s="195">
        <v>0.09935083262771663</v>
      </c>
      <c r="BA173" s="195">
        <v>0.03432803242504816</v>
      </c>
      <c r="BB173" s="195">
        <v>0</v>
      </c>
      <c r="BC173" s="195">
        <v>3631</v>
      </c>
      <c r="BD173" s="195">
        <v>4692</v>
      </c>
      <c r="BE173" s="195">
        <v>0.7738704177323104</v>
      </c>
      <c r="BF173" s="195">
        <v>0.3429288996900043</v>
      </c>
      <c r="BG173" s="195">
        <v>0</v>
      </c>
      <c r="BH173" s="195">
        <v>1</v>
      </c>
      <c r="BI173" s="195">
        <v>0</v>
      </c>
      <c r="BJ173" s="195">
        <v>-2571.12</v>
      </c>
      <c r="BK173" s="195">
        <v>-43923.299999999996</v>
      </c>
      <c r="BL173" s="195">
        <v>-2999.6400000000003</v>
      </c>
      <c r="BM173" s="195">
        <v>-15319.59</v>
      </c>
      <c r="BN173" s="195">
        <v>-428.52</v>
      </c>
      <c r="BO173" s="195">
        <v>-100689</v>
      </c>
      <c r="BP173" s="195">
        <v>-489705.7419233886</v>
      </c>
      <c r="BQ173" s="195">
        <v>-915640.11</v>
      </c>
      <c r="BR173" s="195">
        <v>95634.59417682327</v>
      </c>
      <c r="BS173" s="195">
        <v>715882</v>
      </c>
      <c r="BT173" s="195">
        <v>239696</v>
      </c>
      <c r="BU173" s="195">
        <v>484639.5318536193</v>
      </c>
      <c r="BV173" s="195">
        <v>8500.406288134975</v>
      </c>
      <c r="BW173" s="195">
        <v>9666.312235117239</v>
      </c>
      <c r="BX173" s="195">
        <v>210520.21530560398</v>
      </c>
      <c r="BY173" s="195">
        <v>502854.84421210585</v>
      </c>
      <c r="BZ173" s="195">
        <v>843472.5388440933</v>
      </c>
      <c r="CA173" s="195">
        <v>272891.9148260674</v>
      </c>
      <c r="CB173" s="195">
        <v>964.17</v>
      </c>
      <c r="CC173" s="195">
        <v>-4644.177059116657</v>
      </c>
      <c r="CD173" s="195">
        <v>3280032.1306824484</v>
      </c>
      <c r="CE173" s="195">
        <v>1493410.6087590596</v>
      </c>
      <c r="CF173" s="195">
        <v>0</v>
      </c>
      <c r="CG173" s="229">
        <v>1516323.7127749387</v>
      </c>
      <c r="CH173" s="195">
        <v>-179980</v>
      </c>
      <c r="CI173" s="195">
        <v>94986.39269000001</v>
      </c>
      <c r="CJ173" s="195">
        <v>13413792.932479007</v>
      </c>
      <c r="CL173" s="195">
        <v>10620</v>
      </c>
    </row>
    <row r="174" spans="1:90" ht="9.75">
      <c r="A174" s="195">
        <v>578</v>
      </c>
      <c r="B174" s="195" t="s">
        <v>242</v>
      </c>
      <c r="C174" s="195">
        <v>3491</v>
      </c>
      <c r="D174" s="195">
        <v>12464481.91</v>
      </c>
      <c r="E174" s="195">
        <v>6877102.383562296</v>
      </c>
      <c r="F174" s="195">
        <v>1226519.6232298892</v>
      </c>
      <c r="G174" s="195">
        <v>20568103.916792184</v>
      </c>
      <c r="H174" s="195">
        <v>3540.31</v>
      </c>
      <c r="I174" s="195">
        <v>12359222.209999999</v>
      </c>
      <c r="J174" s="195">
        <v>8208881.706792185</v>
      </c>
      <c r="K174" s="195">
        <v>158958.32887218666</v>
      </c>
      <c r="L174" s="195">
        <v>1219197.5284479163</v>
      </c>
      <c r="M174" s="195">
        <v>0</v>
      </c>
      <c r="N174" s="195">
        <v>9587037.564112289</v>
      </c>
      <c r="O174" s="195">
        <v>3223374.435981817</v>
      </c>
      <c r="P174" s="195">
        <v>12810412.000094106</v>
      </c>
      <c r="Q174" s="195">
        <v>152</v>
      </c>
      <c r="R174" s="195">
        <v>43</v>
      </c>
      <c r="S174" s="195">
        <v>199</v>
      </c>
      <c r="T174" s="195">
        <v>106</v>
      </c>
      <c r="U174" s="195">
        <v>130</v>
      </c>
      <c r="V174" s="195">
        <v>1837</v>
      </c>
      <c r="W174" s="195">
        <v>557</v>
      </c>
      <c r="X174" s="195">
        <v>320</v>
      </c>
      <c r="Y174" s="195">
        <v>147</v>
      </c>
      <c r="Z174" s="195">
        <v>2</v>
      </c>
      <c r="AA174" s="195">
        <v>0</v>
      </c>
      <c r="AB174" s="195">
        <v>3426</v>
      </c>
      <c r="AC174" s="195">
        <v>63</v>
      </c>
      <c r="AD174" s="195">
        <v>1024</v>
      </c>
      <c r="AE174" s="195">
        <v>1.7342958641097448</v>
      </c>
      <c r="AF174" s="195">
        <v>6877102.383562296</v>
      </c>
      <c r="AG174" s="195">
        <v>6287569.16544164</v>
      </c>
      <c r="AH174" s="195">
        <v>1674643.9172052653</v>
      </c>
      <c r="AI174" s="195">
        <v>428118.7487909983</v>
      </c>
      <c r="AJ174" s="195">
        <v>225</v>
      </c>
      <c r="AK174" s="195">
        <v>1400</v>
      </c>
      <c r="AL174" s="195">
        <v>1.2104115245422467</v>
      </c>
      <c r="AM174" s="195">
        <v>63</v>
      </c>
      <c r="AN174" s="195">
        <v>0.018046405041535377</v>
      </c>
      <c r="AO174" s="195">
        <v>0.01407815107328141</v>
      </c>
      <c r="AP174" s="195">
        <v>0</v>
      </c>
      <c r="AQ174" s="195">
        <v>2</v>
      </c>
      <c r="AR174" s="195">
        <v>0</v>
      </c>
      <c r="AS174" s="195">
        <v>0</v>
      </c>
      <c r="AT174" s="195">
        <v>0</v>
      </c>
      <c r="AU174" s="195">
        <v>918.38</v>
      </c>
      <c r="AV174" s="195">
        <v>3.8012587382129404</v>
      </c>
      <c r="AW174" s="195">
        <v>4.762978885755164</v>
      </c>
      <c r="AX174" s="195">
        <v>140</v>
      </c>
      <c r="AY174" s="195">
        <v>914</v>
      </c>
      <c r="AZ174" s="195">
        <v>0.15317286652078774</v>
      </c>
      <c r="BA174" s="195">
        <v>0.08815006631811927</v>
      </c>
      <c r="BB174" s="195">
        <v>0.094216</v>
      </c>
      <c r="BC174" s="195">
        <v>922</v>
      </c>
      <c r="BD174" s="195">
        <v>1095</v>
      </c>
      <c r="BE174" s="195">
        <v>0.8420091324200913</v>
      </c>
      <c r="BF174" s="195">
        <v>0.4110676143777853</v>
      </c>
      <c r="BG174" s="195">
        <v>0</v>
      </c>
      <c r="BH174" s="195">
        <v>0</v>
      </c>
      <c r="BI174" s="195">
        <v>0</v>
      </c>
      <c r="BJ174" s="195">
        <v>-837.8399999999999</v>
      </c>
      <c r="BK174" s="195">
        <v>-14313.099999999999</v>
      </c>
      <c r="BL174" s="195">
        <v>-977.4800000000001</v>
      </c>
      <c r="BM174" s="195">
        <v>-4992.13</v>
      </c>
      <c r="BN174" s="195">
        <v>-139.64000000000001</v>
      </c>
      <c r="BO174" s="195">
        <v>118187</v>
      </c>
      <c r="BP174" s="195">
        <v>-109546.02398490511</v>
      </c>
      <c r="BQ174" s="195">
        <v>-298375.77</v>
      </c>
      <c r="BR174" s="195">
        <v>99190.47213805467</v>
      </c>
      <c r="BS174" s="195">
        <v>359413</v>
      </c>
      <c r="BT174" s="195">
        <v>117091</v>
      </c>
      <c r="BU174" s="195">
        <v>292961.8091873133</v>
      </c>
      <c r="BV174" s="195">
        <v>17070.764551890865</v>
      </c>
      <c r="BW174" s="195">
        <v>64056.44933309336</v>
      </c>
      <c r="BX174" s="195">
        <v>149275.4613426207</v>
      </c>
      <c r="BY174" s="195">
        <v>171825.56490100868</v>
      </c>
      <c r="BZ174" s="195">
        <v>290627.2859584415</v>
      </c>
      <c r="CA174" s="195">
        <v>83331.27297518848</v>
      </c>
      <c r="CB174" s="195">
        <v>314.19</v>
      </c>
      <c r="CC174" s="195">
        <v>-12189.717954790236</v>
      </c>
      <c r="CD174" s="195">
        <v>1751364.0124328213</v>
      </c>
      <c r="CE174" s="195">
        <v>1219197.5284479163</v>
      </c>
      <c r="CF174" s="195">
        <v>0</v>
      </c>
      <c r="CG174" s="229">
        <v>3223374.435981817</v>
      </c>
      <c r="CH174" s="195">
        <v>1976</v>
      </c>
      <c r="CI174" s="195">
        <v>9268.809300000008</v>
      </c>
      <c r="CJ174" s="195">
        <v>12812388.000094106</v>
      </c>
      <c r="CL174" s="195">
        <v>3488</v>
      </c>
    </row>
    <row r="175" spans="1:90" ht="9.75">
      <c r="A175" s="195">
        <v>445</v>
      </c>
      <c r="B175" s="195" t="s">
        <v>412</v>
      </c>
      <c r="C175" s="195">
        <v>15398</v>
      </c>
      <c r="D175" s="195">
        <v>54868295.42999999</v>
      </c>
      <c r="E175" s="195">
        <v>13945729.757981814</v>
      </c>
      <c r="F175" s="195">
        <v>10672950.596596207</v>
      </c>
      <c r="G175" s="195">
        <v>79486975.78457803</v>
      </c>
      <c r="H175" s="195">
        <v>3540.31</v>
      </c>
      <c r="I175" s="195">
        <v>54513693.38</v>
      </c>
      <c r="J175" s="195">
        <v>24973282.404578023</v>
      </c>
      <c r="K175" s="195">
        <v>374281.94099244144</v>
      </c>
      <c r="L175" s="195">
        <v>2831849.5219082586</v>
      </c>
      <c r="M175" s="195">
        <v>0</v>
      </c>
      <c r="N175" s="195">
        <v>28179413.86747872</v>
      </c>
      <c r="O175" s="195">
        <v>844531.8879351895</v>
      </c>
      <c r="P175" s="195">
        <v>29023945.755413912</v>
      </c>
      <c r="Q175" s="195">
        <v>884</v>
      </c>
      <c r="R175" s="195">
        <v>178</v>
      </c>
      <c r="S175" s="195">
        <v>1036</v>
      </c>
      <c r="T175" s="195">
        <v>550</v>
      </c>
      <c r="U175" s="195">
        <v>581</v>
      </c>
      <c r="V175" s="195">
        <v>8222</v>
      </c>
      <c r="W175" s="195">
        <v>2257</v>
      </c>
      <c r="X175" s="195">
        <v>1164</v>
      </c>
      <c r="Y175" s="195">
        <v>526</v>
      </c>
      <c r="Z175" s="195">
        <v>8566</v>
      </c>
      <c r="AA175" s="195">
        <v>0</v>
      </c>
      <c r="AB175" s="195">
        <v>6420</v>
      </c>
      <c r="AC175" s="195">
        <v>412</v>
      </c>
      <c r="AD175" s="195">
        <v>3947</v>
      </c>
      <c r="AE175" s="195">
        <v>0.7973416987389456</v>
      </c>
      <c r="AF175" s="195">
        <v>13945729.757981814</v>
      </c>
      <c r="AG175" s="195">
        <v>3552168.485768252</v>
      </c>
      <c r="AH175" s="195">
        <v>718243.6324259824</v>
      </c>
      <c r="AI175" s="195">
        <v>338927.34279287374</v>
      </c>
      <c r="AJ175" s="195">
        <v>525</v>
      </c>
      <c r="AK175" s="195">
        <v>7108</v>
      </c>
      <c r="AL175" s="195">
        <v>0.5562761649087421</v>
      </c>
      <c r="AM175" s="195">
        <v>412</v>
      </c>
      <c r="AN175" s="195">
        <v>0.02675672165216262</v>
      </c>
      <c r="AO175" s="195">
        <v>0.02278846768390865</v>
      </c>
      <c r="AP175" s="195">
        <v>3</v>
      </c>
      <c r="AQ175" s="195">
        <v>8566</v>
      </c>
      <c r="AR175" s="195">
        <v>0</v>
      </c>
      <c r="AS175" s="195">
        <v>1</v>
      </c>
      <c r="AT175" s="195">
        <v>0</v>
      </c>
      <c r="AU175" s="195">
        <v>882.7</v>
      </c>
      <c r="AV175" s="195">
        <v>17.444205279256824</v>
      </c>
      <c r="AW175" s="195">
        <v>1.0378985353336712</v>
      </c>
      <c r="AX175" s="195">
        <v>628</v>
      </c>
      <c r="AY175" s="195">
        <v>4761</v>
      </c>
      <c r="AZ175" s="195">
        <v>0.13190506196177273</v>
      </c>
      <c r="BA175" s="195">
        <v>0.06688226175910426</v>
      </c>
      <c r="BB175" s="195">
        <v>0</v>
      </c>
      <c r="BC175" s="195">
        <v>5303</v>
      </c>
      <c r="BD175" s="195">
        <v>6498</v>
      </c>
      <c r="BE175" s="195">
        <v>0.8160972606955986</v>
      </c>
      <c r="BF175" s="195">
        <v>0.38515574265329255</v>
      </c>
      <c r="BG175" s="195">
        <v>0</v>
      </c>
      <c r="BH175" s="195">
        <v>0</v>
      </c>
      <c r="BI175" s="195">
        <v>0</v>
      </c>
      <c r="BJ175" s="195">
        <v>-3695.52</v>
      </c>
      <c r="BK175" s="195">
        <v>-63131.799999999996</v>
      </c>
      <c r="BL175" s="195">
        <v>-4311.4400000000005</v>
      </c>
      <c r="BM175" s="195">
        <v>-22019.14</v>
      </c>
      <c r="BN175" s="195">
        <v>-615.92</v>
      </c>
      <c r="BO175" s="195">
        <v>85094</v>
      </c>
      <c r="BP175" s="195">
        <v>-420676.7405082429</v>
      </c>
      <c r="BQ175" s="195">
        <v>-1316067.06</v>
      </c>
      <c r="BR175" s="195">
        <v>391772.4688114561</v>
      </c>
      <c r="BS175" s="195">
        <v>1173170</v>
      </c>
      <c r="BT175" s="195">
        <v>399015</v>
      </c>
      <c r="BU175" s="195">
        <v>745570.3645870736</v>
      </c>
      <c r="BV175" s="195">
        <v>19521.031900683436</v>
      </c>
      <c r="BW175" s="195">
        <v>49051.652122313404</v>
      </c>
      <c r="BX175" s="195">
        <v>382602.86645309394</v>
      </c>
      <c r="BY175" s="195">
        <v>457327.302254667</v>
      </c>
      <c r="BZ175" s="195">
        <v>1129748.553591236</v>
      </c>
      <c r="CA175" s="195">
        <v>334949.33134774846</v>
      </c>
      <c r="CB175" s="195">
        <v>1385.82</v>
      </c>
      <c r="CC175" s="195">
        <v>-53524.12865177099</v>
      </c>
      <c r="CD175" s="195">
        <v>5116608.142416501</v>
      </c>
      <c r="CE175" s="195">
        <v>2831849.5219082586</v>
      </c>
      <c r="CF175" s="195">
        <v>0</v>
      </c>
      <c r="CG175" s="229">
        <v>844531.8879351895</v>
      </c>
      <c r="CH175" s="195">
        <v>-273981</v>
      </c>
      <c r="CI175" s="195">
        <v>-23973.75569999998</v>
      </c>
      <c r="CJ175" s="195">
        <v>28749964.755413912</v>
      </c>
      <c r="CL175" s="195">
        <v>15457</v>
      </c>
    </row>
    <row r="176" spans="1:90" ht="9.75">
      <c r="A176" s="195">
        <v>580</v>
      </c>
      <c r="B176" s="195" t="s">
        <v>243</v>
      </c>
      <c r="C176" s="195">
        <v>5126</v>
      </c>
      <c r="D176" s="195">
        <v>18504964.900000002</v>
      </c>
      <c r="E176" s="195">
        <v>8381504.682201978</v>
      </c>
      <c r="F176" s="195">
        <v>1295614.985904247</v>
      </c>
      <c r="G176" s="195">
        <v>28182084.568106227</v>
      </c>
      <c r="H176" s="195">
        <v>3540.31</v>
      </c>
      <c r="I176" s="195">
        <v>18147629.06</v>
      </c>
      <c r="J176" s="195">
        <v>10034455.508106228</v>
      </c>
      <c r="K176" s="195">
        <v>769387.6469151863</v>
      </c>
      <c r="L176" s="195">
        <v>2140603.355011033</v>
      </c>
      <c r="M176" s="195">
        <v>253659.70360706004</v>
      </c>
      <c r="N176" s="195">
        <v>13198106.213639507</v>
      </c>
      <c r="O176" s="195">
        <v>3777422.7540512807</v>
      </c>
      <c r="P176" s="195">
        <v>16975528.96769079</v>
      </c>
      <c r="Q176" s="195">
        <v>211</v>
      </c>
      <c r="R176" s="195">
        <v>38</v>
      </c>
      <c r="S176" s="195">
        <v>202</v>
      </c>
      <c r="T176" s="195">
        <v>111</v>
      </c>
      <c r="U176" s="195">
        <v>125</v>
      </c>
      <c r="V176" s="195">
        <v>2572</v>
      </c>
      <c r="W176" s="195">
        <v>977</v>
      </c>
      <c r="X176" s="195">
        <v>624</v>
      </c>
      <c r="Y176" s="195">
        <v>266</v>
      </c>
      <c r="Z176" s="195">
        <v>9</v>
      </c>
      <c r="AA176" s="195">
        <v>0</v>
      </c>
      <c r="AB176" s="195">
        <v>5017</v>
      </c>
      <c r="AC176" s="195">
        <v>100</v>
      </c>
      <c r="AD176" s="195">
        <v>1867</v>
      </c>
      <c r="AE176" s="195">
        <v>1.4394975741507305</v>
      </c>
      <c r="AF176" s="195">
        <v>8381504.682201978</v>
      </c>
      <c r="AG176" s="195">
        <v>12807207.30341717</v>
      </c>
      <c r="AH176" s="195">
        <v>2555910.325445898</v>
      </c>
      <c r="AI176" s="195">
        <v>1471658.1989690566</v>
      </c>
      <c r="AJ176" s="195">
        <v>299</v>
      </c>
      <c r="AK176" s="195">
        <v>2150</v>
      </c>
      <c r="AL176" s="195">
        <v>1.047396928523792</v>
      </c>
      <c r="AM176" s="195">
        <v>100</v>
      </c>
      <c r="AN176" s="195">
        <v>0.019508388607101055</v>
      </c>
      <c r="AO176" s="195">
        <v>0.015540134638847087</v>
      </c>
      <c r="AP176" s="195">
        <v>0</v>
      </c>
      <c r="AQ176" s="195">
        <v>9</v>
      </c>
      <c r="AR176" s="195">
        <v>0</v>
      </c>
      <c r="AS176" s="195">
        <v>3</v>
      </c>
      <c r="AT176" s="195">
        <v>228</v>
      </c>
      <c r="AU176" s="195">
        <v>592.89</v>
      </c>
      <c r="AV176" s="195">
        <v>8.645785896203343</v>
      </c>
      <c r="AW176" s="195">
        <v>2.0941202253633424</v>
      </c>
      <c r="AX176" s="195">
        <v>213</v>
      </c>
      <c r="AY176" s="195">
        <v>1315</v>
      </c>
      <c r="AZ176" s="195">
        <v>0.16197718631178706</v>
      </c>
      <c r="BA176" s="195">
        <v>0.09695438610911859</v>
      </c>
      <c r="BB176" s="195">
        <v>0.599749</v>
      </c>
      <c r="BC176" s="195">
        <v>1508</v>
      </c>
      <c r="BD176" s="195">
        <v>1810</v>
      </c>
      <c r="BE176" s="195">
        <v>0.8331491712707182</v>
      </c>
      <c r="BF176" s="195">
        <v>0.4022076532284121</v>
      </c>
      <c r="BG176" s="195">
        <v>0</v>
      </c>
      <c r="BH176" s="195">
        <v>0</v>
      </c>
      <c r="BI176" s="195">
        <v>0</v>
      </c>
      <c r="BJ176" s="195">
        <v>-1230.24</v>
      </c>
      <c r="BK176" s="195">
        <v>-21016.6</v>
      </c>
      <c r="BL176" s="195">
        <v>-1435.2800000000002</v>
      </c>
      <c r="BM176" s="195">
        <v>-7330.179999999999</v>
      </c>
      <c r="BN176" s="195">
        <v>-205.04</v>
      </c>
      <c r="BO176" s="195">
        <v>404678</v>
      </c>
      <c r="BP176" s="195">
        <v>-129054.22003701152</v>
      </c>
      <c r="BQ176" s="195">
        <v>-438119.22</v>
      </c>
      <c r="BR176" s="195">
        <v>111271.02164894715</v>
      </c>
      <c r="BS176" s="195">
        <v>548728</v>
      </c>
      <c r="BT176" s="195">
        <v>164426</v>
      </c>
      <c r="BU176" s="195">
        <v>449529.5316733578</v>
      </c>
      <c r="BV176" s="195">
        <v>24829.50885809744</v>
      </c>
      <c r="BW176" s="195">
        <v>64431.62000573984</v>
      </c>
      <c r="BX176" s="195">
        <v>213722.76312997163</v>
      </c>
      <c r="BY176" s="195">
        <v>280306.998898026</v>
      </c>
      <c r="BZ176" s="195">
        <v>469469.18040496006</v>
      </c>
      <c r="CA176" s="195">
        <v>134519.43843284887</v>
      </c>
      <c r="CB176" s="195">
        <v>461.34</v>
      </c>
      <c r="CC176" s="195">
        <v>23530.1719960954</v>
      </c>
      <c r="CD176" s="195">
        <v>2890211.1350480444</v>
      </c>
      <c r="CE176" s="195">
        <v>2140603.355011033</v>
      </c>
      <c r="CF176" s="195">
        <v>253659.70360706004</v>
      </c>
      <c r="CG176" s="229">
        <v>3777422.7540512807</v>
      </c>
      <c r="CH176" s="195">
        <v>-562136</v>
      </c>
      <c r="CI176" s="195">
        <v>14339.929999999993</v>
      </c>
      <c r="CJ176" s="195">
        <v>16413392.967690788</v>
      </c>
      <c r="CL176" s="195">
        <v>5235</v>
      </c>
    </row>
    <row r="177" spans="1:90" ht="9.75">
      <c r="A177" s="195">
        <v>581</v>
      </c>
      <c r="B177" s="195" t="s">
        <v>244</v>
      </c>
      <c r="C177" s="195">
        <v>6692</v>
      </c>
      <c r="D177" s="195">
        <v>23849013.97</v>
      </c>
      <c r="E177" s="195">
        <v>9881006.864243047</v>
      </c>
      <c r="F177" s="195">
        <v>1625102.177559458</v>
      </c>
      <c r="G177" s="195">
        <v>35355123.0118025</v>
      </c>
      <c r="H177" s="195">
        <v>3540.31</v>
      </c>
      <c r="I177" s="195">
        <v>23691754.52</v>
      </c>
      <c r="J177" s="195">
        <v>11663368.491802502</v>
      </c>
      <c r="K177" s="195">
        <v>632966.4016109963</v>
      </c>
      <c r="L177" s="195">
        <v>1747885.5277082513</v>
      </c>
      <c r="M177" s="195">
        <v>0</v>
      </c>
      <c r="N177" s="195">
        <v>14044220.42112175</v>
      </c>
      <c r="O177" s="195">
        <v>4701115.042685714</v>
      </c>
      <c r="P177" s="195">
        <v>18745335.463807464</v>
      </c>
      <c r="Q177" s="195">
        <v>343</v>
      </c>
      <c r="R177" s="195">
        <v>67</v>
      </c>
      <c r="S177" s="195">
        <v>436</v>
      </c>
      <c r="T177" s="195">
        <v>201</v>
      </c>
      <c r="U177" s="195">
        <v>215</v>
      </c>
      <c r="V177" s="195">
        <v>3455</v>
      </c>
      <c r="W177" s="195">
        <v>1108</v>
      </c>
      <c r="X177" s="195">
        <v>617</v>
      </c>
      <c r="Y177" s="195">
        <v>250</v>
      </c>
      <c r="Z177" s="195">
        <v>8</v>
      </c>
      <c r="AA177" s="195">
        <v>0</v>
      </c>
      <c r="AB177" s="195">
        <v>6559</v>
      </c>
      <c r="AC177" s="195">
        <v>125</v>
      </c>
      <c r="AD177" s="195">
        <v>1975</v>
      </c>
      <c r="AE177" s="195">
        <v>1.299908596827124</v>
      </c>
      <c r="AF177" s="195">
        <v>9881006.864243047</v>
      </c>
      <c r="AG177" s="195">
        <v>8045465.200840015</v>
      </c>
      <c r="AH177" s="195">
        <v>2093069.0417962016</v>
      </c>
      <c r="AI177" s="195">
        <v>713531.2479849972</v>
      </c>
      <c r="AJ177" s="195">
        <v>388</v>
      </c>
      <c r="AK177" s="195">
        <v>2916</v>
      </c>
      <c r="AL177" s="195">
        <v>1.0021270235198114</v>
      </c>
      <c r="AM177" s="195">
        <v>125</v>
      </c>
      <c r="AN177" s="195">
        <v>0.01867901972504483</v>
      </c>
      <c r="AO177" s="195">
        <v>0.014710765756790863</v>
      </c>
      <c r="AP177" s="195">
        <v>0</v>
      </c>
      <c r="AQ177" s="195">
        <v>8</v>
      </c>
      <c r="AR177" s="195">
        <v>0</v>
      </c>
      <c r="AS177" s="195">
        <v>0</v>
      </c>
      <c r="AT177" s="195">
        <v>0</v>
      </c>
      <c r="AU177" s="195">
        <v>852.07</v>
      </c>
      <c r="AV177" s="195">
        <v>7.8538148274202815</v>
      </c>
      <c r="AW177" s="195">
        <v>2.3052892775354046</v>
      </c>
      <c r="AX177" s="195">
        <v>291</v>
      </c>
      <c r="AY177" s="195">
        <v>1804</v>
      </c>
      <c r="AZ177" s="195">
        <v>0.16130820399113083</v>
      </c>
      <c r="BA177" s="195">
        <v>0.09628540378846236</v>
      </c>
      <c r="BB177" s="195">
        <v>0.290266</v>
      </c>
      <c r="BC177" s="195">
        <v>2405</v>
      </c>
      <c r="BD177" s="195">
        <v>2471</v>
      </c>
      <c r="BE177" s="195">
        <v>0.9732901659247268</v>
      </c>
      <c r="BF177" s="195">
        <v>0.5423486478824208</v>
      </c>
      <c r="BG177" s="195">
        <v>0</v>
      </c>
      <c r="BH177" s="195">
        <v>0</v>
      </c>
      <c r="BI177" s="195">
        <v>0</v>
      </c>
      <c r="BJ177" s="195">
        <v>-1606.08</v>
      </c>
      <c r="BK177" s="195">
        <v>-27437.199999999997</v>
      </c>
      <c r="BL177" s="195">
        <v>-1873.7600000000002</v>
      </c>
      <c r="BM177" s="195">
        <v>-9569.56</v>
      </c>
      <c r="BN177" s="195">
        <v>-267.68</v>
      </c>
      <c r="BO177" s="195">
        <v>77466</v>
      </c>
      <c r="BP177" s="195">
        <v>-198583.43160733941</v>
      </c>
      <c r="BQ177" s="195">
        <v>-571965.24</v>
      </c>
      <c r="BR177" s="195">
        <v>-46909.599780224264</v>
      </c>
      <c r="BS177" s="195">
        <v>631294</v>
      </c>
      <c r="BT177" s="195">
        <v>193783</v>
      </c>
      <c r="BU177" s="195">
        <v>483072.9142818386</v>
      </c>
      <c r="BV177" s="195">
        <v>24805.22083597808</v>
      </c>
      <c r="BW177" s="195">
        <v>35617.50781714254</v>
      </c>
      <c r="BX177" s="195">
        <v>244726.99378497124</v>
      </c>
      <c r="BY177" s="195">
        <v>364807.035582009</v>
      </c>
      <c r="BZ177" s="195">
        <v>582032.8616976138</v>
      </c>
      <c r="CA177" s="195">
        <v>194705.1134664933</v>
      </c>
      <c r="CB177" s="195">
        <v>602.28</v>
      </c>
      <c r="CC177" s="195">
        <v>-29802.368370231685</v>
      </c>
      <c r="CD177" s="195">
        <v>2756602.4793155906</v>
      </c>
      <c r="CE177" s="195">
        <v>1747885.5277082513</v>
      </c>
      <c r="CF177" s="195">
        <v>0</v>
      </c>
      <c r="CG177" s="229">
        <v>4701115.042685714</v>
      </c>
      <c r="CH177" s="195">
        <v>-610219</v>
      </c>
      <c r="CI177" s="195">
        <v>56747.01389999999</v>
      </c>
      <c r="CJ177" s="195">
        <v>18135116.463807464</v>
      </c>
      <c r="CL177" s="195">
        <v>6766</v>
      </c>
    </row>
    <row r="178" spans="1:90" ht="9.75">
      <c r="A178" s="195">
        <v>599</v>
      </c>
      <c r="B178" s="195" t="s">
        <v>245</v>
      </c>
      <c r="C178" s="195">
        <v>11067</v>
      </c>
      <c r="D178" s="195">
        <v>42404749.32</v>
      </c>
      <c r="E178" s="195">
        <v>8620169.38803019</v>
      </c>
      <c r="F178" s="195">
        <v>4231702.421993496</v>
      </c>
      <c r="G178" s="195">
        <v>55256621.13002369</v>
      </c>
      <c r="H178" s="195">
        <v>3540.31</v>
      </c>
      <c r="I178" s="195">
        <v>39180610.769999996</v>
      </c>
      <c r="J178" s="195">
        <v>16076010.360023692</v>
      </c>
      <c r="K178" s="195">
        <v>272597.2189927727</v>
      </c>
      <c r="L178" s="195">
        <v>2788911.9167418806</v>
      </c>
      <c r="M178" s="195">
        <v>0</v>
      </c>
      <c r="N178" s="195">
        <v>19137519.495758347</v>
      </c>
      <c r="O178" s="195">
        <v>6953248.360624387</v>
      </c>
      <c r="P178" s="195">
        <v>26090767.856382735</v>
      </c>
      <c r="Q178" s="195">
        <v>985</v>
      </c>
      <c r="R178" s="195">
        <v>194</v>
      </c>
      <c r="S178" s="195">
        <v>1092</v>
      </c>
      <c r="T178" s="195">
        <v>508</v>
      </c>
      <c r="U178" s="195">
        <v>494</v>
      </c>
      <c r="V178" s="195">
        <v>5867</v>
      </c>
      <c r="W178" s="195">
        <v>1106</v>
      </c>
      <c r="X178" s="195">
        <v>551</v>
      </c>
      <c r="Y178" s="195">
        <v>270</v>
      </c>
      <c r="Z178" s="195">
        <v>9888</v>
      </c>
      <c r="AA178" s="195">
        <v>0</v>
      </c>
      <c r="AB178" s="195">
        <v>931</v>
      </c>
      <c r="AC178" s="195">
        <v>248</v>
      </c>
      <c r="AD178" s="195">
        <v>1927</v>
      </c>
      <c r="AE178" s="195">
        <v>0.6857304536820781</v>
      </c>
      <c r="AF178" s="195">
        <v>8620169.38803019</v>
      </c>
      <c r="AG178" s="195">
        <v>11115191.896041658</v>
      </c>
      <c r="AH178" s="195">
        <v>3921490.2301692218</v>
      </c>
      <c r="AI178" s="195">
        <v>1025701.1689784334</v>
      </c>
      <c r="AJ178" s="195">
        <v>218</v>
      </c>
      <c r="AK178" s="195">
        <v>5269</v>
      </c>
      <c r="AL178" s="195">
        <v>0.3116067542146253</v>
      </c>
      <c r="AM178" s="195">
        <v>248</v>
      </c>
      <c r="AN178" s="195">
        <v>0.022408963585434174</v>
      </c>
      <c r="AO178" s="195">
        <v>0.018440709617180206</v>
      </c>
      <c r="AP178" s="195">
        <v>3</v>
      </c>
      <c r="AQ178" s="195">
        <v>9888</v>
      </c>
      <c r="AR178" s="195">
        <v>0</v>
      </c>
      <c r="AS178" s="195">
        <v>0</v>
      </c>
      <c r="AT178" s="195">
        <v>0</v>
      </c>
      <c r="AU178" s="195">
        <v>794.27</v>
      </c>
      <c r="AV178" s="195">
        <v>13.933549045035065</v>
      </c>
      <c r="AW178" s="195">
        <v>1.2994044123921182</v>
      </c>
      <c r="AX178" s="195">
        <v>400</v>
      </c>
      <c r="AY178" s="195">
        <v>3134</v>
      </c>
      <c r="AZ178" s="195">
        <v>0.1276324186343331</v>
      </c>
      <c r="BA178" s="195">
        <v>0.06260961843166464</v>
      </c>
      <c r="BB178" s="195">
        <v>0</v>
      </c>
      <c r="BC178" s="195">
        <v>4130</v>
      </c>
      <c r="BD178" s="195">
        <v>5029</v>
      </c>
      <c r="BE178" s="195">
        <v>0.8212368264068404</v>
      </c>
      <c r="BF178" s="195">
        <v>0.3902953083645343</v>
      </c>
      <c r="BG178" s="195">
        <v>0</v>
      </c>
      <c r="BH178" s="195">
        <v>0</v>
      </c>
      <c r="BI178" s="195">
        <v>0</v>
      </c>
      <c r="BJ178" s="195">
        <v>-2656.08</v>
      </c>
      <c r="BK178" s="195">
        <v>-45374.7</v>
      </c>
      <c r="BL178" s="195">
        <v>-3098.76</v>
      </c>
      <c r="BM178" s="195">
        <v>-15825.81</v>
      </c>
      <c r="BN178" s="195">
        <v>-442.68</v>
      </c>
      <c r="BO178" s="195">
        <v>-119051</v>
      </c>
      <c r="BP178" s="195">
        <v>-93539.29901907423</v>
      </c>
      <c r="BQ178" s="195">
        <v>-945896.49</v>
      </c>
      <c r="BR178" s="195">
        <v>228177.65468864888</v>
      </c>
      <c r="BS178" s="195">
        <v>874829</v>
      </c>
      <c r="BT178" s="195">
        <v>310573</v>
      </c>
      <c r="BU178" s="195">
        <v>740032.4773345407</v>
      </c>
      <c r="BV178" s="195">
        <v>30702.727293643246</v>
      </c>
      <c r="BW178" s="195">
        <v>54599.82824247546</v>
      </c>
      <c r="BX178" s="195">
        <v>334874.17945873406</v>
      </c>
      <c r="BY178" s="195">
        <v>661355.4490996372</v>
      </c>
      <c r="BZ178" s="195">
        <v>938522.8049510869</v>
      </c>
      <c r="CA178" s="195">
        <v>288748.71273901383</v>
      </c>
      <c r="CB178" s="195">
        <v>996.03</v>
      </c>
      <c r="CC178" s="195">
        <v>-122802.64804682478</v>
      </c>
      <c r="CD178" s="195">
        <v>4222222.235760955</v>
      </c>
      <c r="CE178" s="195">
        <v>2788911.9167418806</v>
      </c>
      <c r="CF178" s="195">
        <v>0</v>
      </c>
      <c r="CG178" s="229">
        <v>6953248.360624387</v>
      </c>
      <c r="CH178" s="195">
        <v>-523272</v>
      </c>
      <c r="CI178" s="195">
        <v>-493645.57209999993</v>
      </c>
      <c r="CJ178" s="195">
        <v>25567495.856382735</v>
      </c>
      <c r="CL178" s="195">
        <v>11129</v>
      </c>
    </row>
    <row r="179" spans="1:90" ht="9.75">
      <c r="A179" s="195">
        <v>583</v>
      </c>
      <c r="B179" s="195" t="s">
        <v>246</v>
      </c>
      <c r="C179" s="195">
        <v>951</v>
      </c>
      <c r="D179" s="195">
        <v>2843487.7199999997</v>
      </c>
      <c r="E179" s="195">
        <v>1448739.9965198648</v>
      </c>
      <c r="F179" s="195">
        <v>897398.3065976641</v>
      </c>
      <c r="G179" s="195">
        <v>5189626.023117528</v>
      </c>
      <c r="H179" s="195">
        <v>3540.31</v>
      </c>
      <c r="I179" s="195">
        <v>3366834.81</v>
      </c>
      <c r="J179" s="195">
        <v>1822791.2131175282</v>
      </c>
      <c r="K179" s="195">
        <v>1043455.4646945994</v>
      </c>
      <c r="L179" s="195">
        <v>706285.2968744684</v>
      </c>
      <c r="M179" s="195">
        <v>0</v>
      </c>
      <c r="N179" s="195">
        <v>3572531.9746865956</v>
      </c>
      <c r="O179" s="195">
        <v>522255.4993004649</v>
      </c>
      <c r="P179" s="195">
        <v>4094787.4739870606</v>
      </c>
      <c r="Q179" s="195">
        <v>41</v>
      </c>
      <c r="R179" s="195">
        <v>4</v>
      </c>
      <c r="S179" s="195">
        <v>29</v>
      </c>
      <c r="T179" s="195">
        <v>18</v>
      </c>
      <c r="U179" s="195">
        <v>16</v>
      </c>
      <c r="V179" s="195">
        <v>528</v>
      </c>
      <c r="W179" s="195">
        <v>187</v>
      </c>
      <c r="X179" s="195">
        <v>102</v>
      </c>
      <c r="Y179" s="195">
        <v>26</v>
      </c>
      <c r="Z179" s="195">
        <v>2</v>
      </c>
      <c r="AA179" s="195">
        <v>1</v>
      </c>
      <c r="AB179" s="195">
        <v>943</v>
      </c>
      <c r="AC179" s="195">
        <v>5</v>
      </c>
      <c r="AD179" s="195">
        <v>315</v>
      </c>
      <c r="AE179" s="195">
        <v>1.3411503908066227</v>
      </c>
      <c r="AF179" s="195">
        <v>1448739.9965198648</v>
      </c>
      <c r="AG179" s="195">
        <v>9986895.28271131</v>
      </c>
      <c r="AH179" s="195">
        <v>3278455.9477892118</v>
      </c>
      <c r="AI179" s="195">
        <v>740288.6697844345</v>
      </c>
      <c r="AJ179" s="195">
        <v>95</v>
      </c>
      <c r="AK179" s="195">
        <v>427</v>
      </c>
      <c r="AL179" s="195">
        <v>1.6756152252315253</v>
      </c>
      <c r="AM179" s="195">
        <v>5</v>
      </c>
      <c r="AN179" s="195">
        <v>0.005257623554153523</v>
      </c>
      <c r="AO179" s="195">
        <v>0.0012893695858995548</v>
      </c>
      <c r="AP179" s="195">
        <v>0</v>
      </c>
      <c r="AQ179" s="195">
        <v>2</v>
      </c>
      <c r="AR179" s="195">
        <v>1</v>
      </c>
      <c r="AS179" s="195">
        <v>0</v>
      </c>
      <c r="AT179" s="195">
        <v>0</v>
      </c>
      <c r="AU179" s="195">
        <v>1836.17</v>
      </c>
      <c r="AV179" s="195">
        <v>0.5179259001072886</v>
      </c>
      <c r="AW179" s="195">
        <v>34.957346418956895</v>
      </c>
      <c r="AX179" s="195">
        <v>30</v>
      </c>
      <c r="AY179" s="195">
        <v>236</v>
      </c>
      <c r="AZ179" s="195">
        <v>0.1271186440677966</v>
      </c>
      <c r="BA179" s="195">
        <v>0.062095843865128134</v>
      </c>
      <c r="BB179" s="195">
        <v>1.689066</v>
      </c>
      <c r="BC179" s="195">
        <v>380</v>
      </c>
      <c r="BD179" s="195">
        <v>339</v>
      </c>
      <c r="BE179" s="195">
        <v>1.12094395280236</v>
      </c>
      <c r="BF179" s="195">
        <v>0.6900024347600539</v>
      </c>
      <c r="BG179" s="195">
        <v>0</v>
      </c>
      <c r="BH179" s="195">
        <v>1</v>
      </c>
      <c r="BI179" s="195">
        <v>0</v>
      </c>
      <c r="BJ179" s="195">
        <v>-228.23999999999998</v>
      </c>
      <c r="BK179" s="195">
        <v>-3899.0999999999995</v>
      </c>
      <c r="BL179" s="195">
        <v>-266.28000000000003</v>
      </c>
      <c r="BM179" s="195">
        <v>-1359.9299999999998</v>
      </c>
      <c r="BN179" s="195">
        <v>-38.04</v>
      </c>
      <c r="BO179" s="195">
        <v>86897</v>
      </c>
      <c r="BP179" s="195">
        <v>-36015.13117311949</v>
      </c>
      <c r="BQ179" s="195">
        <v>-81281.97</v>
      </c>
      <c r="BR179" s="195">
        <v>326846.61793812085</v>
      </c>
      <c r="BS179" s="195">
        <v>98737</v>
      </c>
      <c r="BT179" s="195">
        <v>30421</v>
      </c>
      <c r="BU179" s="195">
        <v>86707.59390611005</v>
      </c>
      <c r="BV179" s="195">
        <v>4883.322780735451</v>
      </c>
      <c r="BW179" s="195">
        <v>12434.331455737256</v>
      </c>
      <c r="BX179" s="195">
        <v>32710.82356139678</v>
      </c>
      <c r="BY179" s="195">
        <v>49945.52380611127</v>
      </c>
      <c r="BZ179" s="195">
        <v>84755.74699200691</v>
      </c>
      <c r="CA179" s="195">
        <v>31588.63656015779</v>
      </c>
      <c r="CB179" s="195">
        <v>85.59</v>
      </c>
      <c r="CC179" s="195">
        <v>11358.24104721152</v>
      </c>
      <c r="CD179" s="195">
        <v>857428.4880475879</v>
      </c>
      <c r="CE179" s="195">
        <v>706285.2968744684</v>
      </c>
      <c r="CF179" s="195">
        <v>0</v>
      </c>
      <c r="CG179" s="229">
        <v>522255.4993004649</v>
      </c>
      <c r="CH179" s="195">
        <v>-182736</v>
      </c>
      <c r="CI179" s="195">
        <v>100379.51</v>
      </c>
      <c r="CJ179" s="195">
        <v>3912051.4739870606</v>
      </c>
      <c r="CL179" s="195">
        <v>958</v>
      </c>
    </row>
    <row r="180" spans="1:90" ht="9.75">
      <c r="A180" s="195">
        <v>854</v>
      </c>
      <c r="B180" s="195" t="s">
        <v>247</v>
      </c>
      <c r="C180" s="195">
        <v>3565</v>
      </c>
      <c r="D180" s="195">
        <v>12567605.9</v>
      </c>
      <c r="E180" s="195">
        <v>6353089.537299327</v>
      </c>
      <c r="F180" s="195">
        <v>1766534.9834279788</v>
      </c>
      <c r="G180" s="195">
        <v>20687230.420727305</v>
      </c>
      <c r="H180" s="195">
        <v>3540.31</v>
      </c>
      <c r="I180" s="195">
        <v>12621205.15</v>
      </c>
      <c r="J180" s="195">
        <v>8066025.270727305</v>
      </c>
      <c r="K180" s="195">
        <v>3827416.329159399</v>
      </c>
      <c r="L180" s="195">
        <v>824505.0476798388</v>
      </c>
      <c r="M180" s="195">
        <v>0</v>
      </c>
      <c r="N180" s="195">
        <v>12717946.647566544</v>
      </c>
      <c r="O180" s="195">
        <v>2601673.1620266666</v>
      </c>
      <c r="P180" s="195">
        <v>15319619.80959321</v>
      </c>
      <c r="Q180" s="195">
        <v>124</v>
      </c>
      <c r="R180" s="195">
        <v>21</v>
      </c>
      <c r="S180" s="195">
        <v>148</v>
      </c>
      <c r="T180" s="195">
        <v>93</v>
      </c>
      <c r="U180" s="195">
        <v>80</v>
      </c>
      <c r="V180" s="195">
        <v>1807</v>
      </c>
      <c r="W180" s="195">
        <v>682</v>
      </c>
      <c r="X180" s="195">
        <v>445</v>
      </c>
      <c r="Y180" s="195">
        <v>165</v>
      </c>
      <c r="Z180" s="195">
        <v>18</v>
      </c>
      <c r="AA180" s="195">
        <v>3</v>
      </c>
      <c r="AB180" s="195">
        <v>3509</v>
      </c>
      <c r="AC180" s="195">
        <v>35</v>
      </c>
      <c r="AD180" s="195">
        <v>1292</v>
      </c>
      <c r="AE180" s="195">
        <v>1.568891785652082</v>
      </c>
      <c r="AF180" s="195">
        <v>6353089.537299327</v>
      </c>
      <c r="AG180" s="195">
        <v>30471938.023673426</v>
      </c>
      <c r="AH180" s="195">
        <v>6225658.67194393</v>
      </c>
      <c r="AI180" s="195">
        <v>3059265.225735676</v>
      </c>
      <c r="AJ180" s="195">
        <v>240</v>
      </c>
      <c r="AK180" s="195">
        <v>1496</v>
      </c>
      <c r="AL180" s="195">
        <v>1.2082539282418148</v>
      </c>
      <c r="AM180" s="195">
        <v>35</v>
      </c>
      <c r="AN180" s="195">
        <v>0.009817671809256662</v>
      </c>
      <c r="AO180" s="195">
        <v>0.005849417841002694</v>
      </c>
      <c r="AP180" s="195">
        <v>0</v>
      </c>
      <c r="AQ180" s="195">
        <v>18</v>
      </c>
      <c r="AR180" s="195">
        <v>3</v>
      </c>
      <c r="AS180" s="195">
        <v>0</v>
      </c>
      <c r="AT180" s="195">
        <v>0</v>
      </c>
      <c r="AU180" s="195">
        <v>1737.65</v>
      </c>
      <c r="AV180" s="195">
        <v>2.0516214427531434</v>
      </c>
      <c r="AW180" s="195">
        <v>8.82488100977556</v>
      </c>
      <c r="AX180" s="195">
        <v>134</v>
      </c>
      <c r="AY180" s="195">
        <v>821</v>
      </c>
      <c r="AZ180" s="195">
        <v>0.16321559074299635</v>
      </c>
      <c r="BA180" s="195">
        <v>0.09819279054032788</v>
      </c>
      <c r="BB180" s="195">
        <v>1.665032</v>
      </c>
      <c r="BC180" s="195">
        <v>1199</v>
      </c>
      <c r="BD180" s="195">
        <v>1218</v>
      </c>
      <c r="BE180" s="195">
        <v>0.9844006568144499</v>
      </c>
      <c r="BF180" s="195">
        <v>0.5534591387721438</v>
      </c>
      <c r="BG180" s="195">
        <v>0</v>
      </c>
      <c r="BH180" s="195">
        <v>3</v>
      </c>
      <c r="BI180" s="195">
        <v>0</v>
      </c>
      <c r="BJ180" s="195">
        <v>-855.6</v>
      </c>
      <c r="BK180" s="195">
        <v>-14616.499999999998</v>
      </c>
      <c r="BL180" s="195">
        <v>-998.2</v>
      </c>
      <c r="BM180" s="195">
        <v>-5097.95</v>
      </c>
      <c r="BN180" s="195">
        <v>-142.6</v>
      </c>
      <c r="BO180" s="195">
        <v>-10827</v>
      </c>
      <c r="BP180" s="195">
        <v>-93039.08886389203</v>
      </c>
      <c r="BQ180" s="195">
        <v>-304700.55</v>
      </c>
      <c r="BR180" s="195">
        <v>-196013.11219165102</v>
      </c>
      <c r="BS180" s="195">
        <v>360045</v>
      </c>
      <c r="BT180" s="195">
        <v>112878</v>
      </c>
      <c r="BU180" s="195">
        <v>279775.4705817744</v>
      </c>
      <c r="BV180" s="195">
        <v>17209.577726508884</v>
      </c>
      <c r="BW180" s="195">
        <v>62791.6321954701</v>
      </c>
      <c r="BX180" s="195">
        <v>135895.88612350414</v>
      </c>
      <c r="BY180" s="195">
        <v>186088.03826940406</v>
      </c>
      <c r="BZ180" s="195">
        <v>316311.9860555602</v>
      </c>
      <c r="CA180" s="195">
        <v>104365.39513229854</v>
      </c>
      <c r="CB180" s="195">
        <v>320.84999999999997</v>
      </c>
      <c r="CC180" s="195">
        <v>-19932.58734913855</v>
      </c>
      <c r="CD180" s="195">
        <v>1349123.0365437309</v>
      </c>
      <c r="CE180" s="195">
        <v>824505.0476798388</v>
      </c>
      <c r="CF180" s="195">
        <v>0</v>
      </c>
      <c r="CG180" s="229">
        <v>2601673.1620266666</v>
      </c>
      <c r="CH180" s="195">
        <v>-170413</v>
      </c>
      <c r="CI180" s="195">
        <v>-64464.5035</v>
      </c>
      <c r="CJ180" s="195">
        <v>15149206.80959321</v>
      </c>
      <c r="CL180" s="195">
        <v>3623</v>
      </c>
    </row>
    <row r="181" spans="1:90" ht="9.75">
      <c r="A181" s="195">
        <v>584</v>
      </c>
      <c r="B181" s="195" t="s">
        <v>248</v>
      </c>
      <c r="C181" s="195">
        <v>2907</v>
      </c>
      <c r="D181" s="195">
        <v>12131882.689999998</v>
      </c>
      <c r="E181" s="195">
        <v>3341635.782028509</v>
      </c>
      <c r="F181" s="195">
        <v>915645.1338464852</v>
      </c>
      <c r="G181" s="195">
        <v>16389163.605874993</v>
      </c>
      <c r="H181" s="195">
        <v>3540.31</v>
      </c>
      <c r="I181" s="195">
        <v>10291681.17</v>
      </c>
      <c r="J181" s="195">
        <v>6097482.435874993</v>
      </c>
      <c r="K181" s="195">
        <v>701334.3452205614</v>
      </c>
      <c r="L181" s="195">
        <v>843394.2071539621</v>
      </c>
      <c r="M181" s="195">
        <v>0</v>
      </c>
      <c r="N181" s="195">
        <v>7642210.988249516</v>
      </c>
      <c r="O181" s="195">
        <v>3475181.5881485706</v>
      </c>
      <c r="P181" s="195">
        <v>11117392.576398086</v>
      </c>
      <c r="Q181" s="195">
        <v>300</v>
      </c>
      <c r="R181" s="195">
        <v>46</v>
      </c>
      <c r="S181" s="195">
        <v>328</v>
      </c>
      <c r="T181" s="195">
        <v>139</v>
      </c>
      <c r="U181" s="195">
        <v>133</v>
      </c>
      <c r="V181" s="195">
        <v>1337</v>
      </c>
      <c r="W181" s="195">
        <v>359</v>
      </c>
      <c r="X181" s="195">
        <v>186</v>
      </c>
      <c r="Y181" s="195">
        <v>79</v>
      </c>
      <c r="Z181" s="195">
        <v>13</v>
      </c>
      <c r="AA181" s="195">
        <v>0</v>
      </c>
      <c r="AB181" s="195">
        <v>2874</v>
      </c>
      <c r="AC181" s="195">
        <v>20</v>
      </c>
      <c r="AD181" s="195">
        <v>624</v>
      </c>
      <c r="AE181" s="195">
        <v>1.0120025996669575</v>
      </c>
      <c r="AF181" s="195">
        <v>3341635.782028509</v>
      </c>
      <c r="AG181" s="195">
        <v>12083941.090754958</v>
      </c>
      <c r="AH181" s="195">
        <v>3118904.953311354</v>
      </c>
      <c r="AI181" s="195">
        <v>1239760.5433739328</v>
      </c>
      <c r="AJ181" s="195">
        <v>126</v>
      </c>
      <c r="AK181" s="195">
        <v>1123</v>
      </c>
      <c r="AL181" s="195">
        <v>0.8450246084070536</v>
      </c>
      <c r="AM181" s="195">
        <v>20</v>
      </c>
      <c r="AN181" s="195">
        <v>0.0068799449604403165</v>
      </c>
      <c r="AO181" s="195">
        <v>0.0029116909921863485</v>
      </c>
      <c r="AP181" s="195">
        <v>0</v>
      </c>
      <c r="AQ181" s="195">
        <v>13</v>
      </c>
      <c r="AR181" s="195">
        <v>0</v>
      </c>
      <c r="AS181" s="195">
        <v>0</v>
      </c>
      <c r="AT181" s="195">
        <v>0</v>
      </c>
      <c r="AU181" s="195">
        <v>747.83</v>
      </c>
      <c r="AV181" s="195">
        <v>3.887247101614003</v>
      </c>
      <c r="AW181" s="195">
        <v>4.657618781652224</v>
      </c>
      <c r="AX181" s="195">
        <v>141</v>
      </c>
      <c r="AY181" s="195">
        <v>679</v>
      </c>
      <c r="AZ181" s="195">
        <v>0.20765832106038293</v>
      </c>
      <c r="BA181" s="195">
        <v>0.14263552085771447</v>
      </c>
      <c r="BB181" s="195">
        <v>0.997766</v>
      </c>
      <c r="BC181" s="195">
        <v>944</v>
      </c>
      <c r="BD181" s="195">
        <v>977</v>
      </c>
      <c r="BE181" s="195">
        <v>0.9662231320368475</v>
      </c>
      <c r="BF181" s="195">
        <v>0.5352816139945414</v>
      </c>
      <c r="BG181" s="195">
        <v>0</v>
      </c>
      <c r="BH181" s="195">
        <v>0</v>
      </c>
      <c r="BI181" s="195">
        <v>0</v>
      </c>
      <c r="BJ181" s="195">
        <v>-697.68</v>
      </c>
      <c r="BK181" s="195">
        <v>-11918.699999999999</v>
      </c>
      <c r="BL181" s="195">
        <v>-813.96</v>
      </c>
      <c r="BM181" s="195">
        <v>-4157.01</v>
      </c>
      <c r="BN181" s="195">
        <v>-116.28</v>
      </c>
      <c r="BO181" s="195">
        <v>25831</v>
      </c>
      <c r="BP181" s="195">
        <v>-66027.7404840524</v>
      </c>
      <c r="BQ181" s="195">
        <v>-248461.29</v>
      </c>
      <c r="BR181" s="195">
        <v>40403.31963919662</v>
      </c>
      <c r="BS181" s="195">
        <v>248802</v>
      </c>
      <c r="BT181" s="195">
        <v>81810</v>
      </c>
      <c r="BU181" s="195">
        <v>237809.04534196263</v>
      </c>
      <c r="BV181" s="195">
        <v>12373.570511656304</v>
      </c>
      <c r="BW181" s="195">
        <v>37925.0929076098</v>
      </c>
      <c r="BX181" s="195">
        <v>123013.57808496512</v>
      </c>
      <c r="BY181" s="195">
        <v>153607.53770423934</v>
      </c>
      <c r="BZ181" s="195">
        <v>243407.94374177346</v>
      </c>
      <c r="CA181" s="195">
        <v>55722.39506292361</v>
      </c>
      <c r="CB181" s="195">
        <v>261.63</v>
      </c>
      <c r="CC181" s="195">
        <v>201.8346436877764</v>
      </c>
      <c r="CD181" s="195">
        <v>1261343.3676380145</v>
      </c>
      <c r="CE181" s="195">
        <v>843394.2071539621</v>
      </c>
      <c r="CF181" s="195">
        <v>0</v>
      </c>
      <c r="CG181" s="229">
        <v>3475181.5881485706</v>
      </c>
      <c r="CH181" s="195">
        <v>115276</v>
      </c>
      <c r="CI181" s="195">
        <v>-7821.780000000006</v>
      </c>
      <c r="CJ181" s="195">
        <v>11232668.576398086</v>
      </c>
      <c r="CL181" s="195">
        <v>2931</v>
      </c>
    </row>
    <row r="182" spans="1:90" ht="9.75">
      <c r="A182" s="195">
        <v>588</v>
      </c>
      <c r="B182" s="195" t="s">
        <v>249</v>
      </c>
      <c r="C182" s="195">
        <v>1796</v>
      </c>
      <c r="D182" s="195">
        <v>6685112.82</v>
      </c>
      <c r="E182" s="195">
        <v>2761212.3050207417</v>
      </c>
      <c r="F182" s="195">
        <v>576461.64957025</v>
      </c>
      <c r="G182" s="195">
        <v>10022786.774590991</v>
      </c>
      <c r="H182" s="195">
        <v>3540.31</v>
      </c>
      <c r="I182" s="195">
        <v>6358396.76</v>
      </c>
      <c r="J182" s="195">
        <v>3664390.0145909917</v>
      </c>
      <c r="K182" s="195">
        <v>164722.76886852953</v>
      </c>
      <c r="L182" s="195">
        <v>643028.4610677861</v>
      </c>
      <c r="M182" s="195">
        <v>0</v>
      </c>
      <c r="N182" s="195">
        <v>4472141.244527307</v>
      </c>
      <c r="O182" s="195">
        <v>1666320.0961409525</v>
      </c>
      <c r="P182" s="195">
        <v>6138461.34066826</v>
      </c>
      <c r="Q182" s="195">
        <v>63</v>
      </c>
      <c r="R182" s="195">
        <v>14</v>
      </c>
      <c r="S182" s="195">
        <v>106</v>
      </c>
      <c r="T182" s="195">
        <v>53</v>
      </c>
      <c r="U182" s="195">
        <v>40</v>
      </c>
      <c r="V182" s="195">
        <v>904</v>
      </c>
      <c r="W182" s="195">
        <v>320</v>
      </c>
      <c r="X182" s="195">
        <v>203</v>
      </c>
      <c r="Y182" s="195">
        <v>93</v>
      </c>
      <c r="Z182" s="195">
        <v>2</v>
      </c>
      <c r="AA182" s="195">
        <v>0</v>
      </c>
      <c r="AB182" s="195">
        <v>1744</v>
      </c>
      <c r="AC182" s="195">
        <v>50</v>
      </c>
      <c r="AD182" s="195">
        <v>616</v>
      </c>
      <c r="AE182" s="195">
        <v>1.353508585780975</v>
      </c>
      <c r="AF182" s="195">
        <v>2761212.3050207417</v>
      </c>
      <c r="AG182" s="195">
        <v>1776728.5118141386</v>
      </c>
      <c r="AH182" s="195">
        <v>450425.8916952936</v>
      </c>
      <c r="AI182" s="195">
        <v>249735.93679474905</v>
      </c>
      <c r="AJ182" s="195">
        <v>94</v>
      </c>
      <c r="AK182" s="195">
        <v>743</v>
      </c>
      <c r="AL182" s="195">
        <v>0.9528347936579014</v>
      </c>
      <c r="AM182" s="195">
        <v>50</v>
      </c>
      <c r="AN182" s="195">
        <v>0.02783964365256125</v>
      </c>
      <c r="AO182" s="195">
        <v>0.02387138968430728</v>
      </c>
      <c r="AP182" s="195">
        <v>0</v>
      </c>
      <c r="AQ182" s="195">
        <v>2</v>
      </c>
      <c r="AR182" s="195">
        <v>0</v>
      </c>
      <c r="AS182" s="195">
        <v>0</v>
      </c>
      <c r="AT182" s="195">
        <v>0</v>
      </c>
      <c r="AU182" s="195">
        <v>374.44</v>
      </c>
      <c r="AV182" s="195">
        <v>4.796496100843927</v>
      </c>
      <c r="AW182" s="195">
        <v>3.7746960966391656</v>
      </c>
      <c r="AX182" s="195">
        <v>86</v>
      </c>
      <c r="AY182" s="195">
        <v>470</v>
      </c>
      <c r="AZ182" s="195">
        <v>0.1829787234042553</v>
      </c>
      <c r="BA182" s="195">
        <v>0.11795592320158683</v>
      </c>
      <c r="BB182" s="195">
        <v>0.271666</v>
      </c>
      <c r="BC182" s="195">
        <v>636</v>
      </c>
      <c r="BD182" s="195">
        <v>643</v>
      </c>
      <c r="BE182" s="195">
        <v>0.9891135303265941</v>
      </c>
      <c r="BF182" s="195">
        <v>0.558172012284288</v>
      </c>
      <c r="BG182" s="195">
        <v>0</v>
      </c>
      <c r="BH182" s="195">
        <v>0</v>
      </c>
      <c r="BI182" s="195">
        <v>0</v>
      </c>
      <c r="BJ182" s="195">
        <v>-431.03999999999996</v>
      </c>
      <c r="BK182" s="195">
        <v>-7363.599999999999</v>
      </c>
      <c r="BL182" s="195">
        <v>-502.88000000000005</v>
      </c>
      <c r="BM182" s="195">
        <v>-2568.2799999999997</v>
      </c>
      <c r="BN182" s="195">
        <v>-71.84</v>
      </c>
      <c r="BO182" s="195">
        <v>-43711</v>
      </c>
      <c r="BP182" s="195">
        <v>-31513.239776479553</v>
      </c>
      <c r="BQ182" s="195">
        <v>-153504.12</v>
      </c>
      <c r="BR182" s="195">
        <v>63048.20871804934</v>
      </c>
      <c r="BS182" s="195">
        <v>234115</v>
      </c>
      <c r="BT182" s="195">
        <v>67290</v>
      </c>
      <c r="BU182" s="195">
        <v>168977.94436263852</v>
      </c>
      <c r="BV182" s="195">
        <v>9010.292511181933</v>
      </c>
      <c r="BW182" s="195">
        <v>8334.40104357321</v>
      </c>
      <c r="BX182" s="195">
        <v>76406.0058587274</v>
      </c>
      <c r="BY182" s="195">
        <v>102718.41957583952</v>
      </c>
      <c r="BZ182" s="195">
        <v>162135.96327907612</v>
      </c>
      <c r="CA182" s="195">
        <v>47233.41856362294</v>
      </c>
      <c r="CB182" s="195">
        <v>161.64</v>
      </c>
      <c r="CC182" s="195">
        <v>-3862.5930684434243</v>
      </c>
      <c r="CD182" s="195">
        <v>891965.4608442656</v>
      </c>
      <c r="CE182" s="195">
        <v>643028.4610677861</v>
      </c>
      <c r="CF182" s="195">
        <v>0</v>
      </c>
      <c r="CG182" s="229">
        <v>1666320.0961409525</v>
      </c>
      <c r="CH182" s="195">
        <v>-342101</v>
      </c>
      <c r="CI182" s="195">
        <v>-6127.0610000000015</v>
      </c>
      <c r="CJ182" s="195">
        <v>5796360.34066826</v>
      </c>
      <c r="CL182" s="195">
        <v>1817</v>
      </c>
    </row>
    <row r="183" spans="1:90" ht="9.75">
      <c r="A183" s="195">
        <v>592</v>
      </c>
      <c r="B183" s="195" t="s">
        <v>250</v>
      </c>
      <c r="C183" s="195">
        <v>3981</v>
      </c>
      <c r="D183" s="195">
        <v>14703393.7</v>
      </c>
      <c r="E183" s="195">
        <v>4783767.560501813</v>
      </c>
      <c r="F183" s="195">
        <v>827360.416265525</v>
      </c>
      <c r="G183" s="195">
        <v>20314521.676767338</v>
      </c>
      <c r="H183" s="195">
        <v>3540.31</v>
      </c>
      <c r="I183" s="195">
        <v>14093974.11</v>
      </c>
      <c r="J183" s="195">
        <v>6220547.566767339</v>
      </c>
      <c r="K183" s="195">
        <v>51749.42624580713</v>
      </c>
      <c r="L183" s="195">
        <v>1014753.3683109891</v>
      </c>
      <c r="M183" s="195">
        <v>0</v>
      </c>
      <c r="N183" s="195">
        <v>7287050.361324134</v>
      </c>
      <c r="O183" s="195">
        <v>2997824.658194823</v>
      </c>
      <c r="P183" s="195">
        <v>10284875.019518957</v>
      </c>
      <c r="Q183" s="195">
        <v>286</v>
      </c>
      <c r="R183" s="195">
        <v>57</v>
      </c>
      <c r="S183" s="195">
        <v>345</v>
      </c>
      <c r="T183" s="195">
        <v>153</v>
      </c>
      <c r="U183" s="195">
        <v>136</v>
      </c>
      <c r="V183" s="195">
        <v>2092</v>
      </c>
      <c r="W183" s="195">
        <v>519</v>
      </c>
      <c r="X183" s="195">
        <v>278</v>
      </c>
      <c r="Y183" s="195">
        <v>115</v>
      </c>
      <c r="Z183" s="195">
        <v>4</v>
      </c>
      <c r="AA183" s="195">
        <v>0</v>
      </c>
      <c r="AB183" s="195">
        <v>3919</v>
      </c>
      <c r="AC183" s="195">
        <v>58</v>
      </c>
      <c r="AD183" s="195">
        <v>912</v>
      </c>
      <c r="AE183" s="195">
        <v>1.0579020022586005</v>
      </c>
      <c r="AF183" s="195">
        <v>4783767.560501813</v>
      </c>
      <c r="AG183" s="195">
        <v>4446215.524032357</v>
      </c>
      <c r="AH183" s="195">
        <v>904436.7749883633</v>
      </c>
      <c r="AI183" s="195">
        <v>445957.02999062324</v>
      </c>
      <c r="AJ183" s="195">
        <v>238</v>
      </c>
      <c r="AK183" s="195">
        <v>1770</v>
      </c>
      <c r="AL183" s="195">
        <v>1.0127033772190246</v>
      </c>
      <c r="AM183" s="195">
        <v>58</v>
      </c>
      <c r="AN183" s="195">
        <v>0.01456920371765888</v>
      </c>
      <c r="AO183" s="195">
        <v>0.010600949749404912</v>
      </c>
      <c r="AP183" s="195">
        <v>0</v>
      </c>
      <c r="AQ183" s="195">
        <v>4</v>
      </c>
      <c r="AR183" s="195">
        <v>0</v>
      </c>
      <c r="AS183" s="195">
        <v>0</v>
      </c>
      <c r="AT183" s="195">
        <v>0</v>
      </c>
      <c r="AU183" s="195">
        <v>456.41</v>
      </c>
      <c r="AV183" s="195">
        <v>8.722420630573387</v>
      </c>
      <c r="AW183" s="195">
        <v>2.0757213938913606</v>
      </c>
      <c r="AX183" s="195">
        <v>139</v>
      </c>
      <c r="AY183" s="195">
        <v>1241</v>
      </c>
      <c r="AZ183" s="195">
        <v>0.11200644641418211</v>
      </c>
      <c r="BA183" s="195">
        <v>0.046983646211513644</v>
      </c>
      <c r="BB183" s="195">
        <v>0</v>
      </c>
      <c r="BC183" s="195">
        <v>942</v>
      </c>
      <c r="BD183" s="195">
        <v>1479</v>
      </c>
      <c r="BE183" s="195">
        <v>0.6369168356997972</v>
      </c>
      <c r="BF183" s="195">
        <v>0.2059753176574911</v>
      </c>
      <c r="BG183" s="195">
        <v>0</v>
      </c>
      <c r="BH183" s="195">
        <v>0</v>
      </c>
      <c r="BI183" s="195">
        <v>0</v>
      </c>
      <c r="BJ183" s="195">
        <v>-955.4399999999999</v>
      </c>
      <c r="BK183" s="195">
        <v>-16322.099999999999</v>
      </c>
      <c r="BL183" s="195">
        <v>-1114.68</v>
      </c>
      <c r="BM183" s="195">
        <v>-5692.83</v>
      </c>
      <c r="BN183" s="195">
        <v>-159.24</v>
      </c>
      <c r="BO183" s="195">
        <v>123623</v>
      </c>
      <c r="BP183" s="195">
        <v>-152063.88717539338</v>
      </c>
      <c r="BQ183" s="195">
        <v>-340256.07</v>
      </c>
      <c r="BR183" s="195">
        <v>36948.840584326535</v>
      </c>
      <c r="BS183" s="195">
        <v>354457</v>
      </c>
      <c r="BT183" s="195">
        <v>106582</v>
      </c>
      <c r="BU183" s="195">
        <v>254905.20955377643</v>
      </c>
      <c r="BV183" s="195">
        <v>8332.65349028518</v>
      </c>
      <c r="BW183" s="195">
        <v>26530.701781500757</v>
      </c>
      <c r="BX183" s="195">
        <v>123476.20413054695</v>
      </c>
      <c r="BY183" s="195">
        <v>207997.30219506685</v>
      </c>
      <c r="BZ183" s="195">
        <v>310773.8657329674</v>
      </c>
      <c r="CA183" s="195">
        <v>83748.64099356816</v>
      </c>
      <c r="CB183" s="195">
        <v>358.28999999999996</v>
      </c>
      <c r="CC183" s="195">
        <v>10784.547024344334</v>
      </c>
      <c r="CD183" s="195">
        <v>1648757.1154863825</v>
      </c>
      <c r="CE183" s="195">
        <v>1014753.3683109891</v>
      </c>
      <c r="CF183" s="195">
        <v>0</v>
      </c>
      <c r="CG183" s="229">
        <v>2997824.658194823</v>
      </c>
      <c r="CH183" s="195">
        <v>-69234</v>
      </c>
      <c r="CI183" s="195">
        <v>125161.51629999999</v>
      </c>
      <c r="CJ183" s="195">
        <v>10215641.019518957</v>
      </c>
      <c r="CL183" s="195">
        <v>4008</v>
      </c>
    </row>
    <row r="184" spans="1:90" ht="9.75">
      <c r="A184" s="195">
        <v>593</v>
      </c>
      <c r="B184" s="195" t="s">
        <v>251</v>
      </c>
      <c r="C184" s="195">
        <v>18475</v>
      </c>
      <c r="D184" s="195">
        <v>63554692.14</v>
      </c>
      <c r="E184" s="195">
        <v>33492832.8664957</v>
      </c>
      <c r="F184" s="195">
        <v>3820730.8446614677</v>
      </c>
      <c r="G184" s="195">
        <v>100868255.85115717</v>
      </c>
      <c r="H184" s="195">
        <v>3540.31</v>
      </c>
      <c r="I184" s="195">
        <v>65407227.25</v>
      </c>
      <c r="J184" s="195">
        <v>35461028.60115717</v>
      </c>
      <c r="K184" s="195">
        <v>664164.9817227232</v>
      </c>
      <c r="L184" s="195">
        <v>4157290.015160085</v>
      </c>
      <c r="M184" s="195">
        <v>0</v>
      </c>
      <c r="N184" s="195">
        <v>40282483.59803998</v>
      </c>
      <c r="O184" s="195">
        <v>9847398.858829094</v>
      </c>
      <c r="P184" s="195">
        <v>50129882.45686907</v>
      </c>
      <c r="Q184" s="195">
        <v>848</v>
      </c>
      <c r="R184" s="195">
        <v>131</v>
      </c>
      <c r="S184" s="195">
        <v>966</v>
      </c>
      <c r="T184" s="195">
        <v>506</v>
      </c>
      <c r="U184" s="195">
        <v>603</v>
      </c>
      <c r="V184" s="195">
        <v>10063</v>
      </c>
      <c r="W184" s="195">
        <v>2842</v>
      </c>
      <c r="X184" s="195">
        <v>1786</v>
      </c>
      <c r="Y184" s="195">
        <v>730</v>
      </c>
      <c r="Z184" s="195">
        <v>20</v>
      </c>
      <c r="AA184" s="195">
        <v>0</v>
      </c>
      <c r="AB184" s="195">
        <v>17998</v>
      </c>
      <c r="AC184" s="195">
        <v>457</v>
      </c>
      <c r="AD184" s="195">
        <v>5358</v>
      </c>
      <c r="AE184" s="195">
        <v>1.5960077005263946</v>
      </c>
      <c r="AF184" s="195">
        <v>33492832.8664957</v>
      </c>
      <c r="AG184" s="195">
        <v>3442411.4916398935</v>
      </c>
      <c r="AH184" s="195">
        <v>809377.8925168111</v>
      </c>
      <c r="AI184" s="195">
        <v>312169.92099343624</v>
      </c>
      <c r="AJ184" s="195">
        <v>1009</v>
      </c>
      <c r="AK184" s="195">
        <v>8167</v>
      </c>
      <c r="AL184" s="195">
        <v>0.9304802903654966</v>
      </c>
      <c r="AM184" s="195">
        <v>457</v>
      </c>
      <c r="AN184" s="195">
        <v>0.0247361299052774</v>
      </c>
      <c r="AO184" s="195">
        <v>0.020767875937023433</v>
      </c>
      <c r="AP184" s="195">
        <v>0</v>
      </c>
      <c r="AQ184" s="195">
        <v>20</v>
      </c>
      <c r="AR184" s="195">
        <v>0</v>
      </c>
      <c r="AS184" s="195">
        <v>0</v>
      </c>
      <c r="AT184" s="195">
        <v>0</v>
      </c>
      <c r="AU184" s="195">
        <v>1568.61</v>
      </c>
      <c r="AV184" s="195">
        <v>11.777943529621767</v>
      </c>
      <c r="AW184" s="195">
        <v>1.5372221019624788</v>
      </c>
      <c r="AX184" s="195">
        <v>665</v>
      </c>
      <c r="AY184" s="195">
        <v>5068</v>
      </c>
      <c r="AZ184" s="195">
        <v>0.13121546961325967</v>
      </c>
      <c r="BA184" s="195">
        <v>0.0661926694105912</v>
      </c>
      <c r="BB184" s="195">
        <v>0</v>
      </c>
      <c r="BC184" s="195">
        <v>6995</v>
      </c>
      <c r="BD184" s="195">
        <v>6991</v>
      </c>
      <c r="BE184" s="195">
        <v>1.0005721642111285</v>
      </c>
      <c r="BF184" s="195">
        <v>0.5696306461688224</v>
      </c>
      <c r="BG184" s="195">
        <v>0</v>
      </c>
      <c r="BH184" s="195">
        <v>0</v>
      </c>
      <c r="BI184" s="195">
        <v>0</v>
      </c>
      <c r="BJ184" s="195">
        <v>-4434</v>
      </c>
      <c r="BK184" s="195">
        <v>-75747.5</v>
      </c>
      <c r="BL184" s="195">
        <v>-5173.000000000001</v>
      </c>
      <c r="BM184" s="195">
        <v>-26419.25</v>
      </c>
      <c r="BN184" s="195">
        <v>-739</v>
      </c>
      <c r="BO184" s="195">
        <v>-13406</v>
      </c>
      <c r="BP184" s="195">
        <v>-820344.6544988328</v>
      </c>
      <c r="BQ184" s="195">
        <v>-1579058.25</v>
      </c>
      <c r="BR184" s="195">
        <v>-146001.90130151063</v>
      </c>
      <c r="BS184" s="195">
        <v>1560090</v>
      </c>
      <c r="BT184" s="195">
        <v>513971</v>
      </c>
      <c r="BU184" s="195">
        <v>1260126.626801296</v>
      </c>
      <c r="BV184" s="195">
        <v>63467.03263140767</v>
      </c>
      <c r="BW184" s="195">
        <v>157346.3627602417</v>
      </c>
      <c r="BX184" s="195">
        <v>647965.8766096516</v>
      </c>
      <c r="BY184" s="195">
        <v>974534.7401775933</v>
      </c>
      <c r="BZ184" s="195">
        <v>1699306.929225473</v>
      </c>
      <c r="CA184" s="195">
        <v>541480.5947317595</v>
      </c>
      <c r="CB184" s="195">
        <v>1662.75</v>
      </c>
      <c r="CC184" s="195">
        <v>-47434.341976993484</v>
      </c>
      <c r="CD184" s="195">
        <v>7214218.169658918</v>
      </c>
      <c r="CE184" s="195">
        <v>4157290.015160085</v>
      </c>
      <c r="CF184" s="195">
        <v>0</v>
      </c>
      <c r="CG184" s="229">
        <v>9847398.858829094</v>
      </c>
      <c r="CH184" s="195">
        <v>-1905474</v>
      </c>
      <c r="CI184" s="195">
        <v>-58506.91439999998</v>
      </c>
      <c r="CJ184" s="195">
        <v>48224408.45686907</v>
      </c>
      <c r="CL184" s="195">
        <v>18801</v>
      </c>
    </row>
    <row r="185" spans="1:90" ht="9.75">
      <c r="A185" s="195">
        <v>595</v>
      </c>
      <c r="B185" s="195" t="s">
        <v>252</v>
      </c>
      <c r="C185" s="195">
        <v>4697</v>
      </c>
      <c r="D185" s="195">
        <v>17875148.25</v>
      </c>
      <c r="E185" s="195">
        <v>10061681.944313364</v>
      </c>
      <c r="F185" s="195">
        <v>1434113.6878279948</v>
      </c>
      <c r="G185" s="195">
        <v>29370943.882141355</v>
      </c>
      <c r="H185" s="195">
        <v>3540.31</v>
      </c>
      <c r="I185" s="195">
        <v>16628836.07</v>
      </c>
      <c r="J185" s="195">
        <v>12742107.812141355</v>
      </c>
      <c r="K185" s="195">
        <v>605622.7989603924</v>
      </c>
      <c r="L185" s="195">
        <v>1624147.9821540164</v>
      </c>
      <c r="M185" s="195">
        <v>0</v>
      </c>
      <c r="N185" s="195">
        <v>14971878.593255762</v>
      </c>
      <c r="O185" s="195">
        <v>4911491.248890603</v>
      </c>
      <c r="P185" s="195">
        <v>19883369.842146367</v>
      </c>
      <c r="Q185" s="195">
        <v>220</v>
      </c>
      <c r="R185" s="195">
        <v>46</v>
      </c>
      <c r="S185" s="195">
        <v>320</v>
      </c>
      <c r="T185" s="195">
        <v>148</v>
      </c>
      <c r="U185" s="195">
        <v>147</v>
      </c>
      <c r="V185" s="195">
        <v>2270</v>
      </c>
      <c r="W185" s="195">
        <v>796</v>
      </c>
      <c r="X185" s="195">
        <v>539</v>
      </c>
      <c r="Y185" s="195">
        <v>211</v>
      </c>
      <c r="Z185" s="195">
        <v>5</v>
      </c>
      <c r="AA185" s="195">
        <v>0</v>
      </c>
      <c r="AB185" s="195">
        <v>4615</v>
      </c>
      <c r="AC185" s="195">
        <v>77</v>
      </c>
      <c r="AD185" s="195">
        <v>1546</v>
      </c>
      <c r="AE185" s="195">
        <v>1.885895272965104</v>
      </c>
      <c r="AF185" s="195">
        <v>10061681.944313364</v>
      </c>
      <c r="AG185" s="195">
        <v>6070962.64722806</v>
      </c>
      <c r="AH185" s="195">
        <v>1429430.491917395</v>
      </c>
      <c r="AI185" s="195">
        <v>552986.7171883729</v>
      </c>
      <c r="AJ185" s="195">
        <v>208</v>
      </c>
      <c r="AK185" s="195">
        <v>1777</v>
      </c>
      <c r="AL185" s="195">
        <v>0.8815652746744255</v>
      </c>
      <c r="AM185" s="195">
        <v>77</v>
      </c>
      <c r="AN185" s="195">
        <v>0.01639344262295082</v>
      </c>
      <c r="AO185" s="195">
        <v>0.012425188654696852</v>
      </c>
      <c r="AP185" s="195">
        <v>0</v>
      </c>
      <c r="AQ185" s="195">
        <v>5</v>
      </c>
      <c r="AR185" s="195">
        <v>0</v>
      </c>
      <c r="AS185" s="195">
        <v>0</v>
      </c>
      <c r="AT185" s="195">
        <v>0</v>
      </c>
      <c r="AU185" s="195">
        <v>1153.23</v>
      </c>
      <c r="AV185" s="195">
        <v>4.072908266347563</v>
      </c>
      <c r="AW185" s="195">
        <v>4.445303926679582</v>
      </c>
      <c r="AX185" s="195">
        <v>165</v>
      </c>
      <c r="AY185" s="195">
        <v>1107</v>
      </c>
      <c r="AZ185" s="195">
        <v>0.14905149051490515</v>
      </c>
      <c r="BA185" s="195">
        <v>0.08402869031223668</v>
      </c>
      <c r="BB185" s="195">
        <v>0.484333</v>
      </c>
      <c r="BC185" s="195">
        <v>1341</v>
      </c>
      <c r="BD185" s="195">
        <v>1527</v>
      </c>
      <c r="BE185" s="195">
        <v>0.8781925343811395</v>
      </c>
      <c r="BF185" s="195">
        <v>0.44725101633883346</v>
      </c>
      <c r="BG185" s="195">
        <v>0</v>
      </c>
      <c r="BH185" s="195">
        <v>0</v>
      </c>
      <c r="BI185" s="195">
        <v>0</v>
      </c>
      <c r="BJ185" s="195">
        <v>-1127.28</v>
      </c>
      <c r="BK185" s="195">
        <v>-19257.699999999997</v>
      </c>
      <c r="BL185" s="195">
        <v>-1315.16</v>
      </c>
      <c r="BM185" s="195">
        <v>-6716.71</v>
      </c>
      <c r="BN185" s="195">
        <v>-187.88</v>
      </c>
      <c r="BO185" s="195">
        <v>17169</v>
      </c>
      <c r="BP185" s="195">
        <v>-126553.16926110043</v>
      </c>
      <c r="BQ185" s="195">
        <v>-401452.58999999997</v>
      </c>
      <c r="BR185" s="195">
        <v>172400.20626162738</v>
      </c>
      <c r="BS185" s="195">
        <v>533260</v>
      </c>
      <c r="BT185" s="195">
        <v>148458</v>
      </c>
      <c r="BU185" s="195">
        <v>383608.90878330654</v>
      </c>
      <c r="BV185" s="195">
        <v>21691.08045287163</v>
      </c>
      <c r="BW185" s="195">
        <v>60410.255073567154</v>
      </c>
      <c r="BX185" s="195">
        <v>212891.88876775064</v>
      </c>
      <c r="BY185" s="195">
        <v>253801.99598146603</v>
      </c>
      <c r="BZ185" s="195">
        <v>410291.2388869653</v>
      </c>
      <c r="CA185" s="195">
        <v>111298.6363370982</v>
      </c>
      <c r="CB185" s="195">
        <v>422.72999999999996</v>
      </c>
      <c r="CC185" s="195">
        <v>-6665.789129536213</v>
      </c>
      <c r="CD185" s="195">
        <v>2319319.971415117</v>
      </c>
      <c r="CE185" s="195">
        <v>1624147.9821540164</v>
      </c>
      <c r="CF185" s="195">
        <v>0</v>
      </c>
      <c r="CG185" s="229">
        <v>4911491.248890603</v>
      </c>
      <c r="CH185" s="195">
        <v>30474</v>
      </c>
      <c r="CI185" s="195">
        <v>102374.06390000001</v>
      </c>
      <c r="CJ185" s="195">
        <v>19913843.842146367</v>
      </c>
      <c r="CL185" s="195">
        <v>4740</v>
      </c>
    </row>
    <row r="186" spans="1:90" ht="9.75">
      <c r="A186" s="195">
        <v>598</v>
      </c>
      <c r="B186" s="195" t="s">
        <v>253</v>
      </c>
      <c r="C186" s="195">
        <v>19377</v>
      </c>
      <c r="D186" s="195">
        <v>68875378.85000001</v>
      </c>
      <c r="E186" s="195">
        <v>22135177.188840438</v>
      </c>
      <c r="F186" s="195">
        <v>8149224.1619818555</v>
      </c>
      <c r="G186" s="195">
        <v>99159780.2008223</v>
      </c>
      <c r="H186" s="195">
        <v>3540.31</v>
      </c>
      <c r="I186" s="195">
        <v>68600586.87</v>
      </c>
      <c r="J186" s="195">
        <v>30559193.33082229</v>
      </c>
      <c r="K186" s="195">
        <v>1099725.8178233702</v>
      </c>
      <c r="L186" s="195">
        <v>3162497.47399743</v>
      </c>
      <c r="M186" s="195">
        <v>0</v>
      </c>
      <c r="N186" s="195">
        <v>34821416.62264309</v>
      </c>
      <c r="O186" s="195">
        <v>3272139.414343516</v>
      </c>
      <c r="P186" s="195">
        <v>38093556.036986604</v>
      </c>
      <c r="Q186" s="195">
        <v>1110</v>
      </c>
      <c r="R186" s="195">
        <v>210</v>
      </c>
      <c r="S186" s="195">
        <v>1295</v>
      </c>
      <c r="T186" s="195">
        <v>680</v>
      </c>
      <c r="U186" s="195">
        <v>697</v>
      </c>
      <c r="V186" s="195">
        <v>10566</v>
      </c>
      <c r="W186" s="195">
        <v>2545</v>
      </c>
      <c r="X186" s="195">
        <v>1621</v>
      </c>
      <c r="Y186" s="195">
        <v>653</v>
      </c>
      <c r="Z186" s="195">
        <v>10867</v>
      </c>
      <c r="AA186" s="195">
        <v>2</v>
      </c>
      <c r="AB186" s="195">
        <v>6942</v>
      </c>
      <c r="AC186" s="195">
        <v>1566</v>
      </c>
      <c r="AD186" s="195">
        <v>4819</v>
      </c>
      <c r="AE186" s="195">
        <v>1.0056897197528902</v>
      </c>
      <c r="AF186" s="195">
        <v>22135177.188840438</v>
      </c>
      <c r="AG186" s="195">
        <v>40583193.729593374</v>
      </c>
      <c r="AH186" s="195">
        <v>10649538.303599369</v>
      </c>
      <c r="AI186" s="195">
        <v>4450651.15930642</v>
      </c>
      <c r="AJ186" s="195">
        <v>971</v>
      </c>
      <c r="AK186" s="195">
        <v>8937</v>
      </c>
      <c r="AL186" s="195">
        <v>0.8182877308879339</v>
      </c>
      <c r="AM186" s="195">
        <v>1566</v>
      </c>
      <c r="AN186" s="195">
        <v>0.08081746400371574</v>
      </c>
      <c r="AO186" s="195">
        <v>0.07684921003546177</v>
      </c>
      <c r="AP186" s="195">
        <v>3</v>
      </c>
      <c r="AQ186" s="195">
        <v>10867</v>
      </c>
      <c r="AR186" s="195">
        <v>2</v>
      </c>
      <c r="AS186" s="195">
        <v>0</v>
      </c>
      <c r="AT186" s="195">
        <v>0</v>
      </c>
      <c r="AU186" s="195">
        <v>88.45</v>
      </c>
      <c r="AV186" s="195">
        <v>219.07292255511587</v>
      </c>
      <c r="AW186" s="195">
        <v>0.08264515257400416</v>
      </c>
      <c r="AX186" s="195">
        <v>920</v>
      </c>
      <c r="AY186" s="195">
        <v>5737</v>
      </c>
      <c r="AZ186" s="195">
        <v>0.1603625588286561</v>
      </c>
      <c r="BA186" s="195">
        <v>0.09533975862598763</v>
      </c>
      <c r="BB186" s="195">
        <v>0</v>
      </c>
      <c r="BC186" s="195">
        <v>10578</v>
      </c>
      <c r="BD186" s="195">
        <v>7952</v>
      </c>
      <c r="BE186" s="195">
        <v>1.33023138832998</v>
      </c>
      <c r="BF186" s="195">
        <v>0.8992898702876738</v>
      </c>
      <c r="BG186" s="195">
        <v>0</v>
      </c>
      <c r="BH186" s="195">
        <v>2</v>
      </c>
      <c r="BI186" s="195">
        <v>0</v>
      </c>
      <c r="BJ186" s="195">
        <v>-4650.48</v>
      </c>
      <c r="BK186" s="195">
        <v>-79445.7</v>
      </c>
      <c r="BL186" s="195">
        <v>-5425.56</v>
      </c>
      <c r="BM186" s="195">
        <v>-27709.11</v>
      </c>
      <c r="BN186" s="195">
        <v>-775.08</v>
      </c>
      <c r="BO186" s="195">
        <v>55415</v>
      </c>
      <c r="BP186" s="195">
        <v>-826847.3865162015</v>
      </c>
      <c r="BQ186" s="195">
        <v>-1656152.19</v>
      </c>
      <c r="BR186" s="195">
        <v>-237921.06673301756</v>
      </c>
      <c r="BS186" s="195">
        <v>1399413</v>
      </c>
      <c r="BT186" s="195">
        <v>472806</v>
      </c>
      <c r="BU186" s="195">
        <v>1012050.8967615775</v>
      </c>
      <c r="BV186" s="195">
        <v>35295.871407672465</v>
      </c>
      <c r="BW186" s="195">
        <v>186705.40611594936</v>
      </c>
      <c r="BX186" s="195">
        <v>590374.8610830926</v>
      </c>
      <c r="BY186" s="195">
        <v>933102.3237829336</v>
      </c>
      <c r="BZ186" s="195">
        <v>1480886.5428554113</v>
      </c>
      <c r="CA186" s="195">
        <v>476831.954221762</v>
      </c>
      <c r="CB186" s="195">
        <v>1743.9299999999998</v>
      </c>
      <c r="CC186" s="195">
        <v>-72742.85898174977</v>
      </c>
      <c r="CD186" s="195">
        <v>6335124.480513631</v>
      </c>
      <c r="CE186" s="195">
        <v>3162497.47399743</v>
      </c>
      <c r="CF186" s="195">
        <v>0</v>
      </c>
      <c r="CG186" s="229">
        <v>3272139.414343516</v>
      </c>
      <c r="CH186" s="195">
        <v>929103</v>
      </c>
      <c r="CI186" s="195">
        <v>826162.4761999999</v>
      </c>
      <c r="CJ186" s="195">
        <v>39022659.036986604</v>
      </c>
      <c r="CL186" s="195">
        <v>19436</v>
      </c>
    </row>
    <row r="187" spans="1:90" ht="9.75">
      <c r="A187" s="195">
        <v>601</v>
      </c>
      <c r="B187" s="195" t="s">
        <v>254</v>
      </c>
      <c r="C187" s="195">
        <v>4202</v>
      </c>
      <c r="D187" s="195">
        <v>15237409.66</v>
      </c>
      <c r="E187" s="195">
        <v>7216699.200612052</v>
      </c>
      <c r="F187" s="195">
        <v>1344065.579282454</v>
      </c>
      <c r="G187" s="195">
        <v>23798174.43989451</v>
      </c>
      <c r="H187" s="195">
        <v>3540.31</v>
      </c>
      <c r="I187" s="195">
        <v>14876382.62</v>
      </c>
      <c r="J187" s="195">
        <v>8921791.81989451</v>
      </c>
      <c r="K187" s="195">
        <v>1603565.6925158727</v>
      </c>
      <c r="L187" s="195">
        <v>1417929.2719254708</v>
      </c>
      <c r="M187" s="195">
        <v>0</v>
      </c>
      <c r="N187" s="195">
        <v>11943286.784335852</v>
      </c>
      <c r="O187" s="195">
        <v>3953188.152937143</v>
      </c>
      <c r="P187" s="195">
        <v>15896474.937272996</v>
      </c>
      <c r="Q187" s="195">
        <v>208</v>
      </c>
      <c r="R187" s="195">
        <v>52</v>
      </c>
      <c r="S187" s="195">
        <v>300</v>
      </c>
      <c r="T187" s="195">
        <v>139</v>
      </c>
      <c r="U187" s="195">
        <v>155</v>
      </c>
      <c r="V187" s="195">
        <v>2158</v>
      </c>
      <c r="W187" s="195">
        <v>616</v>
      </c>
      <c r="X187" s="195">
        <v>431</v>
      </c>
      <c r="Y187" s="195">
        <v>143</v>
      </c>
      <c r="Z187" s="195">
        <v>2</v>
      </c>
      <c r="AA187" s="195">
        <v>0</v>
      </c>
      <c r="AB187" s="195">
        <v>4164</v>
      </c>
      <c r="AC187" s="195">
        <v>36</v>
      </c>
      <c r="AD187" s="195">
        <v>1190</v>
      </c>
      <c r="AE187" s="195">
        <v>1.5119941226278157</v>
      </c>
      <c r="AF187" s="195">
        <v>7216699.200612052</v>
      </c>
      <c r="AG187" s="195">
        <v>27873320.593756624</v>
      </c>
      <c r="AH187" s="195">
        <v>6469211.680070726</v>
      </c>
      <c r="AI187" s="195">
        <v>2961154.6791377384</v>
      </c>
      <c r="AJ187" s="195">
        <v>267</v>
      </c>
      <c r="AK187" s="195">
        <v>1761</v>
      </c>
      <c r="AL187" s="195">
        <v>1.1419063104899787</v>
      </c>
      <c r="AM187" s="195">
        <v>36</v>
      </c>
      <c r="AN187" s="195">
        <v>0.008567348881485007</v>
      </c>
      <c r="AO187" s="195">
        <v>0.004599094913231039</v>
      </c>
      <c r="AP187" s="195">
        <v>0</v>
      </c>
      <c r="AQ187" s="195">
        <v>2</v>
      </c>
      <c r="AR187" s="195">
        <v>0</v>
      </c>
      <c r="AS187" s="195">
        <v>0</v>
      </c>
      <c r="AT187" s="195">
        <v>0</v>
      </c>
      <c r="AU187" s="195">
        <v>1074.67</v>
      </c>
      <c r="AV187" s="195">
        <v>3.910037499883685</v>
      </c>
      <c r="AW187" s="195">
        <v>4.630470963498213</v>
      </c>
      <c r="AX187" s="195">
        <v>163</v>
      </c>
      <c r="AY187" s="195">
        <v>1105</v>
      </c>
      <c r="AZ187" s="195">
        <v>0.14751131221719457</v>
      </c>
      <c r="BA187" s="195">
        <v>0.0824885120145261</v>
      </c>
      <c r="BB187" s="195">
        <v>1.104983</v>
      </c>
      <c r="BC187" s="195">
        <v>1465</v>
      </c>
      <c r="BD187" s="195">
        <v>1441</v>
      </c>
      <c r="BE187" s="195">
        <v>1.0166551006245663</v>
      </c>
      <c r="BF187" s="195">
        <v>0.5857135825822603</v>
      </c>
      <c r="BG187" s="195">
        <v>0</v>
      </c>
      <c r="BH187" s="195">
        <v>0</v>
      </c>
      <c r="BI187" s="195">
        <v>0</v>
      </c>
      <c r="BJ187" s="195">
        <v>-1008.48</v>
      </c>
      <c r="BK187" s="195">
        <v>-17228.199999999997</v>
      </c>
      <c r="BL187" s="195">
        <v>-1176.5600000000002</v>
      </c>
      <c r="BM187" s="195">
        <v>-6008.86</v>
      </c>
      <c r="BN187" s="195">
        <v>-168.08</v>
      </c>
      <c r="BO187" s="195">
        <v>151779</v>
      </c>
      <c r="BP187" s="195">
        <v>-101042.45134680746</v>
      </c>
      <c r="BQ187" s="195">
        <v>-359144.94</v>
      </c>
      <c r="BR187" s="195">
        <v>-25694.288820859045</v>
      </c>
      <c r="BS187" s="195">
        <v>435454</v>
      </c>
      <c r="BT187" s="195">
        <v>135058</v>
      </c>
      <c r="BU187" s="195">
        <v>346967.2032462885</v>
      </c>
      <c r="BV187" s="195">
        <v>19218.919902524325</v>
      </c>
      <c r="BW187" s="195">
        <v>38454.63865206143</v>
      </c>
      <c r="BX187" s="195">
        <v>181707.73576224397</v>
      </c>
      <c r="BY187" s="195">
        <v>245469.4342888694</v>
      </c>
      <c r="BZ187" s="195">
        <v>397891.3351114895</v>
      </c>
      <c r="CA187" s="195">
        <v>113009.75756413578</v>
      </c>
      <c r="CB187" s="195">
        <v>378.18</v>
      </c>
      <c r="CC187" s="195">
        <v>-12280.19243447551</v>
      </c>
      <c r="CD187" s="195">
        <v>2027665.8432722783</v>
      </c>
      <c r="CE187" s="195">
        <v>1417929.2719254708</v>
      </c>
      <c r="CF187" s="195">
        <v>0</v>
      </c>
      <c r="CG187" s="229">
        <v>3953188.152937143</v>
      </c>
      <c r="CH187" s="195">
        <v>745307</v>
      </c>
      <c r="CI187" s="195">
        <v>4350930.3065</v>
      </c>
      <c r="CJ187" s="195">
        <v>16641781.937272996</v>
      </c>
      <c r="CL187" s="195">
        <v>4221</v>
      </c>
    </row>
    <row r="188" spans="1:90" ht="9.75">
      <c r="A188" s="195">
        <v>604</v>
      </c>
      <c r="B188" s="195" t="s">
        <v>255</v>
      </c>
      <c r="C188" s="195">
        <v>19163</v>
      </c>
      <c r="D188" s="195">
        <v>65000492.18</v>
      </c>
      <c r="E188" s="195">
        <v>14945868.116428558</v>
      </c>
      <c r="F188" s="195">
        <v>2718822.9430792215</v>
      </c>
      <c r="G188" s="195">
        <v>82665183.23950778</v>
      </c>
      <c r="H188" s="195">
        <v>3540.31</v>
      </c>
      <c r="I188" s="195">
        <v>67842960.53</v>
      </c>
      <c r="J188" s="195">
        <v>14822222.709507778</v>
      </c>
      <c r="K188" s="195">
        <v>319962.6662390485</v>
      </c>
      <c r="L188" s="195">
        <v>939118.8971252232</v>
      </c>
      <c r="M188" s="195">
        <v>0</v>
      </c>
      <c r="N188" s="195">
        <v>16081304.272872051</v>
      </c>
      <c r="O188" s="195">
        <v>-2885042.938682177</v>
      </c>
      <c r="P188" s="195">
        <v>13196261.334189873</v>
      </c>
      <c r="Q188" s="195">
        <v>1624</v>
      </c>
      <c r="R188" s="195">
        <v>277</v>
      </c>
      <c r="S188" s="195">
        <v>1679</v>
      </c>
      <c r="T188" s="195">
        <v>705</v>
      </c>
      <c r="U188" s="195">
        <v>712</v>
      </c>
      <c r="V188" s="195">
        <v>10942</v>
      </c>
      <c r="W188" s="195">
        <v>2005</v>
      </c>
      <c r="X188" s="195">
        <v>960</v>
      </c>
      <c r="Y188" s="195">
        <v>259</v>
      </c>
      <c r="Z188" s="195">
        <v>74</v>
      </c>
      <c r="AA188" s="195">
        <v>0</v>
      </c>
      <c r="AB188" s="195">
        <v>18425</v>
      </c>
      <c r="AC188" s="195">
        <v>664</v>
      </c>
      <c r="AD188" s="195">
        <v>3224</v>
      </c>
      <c r="AE188" s="195">
        <v>0.6866338241362825</v>
      </c>
      <c r="AF188" s="195">
        <v>14945868.116428558</v>
      </c>
      <c r="AG188" s="195">
        <v>11027703.479289131</v>
      </c>
      <c r="AH188" s="195">
        <v>2368056.7657224415</v>
      </c>
      <c r="AI188" s="195">
        <v>1088135.1531771207</v>
      </c>
      <c r="AJ188" s="195">
        <v>1033</v>
      </c>
      <c r="AK188" s="195">
        <v>9358</v>
      </c>
      <c r="AL188" s="195">
        <v>0.8313728701731125</v>
      </c>
      <c r="AM188" s="195">
        <v>664</v>
      </c>
      <c r="AN188" s="195">
        <v>0.0346501069769869</v>
      </c>
      <c r="AO188" s="195">
        <v>0.030681853008732933</v>
      </c>
      <c r="AP188" s="195">
        <v>0</v>
      </c>
      <c r="AQ188" s="195">
        <v>74</v>
      </c>
      <c r="AR188" s="195">
        <v>0</v>
      </c>
      <c r="AS188" s="195">
        <v>0</v>
      </c>
      <c r="AT188" s="195">
        <v>0</v>
      </c>
      <c r="AU188" s="195">
        <v>81.43</v>
      </c>
      <c r="AV188" s="195">
        <v>235.33095910598058</v>
      </c>
      <c r="AW188" s="195">
        <v>0.07693554293996174</v>
      </c>
      <c r="AX188" s="195">
        <v>566</v>
      </c>
      <c r="AY188" s="195">
        <v>6849</v>
      </c>
      <c r="AZ188" s="195">
        <v>0.08263980143086581</v>
      </c>
      <c r="BA188" s="195">
        <v>0.017617001228197343</v>
      </c>
      <c r="BB188" s="195">
        <v>0</v>
      </c>
      <c r="BC188" s="195">
        <v>5731</v>
      </c>
      <c r="BD188" s="195">
        <v>8240</v>
      </c>
      <c r="BE188" s="195">
        <v>0.6955097087378641</v>
      </c>
      <c r="BF188" s="195">
        <v>0.26456819069555804</v>
      </c>
      <c r="BG188" s="195">
        <v>0</v>
      </c>
      <c r="BH188" s="195">
        <v>0</v>
      </c>
      <c r="BI188" s="195">
        <v>0</v>
      </c>
      <c r="BJ188" s="195">
        <v>-4599.12</v>
      </c>
      <c r="BK188" s="195">
        <v>-78568.29999999999</v>
      </c>
      <c r="BL188" s="195">
        <v>-5365.64</v>
      </c>
      <c r="BM188" s="195">
        <v>-27403.09</v>
      </c>
      <c r="BN188" s="195">
        <v>-766.52</v>
      </c>
      <c r="BO188" s="195">
        <v>147112</v>
      </c>
      <c r="BP188" s="195">
        <v>-714300.1016002032</v>
      </c>
      <c r="BQ188" s="195">
        <v>-1637861.6099999999</v>
      </c>
      <c r="BR188" s="195">
        <v>-475239.0150869675</v>
      </c>
      <c r="BS188" s="195">
        <v>962488</v>
      </c>
      <c r="BT188" s="195">
        <v>315242</v>
      </c>
      <c r="BU188" s="195">
        <v>572600.7651110376</v>
      </c>
      <c r="BV188" s="195">
        <v>-261.91042154564855</v>
      </c>
      <c r="BW188" s="195">
        <v>-137431.19608466787</v>
      </c>
      <c r="BX188" s="195">
        <v>318185.54417433374</v>
      </c>
      <c r="BY188" s="195">
        <v>684278.3250537483</v>
      </c>
      <c r="BZ188" s="195">
        <v>1214601.6352733036</v>
      </c>
      <c r="CA188" s="195">
        <v>342285.27159484965</v>
      </c>
      <c r="CB188" s="195">
        <v>1724.6699999999998</v>
      </c>
      <c r="CC188" s="195">
        <v>26555.90911133503</v>
      </c>
      <c r="CD188" s="195">
        <v>3973291.778725426</v>
      </c>
      <c r="CE188" s="195">
        <v>939118.8971252232</v>
      </c>
      <c r="CF188" s="195">
        <v>0</v>
      </c>
      <c r="CG188" s="229">
        <v>-2885042.938682177</v>
      </c>
      <c r="CH188" s="195">
        <v>-2115550</v>
      </c>
      <c r="CI188" s="195">
        <v>-1198205.4419</v>
      </c>
      <c r="CJ188" s="195">
        <v>11080711.334189873</v>
      </c>
      <c r="CL188" s="195">
        <v>18913</v>
      </c>
    </row>
    <row r="189" spans="1:90" ht="9.75">
      <c r="A189" s="195">
        <v>607</v>
      </c>
      <c r="B189" s="195" t="s">
        <v>256</v>
      </c>
      <c r="C189" s="195">
        <v>4514</v>
      </c>
      <c r="D189" s="195">
        <v>15374960.49</v>
      </c>
      <c r="E189" s="195">
        <v>7278116.91538553</v>
      </c>
      <c r="F189" s="195">
        <v>1237605.6804878223</v>
      </c>
      <c r="G189" s="195">
        <v>23890683.085873354</v>
      </c>
      <c r="H189" s="195">
        <v>3540.31</v>
      </c>
      <c r="I189" s="195">
        <v>15980959.34</v>
      </c>
      <c r="J189" s="195">
        <v>7909723.745873354</v>
      </c>
      <c r="K189" s="195">
        <v>104098.31509611954</v>
      </c>
      <c r="L189" s="195">
        <v>1821741.5997220264</v>
      </c>
      <c r="M189" s="195">
        <v>0</v>
      </c>
      <c r="N189" s="195">
        <v>9835563.6606915</v>
      </c>
      <c r="O189" s="195">
        <v>4893044.345311604</v>
      </c>
      <c r="P189" s="195">
        <v>14728608.006003104</v>
      </c>
      <c r="Q189" s="195">
        <v>226</v>
      </c>
      <c r="R189" s="195">
        <v>47</v>
      </c>
      <c r="S189" s="195">
        <v>245</v>
      </c>
      <c r="T189" s="195">
        <v>129</v>
      </c>
      <c r="U189" s="195">
        <v>141</v>
      </c>
      <c r="V189" s="195">
        <v>2434</v>
      </c>
      <c r="W189" s="195">
        <v>734</v>
      </c>
      <c r="X189" s="195">
        <v>401</v>
      </c>
      <c r="Y189" s="195">
        <v>157</v>
      </c>
      <c r="Z189" s="195">
        <v>3</v>
      </c>
      <c r="AA189" s="195">
        <v>0</v>
      </c>
      <c r="AB189" s="195">
        <v>4472</v>
      </c>
      <c r="AC189" s="195">
        <v>39</v>
      </c>
      <c r="AD189" s="195">
        <v>1292</v>
      </c>
      <c r="AE189" s="195">
        <v>1.4194660843444218</v>
      </c>
      <c r="AF189" s="195">
        <v>7278116.91538553</v>
      </c>
      <c r="AG189" s="195">
        <v>8537818.821099132</v>
      </c>
      <c r="AH189" s="195">
        <v>2077483.7625342917</v>
      </c>
      <c r="AI189" s="195">
        <v>918671.4817806839</v>
      </c>
      <c r="AJ189" s="195">
        <v>338</v>
      </c>
      <c r="AK189" s="195">
        <v>1949</v>
      </c>
      <c r="AL189" s="195">
        <v>1.3061210499136675</v>
      </c>
      <c r="AM189" s="195">
        <v>39</v>
      </c>
      <c r="AN189" s="195">
        <v>0.008639787328311919</v>
      </c>
      <c r="AO189" s="195">
        <v>0.004671533360057951</v>
      </c>
      <c r="AP189" s="195">
        <v>0</v>
      </c>
      <c r="AQ189" s="195">
        <v>3</v>
      </c>
      <c r="AR189" s="195">
        <v>0</v>
      </c>
      <c r="AS189" s="195">
        <v>0</v>
      </c>
      <c r="AT189" s="195">
        <v>0</v>
      </c>
      <c r="AU189" s="195">
        <v>804.15</v>
      </c>
      <c r="AV189" s="195">
        <v>5.613380588198719</v>
      </c>
      <c r="AW189" s="195">
        <v>3.225385278073649</v>
      </c>
      <c r="AX189" s="195">
        <v>162</v>
      </c>
      <c r="AY189" s="195">
        <v>1233</v>
      </c>
      <c r="AZ189" s="195">
        <v>0.13138686131386862</v>
      </c>
      <c r="BA189" s="195">
        <v>0.06636406111120015</v>
      </c>
      <c r="BB189" s="195">
        <v>0</v>
      </c>
      <c r="BC189" s="195">
        <v>1267</v>
      </c>
      <c r="BD189" s="195">
        <v>1591</v>
      </c>
      <c r="BE189" s="195">
        <v>0.7963544940289127</v>
      </c>
      <c r="BF189" s="195">
        <v>0.3654129759866066</v>
      </c>
      <c r="BG189" s="195">
        <v>0</v>
      </c>
      <c r="BH189" s="195">
        <v>0</v>
      </c>
      <c r="BI189" s="195">
        <v>0</v>
      </c>
      <c r="BJ189" s="195">
        <v>-1083.36</v>
      </c>
      <c r="BK189" s="195">
        <v>-18507.399999999998</v>
      </c>
      <c r="BL189" s="195">
        <v>-1263.92</v>
      </c>
      <c r="BM189" s="195">
        <v>-6455.0199999999995</v>
      </c>
      <c r="BN189" s="195">
        <v>-180.56</v>
      </c>
      <c r="BO189" s="195">
        <v>420601</v>
      </c>
      <c r="BP189" s="195">
        <v>-284119.3681434982</v>
      </c>
      <c r="BQ189" s="195">
        <v>-385811.58</v>
      </c>
      <c r="BR189" s="195">
        <v>80441.11767227948</v>
      </c>
      <c r="BS189" s="195">
        <v>474631</v>
      </c>
      <c r="BT189" s="195">
        <v>148166</v>
      </c>
      <c r="BU189" s="195">
        <v>409995.1621572207</v>
      </c>
      <c r="BV189" s="195">
        <v>23164.831209844506</v>
      </c>
      <c r="BW189" s="195">
        <v>70872.7202046957</v>
      </c>
      <c r="BX189" s="195">
        <v>175906.08465712712</v>
      </c>
      <c r="BY189" s="195">
        <v>265433.29563446343</v>
      </c>
      <c r="BZ189" s="195">
        <v>408578.5953259517</v>
      </c>
      <c r="CA189" s="195">
        <v>124576.8350577865</v>
      </c>
      <c r="CB189" s="195">
        <v>406.26</v>
      </c>
      <c r="CC189" s="195">
        <v>49282.06594615624</v>
      </c>
      <c r="CD189" s="195">
        <v>2652325.8078655247</v>
      </c>
      <c r="CE189" s="195">
        <v>1821741.5997220264</v>
      </c>
      <c r="CF189" s="195">
        <v>0</v>
      </c>
      <c r="CG189" s="229">
        <v>4893044.345311604</v>
      </c>
      <c r="CH189" s="195">
        <v>-333750</v>
      </c>
      <c r="CI189" s="195">
        <v>-47491.2409</v>
      </c>
      <c r="CJ189" s="195">
        <v>14394858.006003104</v>
      </c>
      <c r="CL189" s="195">
        <v>4556</v>
      </c>
    </row>
    <row r="190" spans="1:90" ht="9.75">
      <c r="A190" s="195">
        <v>608</v>
      </c>
      <c r="B190" s="195" t="s">
        <v>257</v>
      </c>
      <c r="C190" s="195">
        <v>2233</v>
      </c>
      <c r="D190" s="195">
        <v>8575806.19</v>
      </c>
      <c r="E190" s="195">
        <v>3140316.541692422</v>
      </c>
      <c r="F190" s="195">
        <v>562946.8805634653</v>
      </c>
      <c r="G190" s="195">
        <v>12279069.612255888</v>
      </c>
      <c r="H190" s="195">
        <v>3540.31</v>
      </c>
      <c r="I190" s="195">
        <v>7905512.2299999995</v>
      </c>
      <c r="J190" s="195">
        <v>4373557.382255889</v>
      </c>
      <c r="K190" s="195">
        <v>41287.683359216615</v>
      </c>
      <c r="L190" s="195">
        <v>659868.3698189537</v>
      </c>
      <c r="M190" s="195">
        <v>286217.79078864487</v>
      </c>
      <c r="N190" s="195">
        <v>5360931.226222704</v>
      </c>
      <c r="O190" s="195">
        <v>2004717.563921951</v>
      </c>
      <c r="P190" s="195">
        <v>7365648.790144655</v>
      </c>
      <c r="Q190" s="195">
        <v>124</v>
      </c>
      <c r="R190" s="195">
        <v>15</v>
      </c>
      <c r="S190" s="195">
        <v>152</v>
      </c>
      <c r="T190" s="195">
        <v>85</v>
      </c>
      <c r="U190" s="195">
        <v>81</v>
      </c>
      <c r="V190" s="195">
        <v>1125</v>
      </c>
      <c r="W190" s="195">
        <v>336</v>
      </c>
      <c r="X190" s="195">
        <v>213</v>
      </c>
      <c r="Y190" s="195">
        <v>102</v>
      </c>
      <c r="Z190" s="195">
        <v>2</v>
      </c>
      <c r="AA190" s="195">
        <v>0</v>
      </c>
      <c r="AB190" s="195">
        <v>2211</v>
      </c>
      <c r="AC190" s="195">
        <v>20</v>
      </c>
      <c r="AD190" s="195">
        <v>651</v>
      </c>
      <c r="AE190" s="195">
        <v>1.2380901002865525</v>
      </c>
      <c r="AF190" s="195">
        <v>3140316.541692422</v>
      </c>
      <c r="AG190" s="195">
        <v>19146879.65360909</v>
      </c>
      <c r="AH190" s="195">
        <v>4022549.256472841</v>
      </c>
      <c r="AI190" s="195">
        <v>1721394.135763806</v>
      </c>
      <c r="AJ190" s="195">
        <v>142</v>
      </c>
      <c r="AK190" s="195">
        <v>935</v>
      </c>
      <c r="AL190" s="195">
        <v>1.1438137187355848</v>
      </c>
      <c r="AM190" s="195">
        <v>20</v>
      </c>
      <c r="AN190" s="195">
        <v>0.008956560680698611</v>
      </c>
      <c r="AO190" s="195">
        <v>0.004988306712444643</v>
      </c>
      <c r="AP190" s="195">
        <v>0</v>
      </c>
      <c r="AQ190" s="195">
        <v>2</v>
      </c>
      <c r="AR190" s="195">
        <v>0</v>
      </c>
      <c r="AS190" s="195">
        <v>0</v>
      </c>
      <c r="AT190" s="195">
        <v>0</v>
      </c>
      <c r="AU190" s="195">
        <v>301.08</v>
      </c>
      <c r="AV190" s="195">
        <v>7.416633452902883</v>
      </c>
      <c r="AW190" s="195">
        <v>2.4411770143924394</v>
      </c>
      <c r="AX190" s="195">
        <v>114</v>
      </c>
      <c r="AY190" s="195">
        <v>609</v>
      </c>
      <c r="AZ190" s="195">
        <v>0.18719211822660098</v>
      </c>
      <c r="BA190" s="195">
        <v>0.12216931802393251</v>
      </c>
      <c r="BB190" s="195">
        <v>0</v>
      </c>
      <c r="BC190" s="195">
        <v>569</v>
      </c>
      <c r="BD190" s="195">
        <v>786</v>
      </c>
      <c r="BE190" s="195">
        <v>0.7239185750636132</v>
      </c>
      <c r="BF190" s="195">
        <v>0.29297705702130716</v>
      </c>
      <c r="BG190" s="195">
        <v>0</v>
      </c>
      <c r="BH190" s="195">
        <v>0</v>
      </c>
      <c r="BI190" s="195">
        <v>0</v>
      </c>
      <c r="BJ190" s="195">
        <v>-535.92</v>
      </c>
      <c r="BK190" s="195">
        <v>-9155.3</v>
      </c>
      <c r="BL190" s="195">
        <v>-625.24</v>
      </c>
      <c r="BM190" s="195">
        <v>-3193.19</v>
      </c>
      <c r="BN190" s="195">
        <v>-89.32000000000001</v>
      </c>
      <c r="BO190" s="195">
        <v>69250</v>
      </c>
      <c r="BP190" s="195">
        <v>-37015.55148348392</v>
      </c>
      <c r="BQ190" s="195">
        <v>-190854.51</v>
      </c>
      <c r="BR190" s="195">
        <v>-60503.46341793239</v>
      </c>
      <c r="BS190" s="195">
        <v>227685</v>
      </c>
      <c r="BT190" s="195">
        <v>68669</v>
      </c>
      <c r="BU190" s="195">
        <v>174137.51447144392</v>
      </c>
      <c r="BV190" s="195">
        <v>9685.854308653408</v>
      </c>
      <c r="BW190" s="195">
        <v>19472.155895094435</v>
      </c>
      <c r="BX190" s="195">
        <v>85293.42274896333</v>
      </c>
      <c r="BY190" s="195">
        <v>118840.12738225592</v>
      </c>
      <c r="BZ190" s="195">
        <v>187810.57467574356</v>
      </c>
      <c r="CA190" s="195">
        <v>57118.459506644365</v>
      </c>
      <c r="CB190" s="195">
        <v>200.97</v>
      </c>
      <c r="CC190" s="195">
        <v>9417.305731571021</v>
      </c>
      <c r="CD190" s="195">
        <v>967210.9013024376</v>
      </c>
      <c r="CE190" s="195">
        <v>659868.3698189537</v>
      </c>
      <c r="CF190" s="195">
        <v>286217.79078864487</v>
      </c>
      <c r="CG190" s="229">
        <v>2004717.563921951</v>
      </c>
      <c r="CH190" s="195">
        <v>218793</v>
      </c>
      <c r="CI190" s="195">
        <v>-34572.26760000001</v>
      </c>
      <c r="CJ190" s="195">
        <v>7584441.790144655</v>
      </c>
      <c r="CL190" s="195">
        <v>2240</v>
      </c>
    </row>
    <row r="191" spans="1:90" ht="9.75">
      <c r="A191" s="195">
        <v>609</v>
      </c>
      <c r="B191" s="195" t="s">
        <v>258</v>
      </c>
      <c r="C191" s="195">
        <v>85059</v>
      </c>
      <c r="D191" s="195">
        <v>284635761.45000005</v>
      </c>
      <c r="E191" s="195">
        <v>96431425.69697832</v>
      </c>
      <c r="F191" s="195">
        <v>17036987.00652166</v>
      </c>
      <c r="G191" s="195">
        <v>398104174.1535</v>
      </c>
      <c r="H191" s="195">
        <v>3540.31</v>
      </c>
      <c r="I191" s="195">
        <v>301135228.29</v>
      </c>
      <c r="J191" s="195">
        <v>96968945.8635</v>
      </c>
      <c r="K191" s="195">
        <v>3350347.2202069466</v>
      </c>
      <c r="L191" s="195">
        <v>18257736.474121585</v>
      </c>
      <c r="M191" s="195">
        <v>0</v>
      </c>
      <c r="N191" s="195">
        <v>118577029.55782853</v>
      </c>
      <c r="O191" s="195">
        <v>28411938.595609087</v>
      </c>
      <c r="P191" s="195">
        <v>146988968.1534376</v>
      </c>
      <c r="Q191" s="195">
        <v>4732</v>
      </c>
      <c r="R191" s="195">
        <v>892</v>
      </c>
      <c r="S191" s="195">
        <v>5089</v>
      </c>
      <c r="T191" s="195">
        <v>2482</v>
      </c>
      <c r="U191" s="195">
        <v>2618</v>
      </c>
      <c r="V191" s="195">
        <v>48544</v>
      </c>
      <c r="W191" s="195">
        <v>11385</v>
      </c>
      <c r="X191" s="195">
        <v>6660</v>
      </c>
      <c r="Y191" s="195">
        <v>2657</v>
      </c>
      <c r="Z191" s="195">
        <v>451</v>
      </c>
      <c r="AA191" s="195">
        <v>1</v>
      </c>
      <c r="AB191" s="195">
        <v>82090</v>
      </c>
      <c r="AC191" s="195">
        <v>2517</v>
      </c>
      <c r="AD191" s="195">
        <v>20702</v>
      </c>
      <c r="AE191" s="195">
        <v>0.9980811702462191</v>
      </c>
      <c r="AF191" s="195">
        <v>96431425.69697832</v>
      </c>
      <c r="AG191" s="195">
        <v>9587349.427806364</v>
      </c>
      <c r="AH191" s="195">
        <v>1889516.992549853</v>
      </c>
      <c r="AI191" s="195">
        <v>847318.3569821843</v>
      </c>
      <c r="AJ191" s="195">
        <v>6813</v>
      </c>
      <c r="AK191" s="195">
        <v>40093</v>
      </c>
      <c r="AL191" s="195">
        <v>1.279818555568177</v>
      </c>
      <c r="AM191" s="195">
        <v>2517</v>
      </c>
      <c r="AN191" s="195">
        <v>0.02959122491447113</v>
      </c>
      <c r="AO191" s="195">
        <v>0.025622970946217162</v>
      </c>
      <c r="AP191" s="195">
        <v>0</v>
      </c>
      <c r="AQ191" s="195">
        <v>451</v>
      </c>
      <c r="AR191" s="195">
        <v>1</v>
      </c>
      <c r="AS191" s="195">
        <v>3</v>
      </c>
      <c r="AT191" s="195">
        <v>1001</v>
      </c>
      <c r="AU191" s="195">
        <v>1155.67</v>
      </c>
      <c r="AV191" s="195">
        <v>73.60146062457275</v>
      </c>
      <c r="AW191" s="195">
        <v>0.24599124739864017</v>
      </c>
      <c r="AX191" s="195">
        <v>3313</v>
      </c>
      <c r="AY191" s="195">
        <v>25349</v>
      </c>
      <c r="AZ191" s="195">
        <v>0.1306954909463884</v>
      </c>
      <c r="BA191" s="195">
        <v>0.06567269074371994</v>
      </c>
      <c r="BB191" s="195">
        <v>0</v>
      </c>
      <c r="BC191" s="195">
        <v>35216</v>
      </c>
      <c r="BD191" s="195">
        <v>33378</v>
      </c>
      <c r="BE191" s="195">
        <v>1.055066211276889</v>
      </c>
      <c r="BF191" s="195">
        <v>0.6241246932345829</v>
      </c>
      <c r="BG191" s="195">
        <v>0</v>
      </c>
      <c r="BH191" s="195">
        <v>1</v>
      </c>
      <c r="BI191" s="195">
        <v>0</v>
      </c>
      <c r="BJ191" s="195">
        <v>-20414.16</v>
      </c>
      <c r="BK191" s="195">
        <v>-348741.89999999997</v>
      </c>
      <c r="BL191" s="195">
        <v>-23816.520000000004</v>
      </c>
      <c r="BM191" s="195">
        <v>-121634.37</v>
      </c>
      <c r="BN191" s="195">
        <v>-3402.36</v>
      </c>
      <c r="BO191" s="195">
        <v>2961916</v>
      </c>
      <c r="BP191" s="195">
        <v>-3540987.688534901</v>
      </c>
      <c r="BQ191" s="195">
        <v>-7269992.7299999995</v>
      </c>
      <c r="BR191" s="195">
        <v>391170.84370395355</v>
      </c>
      <c r="BS191" s="195">
        <v>5977751</v>
      </c>
      <c r="BT191" s="195">
        <v>2064395</v>
      </c>
      <c r="BU191" s="195">
        <v>4911326.570886874</v>
      </c>
      <c r="BV191" s="195">
        <v>211502.83104590638</v>
      </c>
      <c r="BW191" s="195">
        <v>284484.42643885675</v>
      </c>
      <c r="BX191" s="195">
        <v>2351587.2856159857</v>
      </c>
      <c r="BY191" s="195">
        <v>4132607.308693329</v>
      </c>
      <c r="BZ191" s="195">
        <v>6287328.97257184</v>
      </c>
      <c r="CA191" s="195">
        <v>2212076.124163262</v>
      </c>
      <c r="CB191" s="195">
        <v>7655.3099999999995</v>
      </c>
      <c r="CC191" s="195">
        <v>297061.489536478</v>
      </c>
      <c r="CD191" s="195">
        <v>32095966.702656485</v>
      </c>
      <c r="CE191" s="195">
        <v>18257736.474121585</v>
      </c>
      <c r="CF191" s="195">
        <v>0</v>
      </c>
      <c r="CG191" s="229">
        <v>28411938.595609087</v>
      </c>
      <c r="CH191" s="195">
        <v>-5099667</v>
      </c>
      <c r="CI191" s="195">
        <v>-2886603.1400299994</v>
      </c>
      <c r="CJ191" s="195">
        <v>141889301.1534376</v>
      </c>
      <c r="CL191" s="195">
        <v>85363</v>
      </c>
    </row>
    <row r="192" spans="1:90" ht="9.75">
      <c r="A192" s="195">
        <v>611</v>
      </c>
      <c r="B192" s="195" t="s">
        <v>259</v>
      </c>
      <c r="C192" s="195">
        <v>5108</v>
      </c>
      <c r="D192" s="195">
        <v>18348611.98</v>
      </c>
      <c r="E192" s="195">
        <v>3875228.3623382295</v>
      </c>
      <c r="F192" s="195">
        <v>705888.6004920746</v>
      </c>
      <c r="G192" s="195">
        <v>22929728.942830306</v>
      </c>
      <c r="H192" s="195">
        <v>3540.31</v>
      </c>
      <c r="I192" s="195">
        <v>18083903.48</v>
      </c>
      <c r="J192" s="195">
        <v>4845825.462830305</v>
      </c>
      <c r="K192" s="195">
        <v>0</v>
      </c>
      <c r="L192" s="195">
        <v>766255.2160615162</v>
      </c>
      <c r="M192" s="195">
        <v>0</v>
      </c>
      <c r="N192" s="195">
        <v>5612080.678891821</v>
      </c>
      <c r="O192" s="195">
        <v>1203990.930599022</v>
      </c>
      <c r="P192" s="195">
        <v>6816071.609490843</v>
      </c>
      <c r="Q192" s="195">
        <v>363</v>
      </c>
      <c r="R192" s="195">
        <v>69</v>
      </c>
      <c r="S192" s="195">
        <v>534</v>
      </c>
      <c r="T192" s="195">
        <v>266</v>
      </c>
      <c r="U192" s="195">
        <v>261</v>
      </c>
      <c r="V192" s="195">
        <v>2893</v>
      </c>
      <c r="W192" s="195">
        <v>448</v>
      </c>
      <c r="X192" s="195">
        <v>188</v>
      </c>
      <c r="Y192" s="195">
        <v>86</v>
      </c>
      <c r="Z192" s="195">
        <v>113</v>
      </c>
      <c r="AA192" s="195">
        <v>0</v>
      </c>
      <c r="AB192" s="195">
        <v>4882</v>
      </c>
      <c r="AC192" s="195">
        <v>113</v>
      </c>
      <c r="AD192" s="195">
        <v>722</v>
      </c>
      <c r="AE192" s="195">
        <v>0.6679038681199526</v>
      </c>
      <c r="AF192" s="195">
        <v>3875228.3623382295</v>
      </c>
      <c r="AG192" s="195">
        <v>4091801.5336606256</v>
      </c>
      <c r="AH192" s="195">
        <v>896134.6891829876</v>
      </c>
      <c r="AI192" s="195">
        <v>463795.3111902482</v>
      </c>
      <c r="AJ192" s="195">
        <v>191</v>
      </c>
      <c r="AK192" s="195">
        <v>2612</v>
      </c>
      <c r="AL192" s="195">
        <v>0.5507300351584086</v>
      </c>
      <c r="AM192" s="195">
        <v>113</v>
      </c>
      <c r="AN192" s="195">
        <v>0.022122161315583398</v>
      </c>
      <c r="AO192" s="195">
        <v>0.01815390734732943</v>
      </c>
      <c r="AP192" s="195">
        <v>0</v>
      </c>
      <c r="AQ192" s="195">
        <v>113</v>
      </c>
      <c r="AR192" s="195">
        <v>0</v>
      </c>
      <c r="AS192" s="195">
        <v>0</v>
      </c>
      <c r="AT192" s="195">
        <v>0</v>
      </c>
      <c r="AU192" s="195">
        <v>146.52</v>
      </c>
      <c r="AV192" s="195">
        <v>34.86213486213486</v>
      </c>
      <c r="AW192" s="195">
        <v>0.5193404012978404</v>
      </c>
      <c r="AX192" s="195">
        <v>280</v>
      </c>
      <c r="AY192" s="195">
        <v>1814</v>
      </c>
      <c r="AZ192" s="195">
        <v>0.1543550165380375</v>
      </c>
      <c r="BA192" s="195">
        <v>0.08933221633536902</v>
      </c>
      <c r="BB192" s="195">
        <v>0</v>
      </c>
      <c r="BC192" s="195">
        <v>1039</v>
      </c>
      <c r="BD192" s="195">
        <v>2411</v>
      </c>
      <c r="BE192" s="195">
        <v>0.43094151804230607</v>
      </c>
      <c r="BF192" s="195">
        <v>0</v>
      </c>
      <c r="BG192" s="195">
        <v>0</v>
      </c>
      <c r="BH192" s="195">
        <v>0</v>
      </c>
      <c r="BI192" s="195">
        <v>0</v>
      </c>
      <c r="BJ192" s="195">
        <v>-1225.9199999999998</v>
      </c>
      <c r="BK192" s="195">
        <v>-20942.8</v>
      </c>
      <c r="BL192" s="195">
        <v>-1430.2400000000002</v>
      </c>
      <c r="BM192" s="195">
        <v>-7304.44</v>
      </c>
      <c r="BN192" s="195">
        <v>-204.32</v>
      </c>
      <c r="BO192" s="195">
        <v>-12387</v>
      </c>
      <c r="BP192" s="195">
        <v>-66527.95063923461</v>
      </c>
      <c r="BQ192" s="195">
        <v>-436580.76</v>
      </c>
      <c r="BR192" s="195">
        <v>-66364.87476905528</v>
      </c>
      <c r="BS192" s="195">
        <v>383656</v>
      </c>
      <c r="BT192" s="195">
        <v>117909</v>
      </c>
      <c r="BU192" s="195">
        <v>224768.97935533107</v>
      </c>
      <c r="BV192" s="195">
        <v>-45.47227589964298</v>
      </c>
      <c r="BW192" s="195">
        <v>9676.06178048576</v>
      </c>
      <c r="BX192" s="195">
        <v>53223.876379360496</v>
      </c>
      <c r="BY192" s="195">
        <v>245023.06201938295</v>
      </c>
      <c r="BZ192" s="195">
        <v>374090.33204037865</v>
      </c>
      <c r="CA192" s="195">
        <v>102519.31769808505</v>
      </c>
      <c r="CB192" s="195">
        <v>459.71999999999997</v>
      </c>
      <c r="CC192" s="195">
        <v>18322.164472681998</v>
      </c>
      <c r="CD192" s="195">
        <v>1451157.6467007508</v>
      </c>
      <c r="CE192" s="195">
        <v>766255.2160615162</v>
      </c>
      <c r="CF192" s="195">
        <v>0</v>
      </c>
      <c r="CG192" s="229">
        <v>1203990.930599022</v>
      </c>
      <c r="CH192" s="195">
        <v>-1119252</v>
      </c>
      <c r="CI192" s="195">
        <v>-128485.7728</v>
      </c>
      <c r="CJ192" s="195">
        <v>5696819.609490843</v>
      </c>
      <c r="CL192" s="195">
        <v>5125</v>
      </c>
    </row>
    <row r="193" spans="1:90" ht="9.75">
      <c r="A193" s="195">
        <v>638</v>
      </c>
      <c r="B193" s="195" t="s">
        <v>260</v>
      </c>
      <c r="C193" s="195">
        <v>50144</v>
      </c>
      <c r="D193" s="195">
        <v>166612264.46</v>
      </c>
      <c r="E193" s="195">
        <v>47274679.067666434</v>
      </c>
      <c r="F193" s="195">
        <v>16480742.28103103</v>
      </c>
      <c r="G193" s="195">
        <v>230367685.8086975</v>
      </c>
      <c r="H193" s="195">
        <v>3540.31</v>
      </c>
      <c r="I193" s="195">
        <v>177525304.64</v>
      </c>
      <c r="J193" s="195">
        <v>52842381.168697506</v>
      </c>
      <c r="K193" s="195">
        <v>1546154.6677274045</v>
      </c>
      <c r="L193" s="195">
        <v>5511586.935833443</v>
      </c>
      <c r="M193" s="195">
        <v>0</v>
      </c>
      <c r="N193" s="195">
        <v>59900122.772258356</v>
      </c>
      <c r="O193" s="195">
        <v>-7894403.350571042</v>
      </c>
      <c r="P193" s="195">
        <v>52005719.42168731</v>
      </c>
      <c r="Q193" s="195">
        <v>3239</v>
      </c>
      <c r="R193" s="195">
        <v>609</v>
      </c>
      <c r="S193" s="195">
        <v>3713</v>
      </c>
      <c r="T193" s="195">
        <v>1855</v>
      </c>
      <c r="U193" s="195">
        <v>1815</v>
      </c>
      <c r="V193" s="195">
        <v>29052</v>
      </c>
      <c r="W193" s="195">
        <v>5913</v>
      </c>
      <c r="X193" s="195">
        <v>2907</v>
      </c>
      <c r="Y193" s="195">
        <v>1041</v>
      </c>
      <c r="Z193" s="195">
        <v>14839</v>
      </c>
      <c r="AA193" s="195">
        <v>1</v>
      </c>
      <c r="AB193" s="195">
        <v>32167</v>
      </c>
      <c r="AC193" s="195">
        <v>3137</v>
      </c>
      <c r="AD193" s="195">
        <v>9861</v>
      </c>
      <c r="AE193" s="195">
        <v>0.8299982213086091</v>
      </c>
      <c r="AF193" s="195">
        <v>47274679.067666434</v>
      </c>
      <c r="AG193" s="195">
        <v>10786647.781167366</v>
      </c>
      <c r="AH193" s="195">
        <v>3007241.89922905</v>
      </c>
      <c r="AI193" s="195">
        <v>972186.3253795588</v>
      </c>
      <c r="AJ193" s="195">
        <v>2593</v>
      </c>
      <c r="AK193" s="195">
        <v>24836</v>
      </c>
      <c r="AL193" s="195">
        <v>0.786320201212087</v>
      </c>
      <c r="AM193" s="195">
        <v>3137</v>
      </c>
      <c r="AN193" s="195">
        <v>0.06255982769623485</v>
      </c>
      <c r="AO193" s="195">
        <v>0.05859157372798088</v>
      </c>
      <c r="AP193" s="195">
        <v>1</v>
      </c>
      <c r="AQ193" s="195">
        <v>14839</v>
      </c>
      <c r="AR193" s="195">
        <v>1</v>
      </c>
      <c r="AS193" s="195">
        <v>3</v>
      </c>
      <c r="AT193" s="195">
        <v>1906</v>
      </c>
      <c r="AU193" s="195">
        <v>654.42</v>
      </c>
      <c r="AV193" s="195">
        <v>76.62357507411143</v>
      </c>
      <c r="AW193" s="195">
        <v>0.23628909368805656</v>
      </c>
      <c r="AX193" s="195">
        <v>2507</v>
      </c>
      <c r="AY193" s="195">
        <v>16544</v>
      </c>
      <c r="AZ193" s="195">
        <v>0.1515352998065764</v>
      </c>
      <c r="BA193" s="195">
        <v>0.08651249960390793</v>
      </c>
      <c r="BB193" s="195">
        <v>0</v>
      </c>
      <c r="BC193" s="195">
        <v>20452</v>
      </c>
      <c r="BD193" s="195">
        <v>22242</v>
      </c>
      <c r="BE193" s="195">
        <v>0.9195216257530797</v>
      </c>
      <c r="BF193" s="195">
        <v>0.48858010771077365</v>
      </c>
      <c r="BG193" s="195">
        <v>0</v>
      </c>
      <c r="BH193" s="195">
        <v>1</v>
      </c>
      <c r="BI193" s="195">
        <v>0</v>
      </c>
      <c r="BJ193" s="195">
        <v>-12034.56</v>
      </c>
      <c r="BK193" s="195">
        <v>-205590.4</v>
      </c>
      <c r="BL193" s="195">
        <v>-14040.320000000002</v>
      </c>
      <c r="BM193" s="195">
        <v>-71705.92</v>
      </c>
      <c r="BN193" s="195">
        <v>-2005.76</v>
      </c>
      <c r="BO193" s="195">
        <v>340227</v>
      </c>
      <c r="BP193" s="195">
        <v>-2906221.0016086698</v>
      </c>
      <c r="BQ193" s="195">
        <v>-4285807.68</v>
      </c>
      <c r="BR193" s="195">
        <v>-441406.7972930819</v>
      </c>
      <c r="BS193" s="195">
        <v>3312713</v>
      </c>
      <c r="BT193" s="195">
        <v>1135672</v>
      </c>
      <c r="BU193" s="195">
        <v>2360718.5689561497</v>
      </c>
      <c r="BV193" s="195">
        <v>50410.92073674268</v>
      </c>
      <c r="BW193" s="195">
        <v>227364.6802771861</v>
      </c>
      <c r="BX193" s="195">
        <v>805241.288831554</v>
      </c>
      <c r="BY193" s="195">
        <v>2210620.0389932</v>
      </c>
      <c r="BZ193" s="195">
        <v>3474053.090596174</v>
      </c>
      <c r="CA193" s="195">
        <v>1149972.827082117</v>
      </c>
      <c r="CB193" s="195">
        <v>4512.96</v>
      </c>
      <c r="CC193" s="195">
        <v>-144867.640737931</v>
      </c>
      <c r="CD193" s="195">
        <v>14488240.577442111</v>
      </c>
      <c r="CE193" s="195">
        <v>5511586.935833443</v>
      </c>
      <c r="CF193" s="195">
        <v>0</v>
      </c>
      <c r="CG193" s="229">
        <v>-7894403.350571042</v>
      </c>
      <c r="CH193" s="195">
        <v>-2111953</v>
      </c>
      <c r="CI193" s="195">
        <v>-211435.7496999998</v>
      </c>
      <c r="CJ193" s="195">
        <v>49893766.42168731</v>
      </c>
      <c r="CL193" s="195">
        <v>49928</v>
      </c>
    </row>
    <row r="194" spans="1:90" ht="9.75">
      <c r="A194" s="195">
        <v>614</v>
      </c>
      <c r="B194" s="195" t="s">
        <v>261</v>
      </c>
      <c r="C194" s="195">
        <v>3424</v>
      </c>
      <c r="D194" s="195">
        <v>11265509.72</v>
      </c>
      <c r="E194" s="195">
        <v>6899206.609537434</v>
      </c>
      <c r="F194" s="195">
        <v>2789895.2076339866</v>
      </c>
      <c r="G194" s="195">
        <v>20954611.537171423</v>
      </c>
      <c r="H194" s="195">
        <v>3540.31</v>
      </c>
      <c r="I194" s="195">
        <v>12122021.44</v>
      </c>
      <c r="J194" s="195">
        <v>8832590.097171424</v>
      </c>
      <c r="K194" s="195">
        <v>3354565.8210140336</v>
      </c>
      <c r="L194" s="195">
        <v>1110947.9631855385</v>
      </c>
      <c r="M194" s="195">
        <v>0</v>
      </c>
      <c r="N194" s="195">
        <v>13298103.881370995</v>
      </c>
      <c r="O194" s="195">
        <v>3534652.9830473554</v>
      </c>
      <c r="P194" s="195">
        <v>16832756.86441835</v>
      </c>
      <c r="Q194" s="195">
        <v>103</v>
      </c>
      <c r="R194" s="195">
        <v>20</v>
      </c>
      <c r="S194" s="195">
        <v>141</v>
      </c>
      <c r="T194" s="195">
        <v>98</v>
      </c>
      <c r="U194" s="195">
        <v>98</v>
      </c>
      <c r="V194" s="195">
        <v>1771</v>
      </c>
      <c r="W194" s="195">
        <v>668</v>
      </c>
      <c r="X194" s="195">
        <v>410</v>
      </c>
      <c r="Y194" s="195">
        <v>115</v>
      </c>
      <c r="Z194" s="195">
        <v>4</v>
      </c>
      <c r="AA194" s="195">
        <v>1</v>
      </c>
      <c r="AB194" s="195">
        <v>3391</v>
      </c>
      <c r="AC194" s="195">
        <v>28</v>
      </c>
      <c r="AD194" s="195">
        <v>1193</v>
      </c>
      <c r="AE194" s="195">
        <v>1.773915555678061</v>
      </c>
      <c r="AF194" s="195">
        <v>6899206.609537434</v>
      </c>
      <c r="AG194" s="195">
        <v>126699383.74005644</v>
      </c>
      <c r="AH194" s="195">
        <v>22290383.389114257</v>
      </c>
      <c r="AI194" s="195">
        <v>15394436.675276315</v>
      </c>
      <c r="AJ194" s="195">
        <v>310</v>
      </c>
      <c r="AK194" s="195">
        <v>1467</v>
      </c>
      <c r="AL194" s="195">
        <v>1.591512842994274</v>
      </c>
      <c r="AM194" s="195">
        <v>28</v>
      </c>
      <c r="AN194" s="195">
        <v>0.008177570093457943</v>
      </c>
      <c r="AO194" s="195">
        <v>0.004209316125203975</v>
      </c>
      <c r="AP194" s="195">
        <v>0</v>
      </c>
      <c r="AQ194" s="195">
        <v>4</v>
      </c>
      <c r="AR194" s="195">
        <v>1</v>
      </c>
      <c r="AS194" s="195">
        <v>0</v>
      </c>
      <c r="AT194" s="195">
        <v>0</v>
      </c>
      <c r="AU194" s="195">
        <v>3039.12</v>
      </c>
      <c r="AV194" s="195">
        <v>1.1266419226618232</v>
      </c>
      <c r="AW194" s="195">
        <v>16.07015924511723</v>
      </c>
      <c r="AX194" s="195">
        <v>169</v>
      </c>
      <c r="AY194" s="195">
        <v>895</v>
      </c>
      <c r="AZ194" s="195">
        <v>0.1888268156424581</v>
      </c>
      <c r="BA194" s="195">
        <v>0.12380401543978962</v>
      </c>
      <c r="BB194" s="195">
        <v>1.520966</v>
      </c>
      <c r="BC194" s="195">
        <v>1069</v>
      </c>
      <c r="BD194" s="195">
        <v>1161</v>
      </c>
      <c r="BE194" s="195">
        <v>0.9207579672695951</v>
      </c>
      <c r="BF194" s="195">
        <v>0.48981644922728906</v>
      </c>
      <c r="BG194" s="195">
        <v>0</v>
      </c>
      <c r="BH194" s="195">
        <v>1</v>
      </c>
      <c r="BI194" s="195">
        <v>0</v>
      </c>
      <c r="BJ194" s="195">
        <v>-821.76</v>
      </c>
      <c r="BK194" s="195">
        <v>-14038.4</v>
      </c>
      <c r="BL194" s="195">
        <v>-958.7200000000001</v>
      </c>
      <c r="BM194" s="195">
        <v>-4896.32</v>
      </c>
      <c r="BN194" s="195">
        <v>-136.96</v>
      </c>
      <c r="BO194" s="195">
        <v>73754</v>
      </c>
      <c r="BP194" s="195">
        <v>-124052.11848518936</v>
      </c>
      <c r="BQ194" s="195">
        <v>-292649.27999999997</v>
      </c>
      <c r="BR194" s="195">
        <v>-161676.7909724284</v>
      </c>
      <c r="BS194" s="195">
        <v>388225</v>
      </c>
      <c r="BT194" s="195">
        <v>132356</v>
      </c>
      <c r="BU194" s="195">
        <v>346191.88857336773</v>
      </c>
      <c r="BV194" s="195">
        <v>20772.919122280637</v>
      </c>
      <c r="BW194" s="195">
        <v>57066.91880422467</v>
      </c>
      <c r="BX194" s="195">
        <v>160530.7477414575</v>
      </c>
      <c r="BY194" s="195">
        <v>211708.16998792533</v>
      </c>
      <c r="BZ194" s="195">
        <v>327515.5728103581</v>
      </c>
      <c r="CA194" s="195">
        <v>92403.35266861667</v>
      </c>
      <c r="CB194" s="195">
        <v>308.15999999999997</v>
      </c>
      <c r="CC194" s="195">
        <v>148.1429349255268</v>
      </c>
      <c r="CD194" s="195">
        <v>1649509.521670728</v>
      </c>
      <c r="CE194" s="195">
        <v>1110947.9631855385</v>
      </c>
      <c r="CF194" s="195">
        <v>0</v>
      </c>
      <c r="CG194" s="229">
        <v>3534652.9830473554</v>
      </c>
      <c r="CH194" s="195">
        <v>-8942</v>
      </c>
      <c r="CI194" s="195">
        <v>-74306.91</v>
      </c>
      <c r="CJ194" s="195">
        <v>16823814.86441835</v>
      </c>
      <c r="CL194" s="195">
        <v>3477</v>
      </c>
    </row>
    <row r="195" spans="1:90" ht="9.75">
      <c r="A195" s="195">
        <v>615</v>
      </c>
      <c r="B195" s="195" t="s">
        <v>262</v>
      </c>
      <c r="C195" s="195">
        <v>8187</v>
      </c>
      <c r="D195" s="195">
        <v>30375533.330000002</v>
      </c>
      <c r="E195" s="195">
        <v>14261583.599426553</v>
      </c>
      <c r="F195" s="195">
        <v>5384658.178778279</v>
      </c>
      <c r="G195" s="195">
        <v>50021775.10820483</v>
      </c>
      <c r="H195" s="195">
        <v>3540.31</v>
      </c>
      <c r="I195" s="195">
        <v>28984517.97</v>
      </c>
      <c r="J195" s="195">
        <v>21037257.138204828</v>
      </c>
      <c r="K195" s="195">
        <v>3909636.243671013</v>
      </c>
      <c r="L195" s="195">
        <v>2129893.9707776257</v>
      </c>
      <c r="M195" s="195">
        <v>412470.3345372153</v>
      </c>
      <c r="N195" s="195">
        <v>27489257.687190685</v>
      </c>
      <c r="O195" s="195">
        <v>8284469.305131708</v>
      </c>
      <c r="P195" s="195">
        <v>35773726.99232239</v>
      </c>
      <c r="Q195" s="195">
        <v>510</v>
      </c>
      <c r="R195" s="195">
        <v>85</v>
      </c>
      <c r="S195" s="195">
        <v>535</v>
      </c>
      <c r="T195" s="195">
        <v>284</v>
      </c>
      <c r="U195" s="195">
        <v>298</v>
      </c>
      <c r="V195" s="195">
        <v>4154</v>
      </c>
      <c r="W195" s="195">
        <v>1196</v>
      </c>
      <c r="X195" s="195">
        <v>831</v>
      </c>
      <c r="Y195" s="195">
        <v>294</v>
      </c>
      <c r="Z195" s="195">
        <v>10</v>
      </c>
      <c r="AA195" s="195">
        <v>3</v>
      </c>
      <c r="AB195" s="195">
        <v>8015</v>
      </c>
      <c r="AC195" s="195">
        <v>159</v>
      </c>
      <c r="AD195" s="195">
        <v>2321</v>
      </c>
      <c r="AE195" s="195">
        <v>1.533594381840655</v>
      </c>
      <c r="AF195" s="195">
        <v>14261583.599426553</v>
      </c>
      <c r="AG195" s="195">
        <v>4762568.088384865</v>
      </c>
      <c r="AH195" s="195">
        <v>1117272.0656352679</v>
      </c>
      <c r="AI195" s="195">
        <v>463795.3111902481</v>
      </c>
      <c r="AJ195" s="195">
        <v>543</v>
      </c>
      <c r="AK195" s="195">
        <v>3211</v>
      </c>
      <c r="AL195" s="195">
        <v>1.2736147838430614</v>
      </c>
      <c r="AM195" s="195">
        <v>159</v>
      </c>
      <c r="AN195" s="195">
        <v>0.01942103334554782</v>
      </c>
      <c r="AO195" s="195">
        <v>0.015452779377293852</v>
      </c>
      <c r="AP195" s="195">
        <v>0</v>
      </c>
      <c r="AQ195" s="195">
        <v>10</v>
      </c>
      <c r="AR195" s="195">
        <v>3</v>
      </c>
      <c r="AS195" s="195">
        <v>0</v>
      </c>
      <c r="AT195" s="195">
        <v>0</v>
      </c>
      <c r="AU195" s="195">
        <v>5637.3</v>
      </c>
      <c r="AV195" s="195">
        <v>1.4522909903677292</v>
      </c>
      <c r="AW195" s="195">
        <v>12.46672686774444</v>
      </c>
      <c r="AX195" s="195">
        <v>326</v>
      </c>
      <c r="AY195" s="195">
        <v>2061</v>
      </c>
      <c r="AZ195" s="195">
        <v>0.15817564289180008</v>
      </c>
      <c r="BA195" s="195">
        <v>0.09315284268913161</v>
      </c>
      <c r="BB195" s="195">
        <v>1.418383</v>
      </c>
      <c r="BC195" s="195">
        <v>2560</v>
      </c>
      <c r="BD195" s="195">
        <v>2592</v>
      </c>
      <c r="BE195" s="195">
        <v>0.9876543209876543</v>
      </c>
      <c r="BF195" s="195">
        <v>0.5567128029453482</v>
      </c>
      <c r="BG195" s="195">
        <v>0</v>
      </c>
      <c r="BH195" s="195">
        <v>3</v>
      </c>
      <c r="BI195" s="195">
        <v>0</v>
      </c>
      <c r="BJ195" s="195">
        <v>-1964.8799999999999</v>
      </c>
      <c r="BK195" s="195">
        <v>-33566.7</v>
      </c>
      <c r="BL195" s="195">
        <v>-2292.36</v>
      </c>
      <c r="BM195" s="195">
        <v>-11707.41</v>
      </c>
      <c r="BN195" s="195">
        <v>-327.48</v>
      </c>
      <c r="BO195" s="195">
        <v>420717</v>
      </c>
      <c r="BP195" s="195">
        <v>-351147.52893791505</v>
      </c>
      <c r="BQ195" s="195">
        <v>-699742.89</v>
      </c>
      <c r="BR195" s="195">
        <v>-466887.4905638397</v>
      </c>
      <c r="BS195" s="195">
        <v>805732</v>
      </c>
      <c r="BT195" s="195">
        <v>241095</v>
      </c>
      <c r="BU195" s="195">
        <v>688020.9831289338</v>
      </c>
      <c r="BV195" s="195">
        <v>36509.242249512936</v>
      </c>
      <c r="BW195" s="195">
        <v>95626.54889223831</v>
      </c>
      <c r="BX195" s="195">
        <v>348466.6260850866</v>
      </c>
      <c r="BY195" s="195">
        <v>455622.06844321423</v>
      </c>
      <c r="BZ195" s="195">
        <v>656757.2029113228</v>
      </c>
      <c r="CA195" s="195">
        <v>201374.40055567434</v>
      </c>
      <c r="CB195" s="195">
        <v>736.8299999999999</v>
      </c>
      <c r="CC195" s="195">
        <v>-12101.911986603023</v>
      </c>
      <c r="CD195" s="195">
        <v>3472159.7197155408</v>
      </c>
      <c r="CE195" s="195">
        <v>2129893.9707776257</v>
      </c>
      <c r="CF195" s="195">
        <v>412470.3345372153</v>
      </c>
      <c r="CG195" s="229">
        <v>8284469.305131708</v>
      </c>
      <c r="CH195" s="195">
        <v>-68668</v>
      </c>
      <c r="CI195" s="195">
        <v>13101.481499999994</v>
      </c>
      <c r="CJ195" s="195">
        <v>35705058.99232239</v>
      </c>
      <c r="CL195" s="195">
        <v>8257</v>
      </c>
    </row>
    <row r="196" spans="1:90" ht="9.75">
      <c r="A196" s="195">
        <v>616</v>
      </c>
      <c r="B196" s="195" t="s">
        <v>263</v>
      </c>
      <c r="C196" s="195">
        <v>1988</v>
      </c>
      <c r="D196" s="195">
        <v>6966692.16</v>
      </c>
      <c r="E196" s="195">
        <v>1940806.4689995425</v>
      </c>
      <c r="F196" s="195">
        <v>404390.2156953946</v>
      </c>
      <c r="G196" s="195">
        <v>9311888.844694937</v>
      </c>
      <c r="H196" s="195">
        <v>3540.31</v>
      </c>
      <c r="I196" s="195">
        <v>7038136.28</v>
      </c>
      <c r="J196" s="195">
        <v>2273752.5646949364</v>
      </c>
      <c r="K196" s="195">
        <v>16396.264595236942</v>
      </c>
      <c r="L196" s="195">
        <v>571251.7446373783</v>
      </c>
      <c r="M196" s="195">
        <v>0</v>
      </c>
      <c r="N196" s="195">
        <v>2861400.5739275515</v>
      </c>
      <c r="O196" s="195">
        <v>860392.6298181809</v>
      </c>
      <c r="P196" s="195">
        <v>3721793.2037457325</v>
      </c>
      <c r="Q196" s="195">
        <v>131</v>
      </c>
      <c r="R196" s="195">
        <v>23</v>
      </c>
      <c r="S196" s="195">
        <v>139</v>
      </c>
      <c r="T196" s="195">
        <v>80</v>
      </c>
      <c r="U196" s="195">
        <v>83</v>
      </c>
      <c r="V196" s="195">
        <v>1092</v>
      </c>
      <c r="W196" s="195">
        <v>247</v>
      </c>
      <c r="X196" s="195">
        <v>143</v>
      </c>
      <c r="Y196" s="195">
        <v>50</v>
      </c>
      <c r="Z196" s="195">
        <v>16</v>
      </c>
      <c r="AA196" s="195">
        <v>0</v>
      </c>
      <c r="AB196" s="195">
        <v>1911</v>
      </c>
      <c r="AC196" s="195">
        <v>61</v>
      </c>
      <c r="AD196" s="195">
        <v>440</v>
      </c>
      <c r="AE196" s="195">
        <v>0.8594752960660847</v>
      </c>
      <c r="AF196" s="195">
        <v>1940806.4689995425</v>
      </c>
      <c r="AG196" s="195">
        <v>8282324.89105862</v>
      </c>
      <c r="AH196" s="195">
        <v>2079597.0207392965</v>
      </c>
      <c r="AI196" s="195">
        <v>927590.6223804965</v>
      </c>
      <c r="AJ196" s="195">
        <v>88</v>
      </c>
      <c r="AK196" s="195">
        <v>960</v>
      </c>
      <c r="AL196" s="195">
        <v>0.6903828695537257</v>
      </c>
      <c r="AM196" s="195">
        <v>61</v>
      </c>
      <c r="AN196" s="195">
        <v>0.0306841046277666</v>
      </c>
      <c r="AO196" s="195">
        <v>0.02671585065951263</v>
      </c>
      <c r="AP196" s="195">
        <v>0</v>
      </c>
      <c r="AQ196" s="195">
        <v>16</v>
      </c>
      <c r="AR196" s="195">
        <v>0</v>
      </c>
      <c r="AS196" s="195">
        <v>0</v>
      </c>
      <c r="AT196" s="195">
        <v>0</v>
      </c>
      <c r="AU196" s="195">
        <v>145.03</v>
      </c>
      <c r="AV196" s="195">
        <v>13.707508791284562</v>
      </c>
      <c r="AW196" s="195">
        <v>1.3208319166581297</v>
      </c>
      <c r="AX196" s="195">
        <v>110</v>
      </c>
      <c r="AY196" s="195">
        <v>651</v>
      </c>
      <c r="AZ196" s="195">
        <v>0.16897081413210446</v>
      </c>
      <c r="BA196" s="195">
        <v>0.10394801392943599</v>
      </c>
      <c r="BB196" s="195">
        <v>0</v>
      </c>
      <c r="BC196" s="195">
        <v>483</v>
      </c>
      <c r="BD196" s="195">
        <v>860</v>
      </c>
      <c r="BE196" s="195">
        <v>0.5616279069767441</v>
      </c>
      <c r="BF196" s="195">
        <v>0.13068638893443807</v>
      </c>
      <c r="BG196" s="195">
        <v>0</v>
      </c>
      <c r="BH196" s="195">
        <v>0</v>
      </c>
      <c r="BI196" s="195">
        <v>0</v>
      </c>
      <c r="BJ196" s="195">
        <v>-477.12</v>
      </c>
      <c r="BK196" s="195">
        <v>-8150.799999999999</v>
      </c>
      <c r="BL196" s="195">
        <v>-556.6400000000001</v>
      </c>
      <c r="BM196" s="195">
        <v>-2842.8399999999997</v>
      </c>
      <c r="BN196" s="195">
        <v>-79.52</v>
      </c>
      <c r="BO196" s="195">
        <v>3269</v>
      </c>
      <c r="BP196" s="195">
        <v>-51021.43582858595</v>
      </c>
      <c r="BQ196" s="195">
        <v>-169914.36</v>
      </c>
      <c r="BR196" s="195">
        <v>50486.45994817</v>
      </c>
      <c r="BS196" s="195">
        <v>169950</v>
      </c>
      <c r="BT196" s="195">
        <v>60269</v>
      </c>
      <c r="BU196" s="195">
        <v>134916.29841328936</v>
      </c>
      <c r="BV196" s="195">
        <v>5613.310900917095</v>
      </c>
      <c r="BW196" s="195">
        <v>26742.79937552646</v>
      </c>
      <c r="BX196" s="195">
        <v>40079.038482578464</v>
      </c>
      <c r="BY196" s="195">
        <v>126662.72441790301</v>
      </c>
      <c r="BZ196" s="195">
        <v>192233.72481729407</v>
      </c>
      <c r="CA196" s="195">
        <v>57828.84295238475</v>
      </c>
      <c r="CB196" s="195">
        <v>178.92</v>
      </c>
      <c r="CC196" s="195">
        <v>-5408.938842098967</v>
      </c>
      <c r="CD196" s="195">
        <v>862940.4604659643</v>
      </c>
      <c r="CE196" s="195">
        <v>571251.7446373783</v>
      </c>
      <c r="CF196" s="195">
        <v>0</v>
      </c>
      <c r="CG196" s="229">
        <v>860392.6298181809</v>
      </c>
      <c r="CH196" s="195">
        <v>-395074</v>
      </c>
      <c r="CI196" s="195">
        <v>-861008.5061</v>
      </c>
      <c r="CJ196" s="195">
        <v>3326719.2037457325</v>
      </c>
      <c r="CL196" s="195">
        <v>1971</v>
      </c>
    </row>
    <row r="197" spans="1:90" ht="9.75">
      <c r="A197" s="195">
        <v>619</v>
      </c>
      <c r="B197" s="195" t="s">
        <v>264</v>
      </c>
      <c r="C197" s="195">
        <v>3003</v>
      </c>
      <c r="D197" s="195">
        <v>11609655.45</v>
      </c>
      <c r="E197" s="195">
        <v>4265502.61982248</v>
      </c>
      <c r="F197" s="195">
        <v>778721.9521850701</v>
      </c>
      <c r="G197" s="195">
        <v>16653880.02200755</v>
      </c>
      <c r="H197" s="195">
        <v>3540.31</v>
      </c>
      <c r="I197" s="195">
        <v>10631550.93</v>
      </c>
      <c r="J197" s="195">
        <v>6022329.0920075495</v>
      </c>
      <c r="K197" s="195">
        <v>81590.90773765593</v>
      </c>
      <c r="L197" s="195">
        <v>1158926.839403001</v>
      </c>
      <c r="M197" s="195">
        <v>0</v>
      </c>
      <c r="N197" s="195">
        <v>7262846.839148206</v>
      </c>
      <c r="O197" s="195">
        <v>2915177.237588836</v>
      </c>
      <c r="P197" s="195">
        <v>10178024.076737043</v>
      </c>
      <c r="Q197" s="195">
        <v>121</v>
      </c>
      <c r="R197" s="195">
        <v>32</v>
      </c>
      <c r="S197" s="195">
        <v>177</v>
      </c>
      <c r="T197" s="195">
        <v>93</v>
      </c>
      <c r="U197" s="195">
        <v>104</v>
      </c>
      <c r="V197" s="195">
        <v>1525</v>
      </c>
      <c r="W197" s="195">
        <v>458</v>
      </c>
      <c r="X197" s="195">
        <v>324</v>
      </c>
      <c r="Y197" s="195">
        <v>169</v>
      </c>
      <c r="Z197" s="195">
        <v>4</v>
      </c>
      <c r="AA197" s="195">
        <v>0</v>
      </c>
      <c r="AB197" s="195">
        <v>2891</v>
      </c>
      <c r="AC197" s="195">
        <v>108</v>
      </c>
      <c r="AD197" s="195">
        <v>951</v>
      </c>
      <c r="AE197" s="195">
        <v>1.2504963489230188</v>
      </c>
      <c r="AF197" s="195">
        <v>4265502.61982248</v>
      </c>
      <c r="AG197" s="195">
        <v>18072602.512102902</v>
      </c>
      <c r="AH197" s="195">
        <v>3610803.5372798652</v>
      </c>
      <c r="AI197" s="195">
        <v>2274380.852952178</v>
      </c>
      <c r="AJ197" s="195">
        <v>133</v>
      </c>
      <c r="AK197" s="195">
        <v>1276</v>
      </c>
      <c r="AL197" s="195">
        <v>0.7850178539525124</v>
      </c>
      <c r="AM197" s="195">
        <v>108</v>
      </c>
      <c r="AN197" s="195">
        <v>0.03596403596403597</v>
      </c>
      <c r="AO197" s="195">
        <v>0.031995781995782</v>
      </c>
      <c r="AP197" s="195">
        <v>0</v>
      </c>
      <c r="AQ197" s="195">
        <v>4</v>
      </c>
      <c r="AR197" s="195">
        <v>0</v>
      </c>
      <c r="AS197" s="195">
        <v>0</v>
      </c>
      <c r="AT197" s="195">
        <v>0</v>
      </c>
      <c r="AU197" s="195">
        <v>361.08</v>
      </c>
      <c r="AV197" s="195">
        <v>8.31671651711532</v>
      </c>
      <c r="AW197" s="195">
        <v>2.1769787478196307</v>
      </c>
      <c r="AX197" s="195">
        <v>145</v>
      </c>
      <c r="AY197" s="195">
        <v>803</v>
      </c>
      <c r="AZ197" s="195">
        <v>0.18057285180572852</v>
      </c>
      <c r="BA197" s="195">
        <v>0.11555005160306005</v>
      </c>
      <c r="BB197" s="195">
        <v>0</v>
      </c>
      <c r="BC197" s="195">
        <v>970</v>
      </c>
      <c r="BD197" s="195">
        <v>1126</v>
      </c>
      <c r="BE197" s="195">
        <v>0.8614564831261101</v>
      </c>
      <c r="BF197" s="195">
        <v>0.43051496508380405</v>
      </c>
      <c r="BG197" s="195">
        <v>0</v>
      </c>
      <c r="BH197" s="195">
        <v>0</v>
      </c>
      <c r="BI197" s="195">
        <v>0</v>
      </c>
      <c r="BJ197" s="195">
        <v>-720.72</v>
      </c>
      <c r="BK197" s="195">
        <v>-12312.3</v>
      </c>
      <c r="BL197" s="195">
        <v>-840.84</v>
      </c>
      <c r="BM197" s="195">
        <v>-4294.29</v>
      </c>
      <c r="BN197" s="195">
        <v>-120.12</v>
      </c>
      <c r="BO197" s="195">
        <v>-2031</v>
      </c>
      <c r="BP197" s="195">
        <v>-106544.76305381182</v>
      </c>
      <c r="BQ197" s="195">
        <v>-256666.41</v>
      </c>
      <c r="BR197" s="195">
        <v>164582.84655112214</v>
      </c>
      <c r="BS197" s="195">
        <v>336617</v>
      </c>
      <c r="BT197" s="195">
        <v>105974</v>
      </c>
      <c r="BU197" s="195">
        <v>275176.4261463324</v>
      </c>
      <c r="BV197" s="195">
        <v>17270.633688822705</v>
      </c>
      <c r="BW197" s="195">
        <v>36750.65009825855</v>
      </c>
      <c r="BX197" s="195">
        <v>126163.3288833969</v>
      </c>
      <c r="BY197" s="195">
        <v>187520.19939022846</v>
      </c>
      <c r="BZ197" s="195">
        <v>296557.1127692157</v>
      </c>
      <c r="CA197" s="195">
        <v>85958.49194061497</v>
      </c>
      <c r="CB197" s="195">
        <v>270.27</v>
      </c>
      <c r="CC197" s="195">
        <v>-1975.3570111791305</v>
      </c>
      <c r="CD197" s="195">
        <v>1629014.7824568127</v>
      </c>
      <c r="CE197" s="195">
        <v>1158926.839403001</v>
      </c>
      <c r="CF197" s="195">
        <v>0</v>
      </c>
      <c r="CG197" s="229">
        <v>2915177.237588836</v>
      </c>
      <c r="CH197" s="195">
        <v>32779</v>
      </c>
      <c r="CI197" s="195">
        <v>215789.87389999995</v>
      </c>
      <c r="CJ197" s="195">
        <v>10210803.076737043</v>
      </c>
      <c r="CL197" s="195">
        <v>3049</v>
      </c>
    </row>
    <row r="198" spans="1:90" ht="9.75">
      <c r="A198" s="195">
        <v>620</v>
      </c>
      <c r="B198" s="195" t="s">
        <v>265</v>
      </c>
      <c r="C198" s="195">
        <v>2735</v>
      </c>
      <c r="D198" s="195">
        <v>9264605.07</v>
      </c>
      <c r="E198" s="195">
        <v>5835611.944074246</v>
      </c>
      <c r="F198" s="195">
        <v>2241067.143449314</v>
      </c>
      <c r="G198" s="195">
        <v>17341284.15752356</v>
      </c>
      <c r="H198" s="195">
        <v>3540.31</v>
      </c>
      <c r="I198" s="195">
        <v>9682747.85</v>
      </c>
      <c r="J198" s="195">
        <v>7658536.307523562</v>
      </c>
      <c r="K198" s="195">
        <v>2959762.1925384165</v>
      </c>
      <c r="L198" s="195">
        <v>889451.3065474465</v>
      </c>
      <c r="M198" s="195">
        <v>0</v>
      </c>
      <c r="N198" s="195">
        <v>11507749.806609424</v>
      </c>
      <c r="O198" s="195">
        <v>2162933.265752557</v>
      </c>
      <c r="P198" s="195">
        <v>13670683.072361981</v>
      </c>
      <c r="Q198" s="195">
        <v>87</v>
      </c>
      <c r="R198" s="195">
        <v>17</v>
      </c>
      <c r="S198" s="195">
        <v>113</v>
      </c>
      <c r="T198" s="195">
        <v>64</v>
      </c>
      <c r="U198" s="195">
        <v>91</v>
      </c>
      <c r="V198" s="195">
        <v>1427</v>
      </c>
      <c r="W198" s="195">
        <v>512</v>
      </c>
      <c r="X198" s="195">
        <v>306</v>
      </c>
      <c r="Y198" s="195">
        <v>118</v>
      </c>
      <c r="Z198" s="195">
        <v>2</v>
      </c>
      <c r="AA198" s="195">
        <v>0</v>
      </c>
      <c r="AB198" s="195">
        <v>2681</v>
      </c>
      <c r="AC198" s="195">
        <v>52</v>
      </c>
      <c r="AD198" s="195">
        <v>936</v>
      </c>
      <c r="AE198" s="195">
        <v>1.8784369438548352</v>
      </c>
      <c r="AF198" s="195">
        <v>5835611.944074246</v>
      </c>
      <c r="AG198" s="195">
        <v>2150933.1221385757</v>
      </c>
      <c r="AH198" s="195">
        <v>666091.4388667584</v>
      </c>
      <c r="AI198" s="195">
        <v>205140.2337956867</v>
      </c>
      <c r="AJ198" s="195">
        <v>187</v>
      </c>
      <c r="AK198" s="195">
        <v>1100</v>
      </c>
      <c r="AL198" s="195">
        <v>1.2803464126269097</v>
      </c>
      <c r="AM198" s="195">
        <v>52</v>
      </c>
      <c r="AN198" s="195">
        <v>0.019012797074954298</v>
      </c>
      <c r="AO198" s="195">
        <v>0.01504454310670033</v>
      </c>
      <c r="AP198" s="195">
        <v>0</v>
      </c>
      <c r="AQ198" s="195">
        <v>2</v>
      </c>
      <c r="AR198" s="195">
        <v>0</v>
      </c>
      <c r="AS198" s="195">
        <v>0</v>
      </c>
      <c r="AT198" s="195">
        <v>0</v>
      </c>
      <c r="AU198" s="195">
        <v>2461.25</v>
      </c>
      <c r="AV198" s="195">
        <v>1.1112239715591672</v>
      </c>
      <c r="AW198" s="195">
        <v>16.29312863364245</v>
      </c>
      <c r="AX198" s="195">
        <v>135</v>
      </c>
      <c r="AY198" s="195">
        <v>689</v>
      </c>
      <c r="AZ198" s="195">
        <v>0.19593613933236576</v>
      </c>
      <c r="BA198" s="195">
        <v>0.13091333912969727</v>
      </c>
      <c r="BB198" s="195">
        <v>1.683249</v>
      </c>
      <c r="BC198" s="195">
        <v>801</v>
      </c>
      <c r="BD198" s="195">
        <v>852</v>
      </c>
      <c r="BE198" s="195">
        <v>0.9401408450704225</v>
      </c>
      <c r="BF198" s="195">
        <v>0.5091993270281164</v>
      </c>
      <c r="BG198" s="195">
        <v>0</v>
      </c>
      <c r="BH198" s="195">
        <v>0</v>
      </c>
      <c r="BI198" s="195">
        <v>0</v>
      </c>
      <c r="BJ198" s="195">
        <v>-656.4</v>
      </c>
      <c r="BK198" s="195">
        <v>-11213.499999999998</v>
      </c>
      <c r="BL198" s="195">
        <v>-765.8000000000001</v>
      </c>
      <c r="BM198" s="195">
        <v>-3911.0499999999997</v>
      </c>
      <c r="BN198" s="195">
        <v>-109.4</v>
      </c>
      <c r="BO198" s="195">
        <v>133095</v>
      </c>
      <c r="BP198" s="195">
        <v>-94539.71932943865</v>
      </c>
      <c r="BQ198" s="195">
        <v>-233760.44999999998</v>
      </c>
      <c r="BR198" s="195">
        <v>-69019.54834536463</v>
      </c>
      <c r="BS198" s="195">
        <v>322815</v>
      </c>
      <c r="BT198" s="195">
        <v>97700</v>
      </c>
      <c r="BU198" s="195">
        <v>244790.15556027857</v>
      </c>
      <c r="BV198" s="195">
        <v>14632.251434991533</v>
      </c>
      <c r="BW198" s="195">
        <v>24727.2558363038</v>
      </c>
      <c r="BX198" s="195">
        <v>130873.78517567727</v>
      </c>
      <c r="BY198" s="195">
        <v>148340.0917950246</v>
      </c>
      <c r="BZ198" s="195">
        <v>236625.1477244411</v>
      </c>
      <c r="CA198" s="195">
        <v>68400.77888053308</v>
      </c>
      <c r="CB198" s="195">
        <v>246.14999999999998</v>
      </c>
      <c r="CC198" s="195">
        <v>-38300.04218500018</v>
      </c>
      <c r="CD198" s="195">
        <v>1315090.1258768851</v>
      </c>
      <c r="CE198" s="195">
        <v>889451.3065474465</v>
      </c>
      <c r="CF198" s="195">
        <v>0</v>
      </c>
      <c r="CG198" s="229">
        <v>2162933.265752557</v>
      </c>
      <c r="CH198" s="195">
        <v>14892</v>
      </c>
      <c r="CI198" s="195">
        <v>9060.228500000001</v>
      </c>
      <c r="CJ198" s="195">
        <v>13685575.072361981</v>
      </c>
      <c r="CL198" s="195">
        <v>2776</v>
      </c>
    </row>
    <row r="199" spans="1:90" ht="9.75">
      <c r="A199" s="195">
        <v>623</v>
      </c>
      <c r="B199" s="195" t="s">
        <v>266</v>
      </c>
      <c r="C199" s="195">
        <v>2234</v>
      </c>
      <c r="D199" s="195">
        <v>7909201.37</v>
      </c>
      <c r="E199" s="195">
        <v>4251631.264381041</v>
      </c>
      <c r="F199" s="195">
        <v>1738317.6879104865</v>
      </c>
      <c r="G199" s="195">
        <v>13899150.322291527</v>
      </c>
      <c r="H199" s="195">
        <v>3540.31</v>
      </c>
      <c r="I199" s="195">
        <v>7909052.54</v>
      </c>
      <c r="J199" s="195">
        <v>5990097.782291527</v>
      </c>
      <c r="K199" s="195">
        <v>422492.6474954468</v>
      </c>
      <c r="L199" s="195">
        <v>1041336.3531126643</v>
      </c>
      <c r="M199" s="195">
        <v>0</v>
      </c>
      <c r="N199" s="195">
        <v>7453926.782899638</v>
      </c>
      <c r="O199" s="195">
        <v>1014066.032413658</v>
      </c>
      <c r="P199" s="195">
        <v>8467992.815313296</v>
      </c>
      <c r="Q199" s="195">
        <v>54</v>
      </c>
      <c r="R199" s="195">
        <v>10</v>
      </c>
      <c r="S199" s="195">
        <v>91</v>
      </c>
      <c r="T199" s="195">
        <v>57</v>
      </c>
      <c r="U199" s="195">
        <v>47</v>
      </c>
      <c r="V199" s="195">
        <v>1113</v>
      </c>
      <c r="W199" s="195">
        <v>483</v>
      </c>
      <c r="X199" s="195">
        <v>259</v>
      </c>
      <c r="Y199" s="195">
        <v>120</v>
      </c>
      <c r="Z199" s="195">
        <v>4</v>
      </c>
      <c r="AA199" s="195">
        <v>0</v>
      </c>
      <c r="AB199" s="195">
        <v>2190</v>
      </c>
      <c r="AC199" s="195">
        <v>40</v>
      </c>
      <c r="AD199" s="195">
        <v>862</v>
      </c>
      <c r="AE199" s="195">
        <v>1.6754827867521598</v>
      </c>
      <c r="AF199" s="195">
        <v>4251631.264381041</v>
      </c>
      <c r="AG199" s="195">
        <v>5513157.91156609</v>
      </c>
      <c r="AH199" s="195">
        <v>1200972.1852549196</v>
      </c>
      <c r="AI199" s="195">
        <v>615420.7013870601</v>
      </c>
      <c r="AJ199" s="195">
        <v>116</v>
      </c>
      <c r="AK199" s="195">
        <v>935</v>
      </c>
      <c r="AL199" s="195">
        <v>0.9343830378403367</v>
      </c>
      <c r="AM199" s="195">
        <v>40</v>
      </c>
      <c r="AN199" s="195">
        <v>0.017905102954341987</v>
      </c>
      <c r="AO199" s="195">
        <v>0.013936848986088018</v>
      </c>
      <c r="AP199" s="195">
        <v>0</v>
      </c>
      <c r="AQ199" s="195">
        <v>4</v>
      </c>
      <c r="AR199" s="195">
        <v>0</v>
      </c>
      <c r="AS199" s="195">
        <v>1</v>
      </c>
      <c r="AT199" s="195">
        <v>0</v>
      </c>
      <c r="AU199" s="195">
        <v>794.5</v>
      </c>
      <c r="AV199" s="195">
        <v>2.8118313404657016</v>
      </c>
      <c r="AW199" s="195">
        <v>6.438976210572398</v>
      </c>
      <c r="AX199" s="195">
        <v>93</v>
      </c>
      <c r="AY199" s="195">
        <v>503</v>
      </c>
      <c r="AZ199" s="195">
        <v>0.1848906560636183</v>
      </c>
      <c r="BA199" s="195">
        <v>0.11986785586094982</v>
      </c>
      <c r="BB199" s="195">
        <v>0.786733</v>
      </c>
      <c r="BC199" s="195">
        <v>670</v>
      </c>
      <c r="BD199" s="195">
        <v>802</v>
      </c>
      <c r="BE199" s="195">
        <v>0.8354114713216958</v>
      </c>
      <c r="BF199" s="195">
        <v>0.4044699532793897</v>
      </c>
      <c r="BG199" s="195">
        <v>0</v>
      </c>
      <c r="BH199" s="195">
        <v>0</v>
      </c>
      <c r="BI199" s="195">
        <v>0</v>
      </c>
      <c r="BJ199" s="195">
        <v>-536.16</v>
      </c>
      <c r="BK199" s="195">
        <v>-9159.4</v>
      </c>
      <c r="BL199" s="195">
        <v>-625.5200000000001</v>
      </c>
      <c r="BM199" s="195">
        <v>-3194.62</v>
      </c>
      <c r="BN199" s="195">
        <v>-89.36</v>
      </c>
      <c r="BO199" s="195">
        <v>2864</v>
      </c>
      <c r="BP199" s="195">
        <v>-32513.660086843982</v>
      </c>
      <c r="BQ199" s="195">
        <v>-190939.98</v>
      </c>
      <c r="BR199" s="195">
        <v>270448.9247596208</v>
      </c>
      <c r="BS199" s="195">
        <v>306712</v>
      </c>
      <c r="BT199" s="195">
        <v>80932</v>
      </c>
      <c r="BU199" s="195">
        <v>212840.17227451561</v>
      </c>
      <c r="BV199" s="195">
        <v>11757.206041825455</v>
      </c>
      <c r="BW199" s="195">
        <v>28178.923088862364</v>
      </c>
      <c r="BX199" s="195">
        <v>96841.9166642587</v>
      </c>
      <c r="BY199" s="195">
        <v>115917.57965680344</v>
      </c>
      <c r="BZ199" s="195">
        <v>195401.13376254923</v>
      </c>
      <c r="CA199" s="195">
        <v>56445.54419157191</v>
      </c>
      <c r="CB199" s="195">
        <v>201.06</v>
      </c>
      <c r="CC199" s="195">
        <v>-34376.4472404994</v>
      </c>
      <c r="CD199" s="195">
        <v>1344298.0531995082</v>
      </c>
      <c r="CE199" s="195">
        <v>1041336.3531126643</v>
      </c>
      <c r="CF199" s="195">
        <v>0</v>
      </c>
      <c r="CG199" s="229">
        <v>1014066.032413658</v>
      </c>
      <c r="CH199" s="195">
        <v>-345889</v>
      </c>
      <c r="CI199" s="195">
        <v>-129059.37000000001</v>
      </c>
      <c r="CJ199" s="195">
        <v>8122103.815313296</v>
      </c>
      <c r="CL199" s="195">
        <v>2260</v>
      </c>
    </row>
    <row r="200" spans="1:90" ht="9.75">
      <c r="A200" s="195">
        <v>624</v>
      </c>
      <c r="B200" s="195" t="s">
        <v>267</v>
      </c>
      <c r="C200" s="195">
        <v>5340</v>
      </c>
      <c r="D200" s="195">
        <v>18587639.87</v>
      </c>
      <c r="E200" s="195">
        <v>6232282.358176146</v>
      </c>
      <c r="F200" s="195">
        <v>1496558.1157667188</v>
      </c>
      <c r="G200" s="195">
        <v>26316480.343942866</v>
      </c>
      <c r="H200" s="195">
        <v>3540.31</v>
      </c>
      <c r="I200" s="195">
        <v>18905255.4</v>
      </c>
      <c r="J200" s="195">
        <v>7411224.943942867</v>
      </c>
      <c r="K200" s="195">
        <v>20272.68496328723</v>
      </c>
      <c r="L200" s="195">
        <v>993758.8138702869</v>
      </c>
      <c r="M200" s="195">
        <v>0</v>
      </c>
      <c r="N200" s="195">
        <v>8425256.442776442</v>
      </c>
      <c r="O200" s="195">
        <v>1372273.3786350596</v>
      </c>
      <c r="P200" s="195">
        <v>9797529.821411502</v>
      </c>
      <c r="Q200" s="195">
        <v>344</v>
      </c>
      <c r="R200" s="195">
        <v>65</v>
      </c>
      <c r="S200" s="195">
        <v>375</v>
      </c>
      <c r="T200" s="195">
        <v>158</v>
      </c>
      <c r="U200" s="195">
        <v>188</v>
      </c>
      <c r="V200" s="195">
        <v>2912</v>
      </c>
      <c r="W200" s="195">
        <v>751</v>
      </c>
      <c r="X200" s="195">
        <v>380</v>
      </c>
      <c r="Y200" s="195">
        <v>167</v>
      </c>
      <c r="Z200" s="195">
        <v>415</v>
      </c>
      <c r="AA200" s="195">
        <v>0</v>
      </c>
      <c r="AB200" s="195">
        <v>4720</v>
      </c>
      <c r="AC200" s="195">
        <v>205</v>
      </c>
      <c r="AD200" s="195">
        <v>1298</v>
      </c>
      <c r="AE200" s="195">
        <v>1.0274800811395757</v>
      </c>
      <c r="AF200" s="195">
        <v>6232282.358176146</v>
      </c>
      <c r="AG200" s="195">
        <v>7135427.077338666</v>
      </c>
      <c r="AH200" s="195">
        <v>2021406.9465943452</v>
      </c>
      <c r="AI200" s="195">
        <v>668935.544985935</v>
      </c>
      <c r="AJ200" s="195">
        <v>347</v>
      </c>
      <c r="AK200" s="195">
        <v>2483</v>
      </c>
      <c r="AL200" s="195">
        <v>1.0525223405783743</v>
      </c>
      <c r="AM200" s="195">
        <v>205</v>
      </c>
      <c r="AN200" s="195">
        <v>0.03838951310861423</v>
      </c>
      <c r="AO200" s="195">
        <v>0.03442125914036026</v>
      </c>
      <c r="AP200" s="195">
        <v>1</v>
      </c>
      <c r="AQ200" s="195">
        <v>415</v>
      </c>
      <c r="AR200" s="195">
        <v>0</v>
      </c>
      <c r="AS200" s="195">
        <v>3</v>
      </c>
      <c r="AT200" s="195">
        <v>202</v>
      </c>
      <c r="AU200" s="195">
        <v>324.75</v>
      </c>
      <c r="AV200" s="195">
        <v>16.443418013856814</v>
      </c>
      <c r="AW200" s="195">
        <v>1.1010676183104546</v>
      </c>
      <c r="AX200" s="195">
        <v>248</v>
      </c>
      <c r="AY200" s="195">
        <v>1745</v>
      </c>
      <c r="AZ200" s="195">
        <v>0.14212034383954156</v>
      </c>
      <c r="BA200" s="195">
        <v>0.07709754363687309</v>
      </c>
      <c r="BB200" s="195">
        <v>0</v>
      </c>
      <c r="BC200" s="195">
        <v>1048</v>
      </c>
      <c r="BD200" s="195">
        <v>2134</v>
      </c>
      <c r="BE200" s="195">
        <v>0.49109653233364575</v>
      </c>
      <c r="BF200" s="195">
        <v>0.06015501429133968</v>
      </c>
      <c r="BG200" s="195">
        <v>0</v>
      </c>
      <c r="BH200" s="195">
        <v>0</v>
      </c>
      <c r="BI200" s="195">
        <v>0</v>
      </c>
      <c r="BJ200" s="195">
        <v>-1281.6</v>
      </c>
      <c r="BK200" s="195">
        <v>-21893.999999999996</v>
      </c>
      <c r="BL200" s="195">
        <v>-1495.2</v>
      </c>
      <c r="BM200" s="195">
        <v>-7636.2</v>
      </c>
      <c r="BN200" s="195">
        <v>-213.6</v>
      </c>
      <c r="BO200" s="195">
        <v>97136</v>
      </c>
      <c r="BP200" s="195">
        <v>-131555.27081292256</v>
      </c>
      <c r="BQ200" s="195">
        <v>-456409.8</v>
      </c>
      <c r="BR200" s="195">
        <v>190396.44915563427</v>
      </c>
      <c r="BS200" s="195">
        <v>373776</v>
      </c>
      <c r="BT200" s="195">
        <v>115577</v>
      </c>
      <c r="BU200" s="195">
        <v>235069.5784648998</v>
      </c>
      <c r="BV200" s="195">
        <v>9112.403436958746</v>
      </c>
      <c r="BW200" s="195">
        <v>-127110.83688082914</v>
      </c>
      <c r="BX200" s="195">
        <v>99430.33695296093</v>
      </c>
      <c r="BY200" s="195">
        <v>228962.00169117263</v>
      </c>
      <c r="BZ200" s="195">
        <v>403407.92759863316</v>
      </c>
      <c r="CA200" s="195">
        <v>112853.02164777505</v>
      </c>
      <c r="CB200" s="195">
        <v>480.59999999999997</v>
      </c>
      <c r="CC200" s="195">
        <v>32363.60261600413</v>
      </c>
      <c r="CD200" s="195">
        <v>1771774.4846832096</v>
      </c>
      <c r="CE200" s="195">
        <v>993758.8138702869</v>
      </c>
      <c r="CF200" s="195">
        <v>0</v>
      </c>
      <c r="CG200" s="229">
        <v>1372273.3786350596</v>
      </c>
      <c r="CH200" s="195">
        <v>-709742</v>
      </c>
      <c r="CI200" s="195">
        <v>-110091.55349999998</v>
      </c>
      <c r="CJ200" s="195">
        <v>9087787.821411502</v>
      </c>
      <c r="CL200" s="195">
        <v>5321</v>
      </c>
    </row>
    <row r="201" spans="1:90" ht="9.75">
      <c r="A201" s="195">
        <v>625</v>
      </c>
      <c r="B201" s="195" t="s">
        <v>268</v>
      </c>
      <c r="C201" s="195">
        <v>3188</v>
      </c>
      <c r="D201" s="195">
        <v>12228616.200000001</v>
      </c>
      <c r="E201" s="195">
        <v>4917859.518017379</v>
      </c>
      <c r="F201" s="195">
        <v>732226.8679383481</v>
      </c>
      <c r="G201" s="195">
        <v>17878702.585955728</v>
      </c>
      <c r="H201" s="195">
        <v>3540.31</v>
      </c>
      <c r="I201" s="195">
        <v>11286508.28</v>
      </c>
      <c r="J201" s="195">
        <v>6592194.3059557285</v>
      </c>
      <c r="K201" s="195">
        <v>227357.28552026555</v>
      </c>
      <c r="L201" s="195">
        <v>811462.9534434549</v>
      </c>
      <c r="M201" s="195">
        <v>0</v>
      </c>
      <c r="N201" s="195">
        <v>7631014.544919449</v>
      </c>
      <c r="O201" s="195">
        <v>2085579.0255565427</v>
      </c>
      <c r="P201" s="195">
        <v>9716593.570475992</v>
      </c>
      <c r="Q201" s="195">
        <v>197</v>
      </c>
      <c r="R201" s="195">
        <v>39</v>
      </c>
      <c r="S201" s="195">
        <v>244</v>
      </c>
      <c r="T201" s="195">
        <v>125</v>
      </c>
      <c r="U201" s="195">
        <v>128</v>
      </c>
      <c r="V201" s="195">
        <v>1592</v>
      </c>
      <c r="W201" s="195">
        <v>481</v>
      </c>
      <c r="X201" s="195">
        <v>254</v>
      </c>
      <c r="Y201" s="195">
        <v>128</v>
      </c>
      <c r="Z201" s="195">
        <v>15</v>
      </c>
      <c r="AA201" s="195">
        <v>0</v>
      </c>
      <c r="AB201" s="195">
        <v>3119</v>
      </c>
      <c r="AC201" s="195">
        <v>54</v>
      </c>
      <c r="AD201" s="195">
        <v>863</v>
      </c>
      <c r="AE201" s="195">
        <v>1.3580799988020988</v>
      </c>
      <c r="AF201" s="195">
        <v>4917859.518017379</v>
      </c>
      <c r="AG201" s="195">
        <v>4888679.601505858</v>
      </c>
      <c r="AH201" s="195">
        <v>1612982.0617235203</v>
      </c>
      <c r="AI201" s="195">
        <v>303250.78039362386</v>
      </c>
      <c r="AJ201" s="195">
        <v>145</v>
      </c>
      <c r="AK201" s="195">
        <v>1352</v>
      </c>
      <c r="AL201" s="195">
        <v>0.8077368161803947</v>
      </c>
      <c r="AM201" s="195">
        <v>54</v>
      </c>
      <c r="AN201" s="195">
        <v>0.016938519447929738</v>
      </c>
      <c r="AO201" s="195">
        <v>0.01297026547967577</v>
      </c>
      <c r="AP201" s="195">
        <v>0</v>
      </c>
      <c r="AQ201" s="195">
        <v>15</v>
      </c>
      <c r="AR201" s="195">
        <v>0</v>
      </c>
      <c r="AS201" s="195">
        <v>0</v>
      </c>
      <c r="AT201" s="195">
        <v>0</v>
      </c>
      <c r="AU201" s="195">
        <v>542.58</v>
      </c>
      <c r="AV201" s="195">
        <v>5.875631243318957</v>
      </c>
      <c r="AW201" s="195">
        <v>3.081424677559144</v>
      </c>
      <c r="AX201" s="195">
        <v>90</v>
      </c>
      <c r="AY201" s="195">
        <v>868</v>
      </c>
      <c r="AZ201" s="195">
        <v>0.10368663594470046</v>
      </c>
      <c r="BA201" s="195">
        <v>0.038663835742031985</v>
      </c>
      <c r="BB201" s="195">
        <v>0.283466</v>
      </c>
      <c r="BC201" s="195">
        <v>748</v>
      </c>
      <c r="BD201" s="195">
        <v>1193</v>
      </c>
      <c r="BE201" s="195">
        <v>0.6269907795473596</v>
      </c>
      <c r="BF201" s="195">
        <v>0.19604926150505353</v>
      </c>
      <c r="BG201" s="195">
        <v>0</v>
      </c>
      <c r="BH201" s="195">
        <v>0</v>
      </c>
      <c r="BI201" s="195">
        <v>0</v>
      </c>
      <c r="BJ201" s="195">
        <v>-765.12</v>
      </c>
      <c r="BK201" s="195">
        <v>-13070.8</v>
      </c>
      <c r="BL201" s="195">
        <v>-892.6400000000001</v>
      </c>
      <c r="BM201" s="195">
        <v>-4558.84</v>
      </c>
      <c r="BN201" s="195">
        <v>-127.52</v>
      </c>
      <c r="BO201" s="195">
        <v>22461</v>
      </c>
      <c r="BP201" s="195">
        <v>-42017.653035306066</v>
      </c>
      <c r="BQ201" s="195">
        <v>-272478.36</v>
      </c>
      <c r="BR201" s="195">
        <v>-15316.170387493446</v>
      </c>
      <c r="BS201" s="195">
        <v>278360</v>
      </c>
      <c r="BT201" s="195">
        <v>90828</v>
      </c>
      <c r="BU201" s="195">
        <v>209003.70193620183</v>
      </c>
      <c r="BV201" s="195">
        <v>9695.638026579994</v>
      </c>
      <c r="BW201" s="195">
        <v>35066.45150657508</v>
      </c>
      <c r="BX201" s="195">
        <v>103455.7139788927</v>
      </c>
      <c r="BY201" s="195">
        <v>169578.02322362876</v>
      </c>
      <c r="BZ201" s="195">
        <v>253663.12014994805</v>
      </c>
      <c r="CA201" s="195">
        <v>69104.606633776</v>
      </c>
      <c r="CB201" s="195">
        <v>286.92</v>
      </c>
      <c r="CC201" s="195">
        <v>13041.601410651849</v>
      </c>
      <c r="CD201" s="195">
        <v>1239419.886478761</v>
      </c>
      <c r="CE201" s="195">
        <v>811462.9534434549</v>
      </c>
      <c r="CF201" s="195">
        <v>0</v>
      </c>
      <c r="CG201" s="229">
        <v>2085579.0255565427</v>
      </c>
      <c r="CH201" s="195">
        <v>158078</v>
      </c>
      <c r="CI201" s="195">
        <v>126452.10999999999</v>
      </c>
      <c r="CJ201" s="195">
        <v>9874671.570475992</v>
      </c>
      <c r="CL201" s="195">
        <v>3211</v>
      </c>
    </row>
    <row r="202" spans="1:90" ht="9.75">
      <c r="A202" s="195">
        <v>626</v>
      </c>
      <c r="B202" s="195" t="s">
        <v>269</v>
      </c>
      <c r="C202" s="195">
        <v>5446</v>
      </c>
      <c r="D202" s="195">
        <v>20208146.630000003</v>
      </c>
      <c r="E202" s="195">
        <v>11026849.898852851</v>
      </c>
      <c r="F202" s="195">
        <v>1628953.9729228418</v>
      </c>
      <c r="G202" s="195">
        <v>32863950.501775697</v>
      </c>
      <c r="H202" s="195">
        <v>3540.31</v>
      </c>
      <c r="I202" s="195">
        <v>19280528.259999998</v>
      </c>
      <c r="J202" s="195">
        <v>13583422.241775699</v>
      </c>
      <c r="K202" s="195">
        <v>1293268.8662842023</v>
      </c>
      <c r="L202" s="195">
        <v>1219309.8326488938</v>
      </c>
      <c r="M202" s="195">
        <v>0</v>
      </c>
      <c r="N202" s="195">
        <v>16096000.940708796</v>
      </c>
      <c r="O202" s="195">
        <v>182869.89947139018</v>
      </c>
      <c r="P202" s="195">
        <v>16278870.840180187</v>
      </c>
      <c r="Q202" s="195">
        <v>313</v>
      </c>
      <c r="R202" s="195">
        <v>54</v>
      </c>
      <c r="S202" s="195">
        <v>329</v>
      </c>
      <c r="T202" s="195">
        <v>156</v>
      </c>
      <c r="U202" s="195">
        <v>146</v>
      </c>
      <c r="V202" s="195">
        <v>2756</v>
      </c>
      <c r="W202" s="195">
        <v>899</v>
      </c>
      <c r="X202" s="195">
        <v>552</v>
      </c>
      <c r="Y202" s="195">
        <v>241</v>
      </c>
      <c r="Z202" s="195">
        <v>11</v>
      </c>
      <c r="AA202" s="195">
        <v>0</v>
      </c>
      <c r="AB202" s="195">
        <v>5377</v>
      </c>
      <c r="AC202" s="195">
        <v>58</v>
      </c>
      <c r="AD202" s="195">
        <v>1692</v>
      </c>
      <c r="AE202" s="195">
        <v>1.7825485738978963</v>
      </c>
      <c r="AF202" s="195">
        <v>11026849.898852851</v>
      </c>
      <c r="AG202" s="195">
        <v>7653221.060475218</v>
      </c>
      <c r="AH202" s="195">
        <v>1888573.5737083328</v>
      </c>
      <c r="AI202" s="195">
        <v>838399.2163823717</v>
      </c>
      <c r="AJ202" s="195">
        <v>288</v>
      </c>
      <c r="AK202" s="195">
        <v>2200</v>
      </c>
      <c r="AL202" s="195">
        <v>0.9859352054453209</v>
      </c>
      <c r="AM202" s="195">
        <v>58</v>
      </c>
      <c r="AN202" s="195">
        <v>0.010650018362100624</v>
      </c>
      <c r="AO202" s="195">
        <v>0.0066817643938466564</v>
      </c>
      <c r="AP202" s="195">
        <v>0</v>
      </c>
      <c r="AQ202" s="195">
        <v>11</v>
      </c>
      <c r="AR202" s="195">
        <v>0</v>
      </c>
      <c r="AS202" s="195">
        <v>0</v>
      </c>
      <c r="AT202" s="195">
        <v>0</v>
      </c>
      <c r="AU202" s="195">
        <v>1311.32</v>
      </c>
      <c r="AV202" s="195">
        <v>4.153067138455907</v>
      </c>
      <c r="AW202" s="195">
        <v>4.359504555501125</v>
      </c>
      <c r="AX202" s="195">
        <v>199</v>
      </c>
      <c r="AY202" s="195">
        <v>1362</v>
      </c>
      <c r="AZ202" s="195">
        <v>0.1461086637298091</v>
      </c>
      <c r="BA202" s="195">
        <v>0.08108586352714063</v>
      </c>
      <c r="BB202" s="195">
        <v>0.967833</v>
      </c>
      <c r="BC202" s="195">
        <v>1860</v>
      </c>
      <c r="BD202" s="195">
        <v>1851</v>
      </c>
      <c r="BE202" s="195">
        <v>1.0048622366288493</v>
      </c>
      <c r="BF202" s="195">
        <v>0.5739207185865433</v>
      </c>
      <c r="BG202" s="195">
        <v>0</v>
      </c>
      <c r="BH202" s="195">
        <v>0</v>
      </c>
      <c r="BI202" s="195">
        <v>0</v>
      </c>
      <c r="BJ202" s="195">
        <v>-1307.04</v>
      </c>
      <c r="BK202" s="195">
        <v>-22328.6</v>
      </c>
      <c r="BL202" s="195">
        <v>-1524.88</v>
      </c>
      <c r="BM202" s="195">
        <v>-7787.78</v>
      </c>
      <c r="BN202" s="195">
        <v>-217.84</v>
      </c>
      <c r="BO202" s="195">
        <v>115437</v>
      </c>
      <c r="BP202" s="195">
        <v>-131055.06065774037</v>
      </c>
      <c r="BQ202" s="195">
        <v>-465469.62</v>
      </c>
      <c r="BR202" s="195">
        <v>-60032.6572009027</v>
      </c>
      <c r="BS202" s="195">
        <v>568854</v>
      </c>
      <c r="BT202" s="195">
        <v>160404</v>
      </c>
      <c r="BU202" s="195">
        <v>347711.14435782126</v>
      </c>
      <c r="BV202" s="195">
        <v>18609.89689071376</v>
      </c>
      <c r="BW202" s="195">
        <v>54407.33896008739</v>
      </c>
      <c r="BX202" s="195">
        <v>220486.06081992874</v>
      </c>
      <c r="BY202" s="195">
        <v>276663.9387210996</v>
      </c>
      <c r="BZ202" s="195">
        <v>449731.40092725924</v>
      </c>
      <c r="CA202" s="195">
        <v>127818.61337304134</v>
      </c>
      <c r="CB202" s="195">
        <v>490.14</v>
      </c>
      <c r="CC202" s="195">
        <v>-271249.98354241444</v>
      </c>
      <c r="CD202" s="195">
        <v>2009657.6533066342</v>
      </c>
      <c r="CE202" s="195">
        <v>1219309.8326488938</v>
      </c>
      <c r="CF202" s="195">
        <v>0</v>
      </c>
      <c r="CG202" s="229">
        <v>182869.89947139018</v>
      </c>
      <c r="CH202" s="195">
        <v>-454184</v>
      </c>
      <c r="CI202" s="195">
        <v>-71699.65000000001</v>
      </c>
      <c r="CJ202" s="195">
        <v>15824686.840180187</v>
      </c>
      <c r="CL202" s="195">
        <v>5505</v>
      </c>
    </row>
    <row r="203" spans="1:90" ht="9.75">
      <c r="A203" s="195">
        <v>630</v>
      </c>
      <c r="B203" s="195" t="s">
        <v>270</v>
      </c>
      <c r="C203" s="195">
        <v>1579</v>
      </c>
      <c r="D203" s="195">
        <v>5832115.2700000005</v>
      </c>
      <c r="E203" s="195">
        <v>2241859.149136202</v>
      </c>
      <c r="F203" s="195">
        <v>739669.021000025</v>
      </c>
      <c r="G203" s="195">
        <v>8813643.440136228</v>
      </c>
      <c r="H203" s="195">
        <v>3540.31</v>
      </c>
      <c r="I203" s="195">
        <v>5590149.49</v>
      </c>
      <c r="J203" s="195">
        <v>3223493.9501362275</v>
      </c>
      <c r="K203" s="195">
        <v>789978.7068597636</v>
      </c>
      <c r="L203" s="195">
        <v>420448.8874506171</v>
      </c>
      <c r="M203" s="195">
        <v>0</v>
      </c>
      <c r="N203" s="195">
        <v>4433921.544446608</v>
      </c>
      <c r="O203" s="195">
        <v>1274408.8834916444</v>
      </c>
      <c r="P203" s="195">
        <v>5708330.427938253</v>
      </c>
      <c r="Q203" s="195">
        <v>128</v>
      </c>
      <c r="R203" s="195">
        <v>22</v>
      </c>
      <c r="S203" s="195">
        <v>144</v>
      </c>
      <c r="T203" s="195">
        <v>65</v>
      </c>
      <c r="U203" s="195">
        <v>56</v>
      </c>
      <c r="V203" s="195">
        <v>832</v>
      </c>
      <c r="W203" s="195">
        <v>188</v>
      </c>
      <c r="X203" s="195">
        <v>108</v>
      </c>
      <c r="Y203" s="195">
        <v>36</v>
      </c>
      <c r="Z203" s="195">
        <v>0</v>
      </c>
      <c r="AA203" s="195">
        <v>0</v>
      </c>
      <c r="AB203" s="195">
        <v>1555</v>
      </c>
      <c r="AC203" s="195">
        <v>24</v>
      </c>
      <c r="AD203" s="195">
        <v>332</v>
      </c>
      <c r="AE203" s="195">
        <v>1.24995316514616</v>
      </c>
      <c r="AF203" s="195">
        <v>2241859.149136202</v>
      </c>
      <c r="AG203" s="195">
        <v>5840314.3702834295</v>
      </c>
      <c r="AH203" s="195">
        <v>1895592.6098892419</v>
      </c>
      <c r="AI203" s="195">
        <v>499471.873589498</v>
      </c>
      <c r="AJ203" s="195">
        <v>72</v>
      </c>
      <c r="AK203" s="195">
        <v>668</v>
      </c>
      <c r="AL203" s="195">
        <v>0.8117729984953989</v>
      </c>
      <c r="AM203" s="195">
        <v>24</v>
      </c>
      <c r="AN203" s="195">
        <v>0.015199493350221659</v>
      </c>
      <c r="AO203" s="195">
        <v>0.01123123938196769</v>
      </c>
      <c r="AP203" s="195">
        <v>0</v>
      </c>
      <c r="AQ203" s="195">
        <v>0</v>
      </c>
      <c r="AR203" s="195">
        <v>0</v>
      </c>
      <c r="AS203" s="195">
        <v>0</v>
      </c>
      <c r="AT203" s="195">
        <v>0</v>
      </c>
      <c r="AU203" s="195">
        <v>810.7</v>
      </c>
      <c r="AV203" s="195">
        <v>1.9476995189342543</v>
      </c>
      <c r="AW203" s="195">
        <v>9.295743482704893</v>
      </c>
      <c r="AX203" s="195">
        <v>42</v>
      </c>
      <c r="AY203" s="195">
        <v>379</v>
      </c>
      <c r="AZ203" s="195">
        <v>0.11081794195250659</v>
      </c>
      <c r="BA203" s="195">
        <v>0.04579514174983812</v>
      </c>
      <c r="BB203" s="195">
        <v>1.430633</v>
      </c>
      <c r="BC203" s="195">
        <v>716</v>
      </c>
      <c r="BD203" s="195">
        <v>556</v>
      </c>
      <c r="BE203" s="195">
        <v>1.2877697841726619</v>
      </c>
      <c r="BF203" s="195">
        <v>0.8568282661303558</v>
      </c>
      <c r="BG203" s="195">
        <v>0</v>
      </c>
      <c r="BH203" s="195">
        <v>0</v>
      </c>
      <c r="BI203" s="195">
        <v>0</v>
      </c>
      <c r="BJ203" s="195">
        <v>-378.96</v>
      </c>
      <c r="BK203" s="195">
        <v>-6473.9</v>
      </c>
      <c r="BL203" s="195">
        <v>-442.12000000000006</v>
      </c>
      <c r="BM203" s="195">
        <v>-2257.97</v>
      </c>
      <c r="BN203" s="195">
        <v>-63.160000000000004</v>
      </c>
      <c r="BO203" s="195">
        <v>27930</v>
      </c>
      <c r="BP203" s="195">
        <v>-8003.362482915442</v>
      </c>
      <c r="BQ203" s="195">
        <v>-134957.13</v>
      </c>
      <c r="BR203" s="195">
        <v>-38762.769205734134</v>
      </c>
      <c r="BS203" s="195">
        <v>142597</v>
      </c>
      <c r="BT203" s="195">
        <v>43369</v>
      </c>
      <c r="BU203" s="195">
        <v>115066.9355321736</v>
      </c>
      <c r="BV203" s="195">
        <v>6926.724569399294</v>
      </c>
      <c r="BW203" s="195">
        <v>14447.999352274763</v>
      </c>
      <c r="BX203" s="195">
        <v>58673.82537882386</v>
      </c>
      <c r="BY203" s="195">
        <v>84154.45967872407</v>
      </c>
      <c r="BZ203" s="195">
        <v>133597.43870718923</v>
      </c>
      <c r="CA203" s="195">
        <v>46173.810080921605</v>
      </c>
      <c r="CB203" s="195">
        <v>142.10999999999999</v>
      </c>
      <c r="CC203" s="195">
        <v>-14805.284160239758</v>
      </c>
      <c r="CD203" s="195">
        <v>619605.9899335325</v>
      </c>
      <c r="CE203" s="195">
        <v>420448.8874506171</v>
      </c>
      <c r="CF203" s="195">
        <v>0</v>
      </c>
      <c r="CG203" s="229">
        <v>1274408.8834916444</v>
      </c>
      <c r="CH203" s="195">
        <v>-172202</v>
      </c>
      <c r="CI203" s="195">
        <v>136946.3315</v>
      </c>
      <c r="CJ203" s="195">
        <v>5536128.427938253</v>
      </c>
      <c r="CL203" s="195">
        <v>1587</v>
      </c>
    </row>
    <row r="204" spans="1:90" ht="9.75">
      <c r="A204" s="195">
        <v>631</v>
      </c>
      <c r="B204" s="195" t="s">
        <v>271</v>
      </c>
      <c r="C204" s="195">
        <v>2075</v>
      </c>
      <c r="D204" s="195">
        <v>7234225.279999999</v>
      </c>
      <c r="E204" s="195">
        <v>2263807.0034288196</v>
      </c>
      <c r="F204" s="195">
        <v>322171.2128417571</v>
      </c>
      <c r="G204" s="195">
        <v>9820203.496270575</v>
      </c>
      <c r="H204" s="195">
        <v>3540.31</v>
      </c>
      <c r="I204" s="195">
        <v>7346143.25</v>
      </c>
      <c r="J204" s="195">
        <v>2474060.2462705746</v>
      </c>
      <c r="K204" s="195">
        <v>21655.42385773203</v>
      </c>
      <c r="L204" s="195">
        <v>623915.4505579568</v>
      </c>
      <c r="M204" s="195">
        <v>0</v>
      </c>
      <c r="N204" s="195">
        <v>3119631.120686264</v>
      </c>
      <c r="O204" s="195">
        <v>848429.8542247612</v>
      </c>
      <c r="P204" s="195">
        <v>3968060.974911025</v>
      </c>
      <c r="Q204" s="195">
        <v>125</v>
      </c>
      <c r="R204" s="195">
        <v>21</v>
      </c>
      <c r="S204" s="195">
        <v>126</v>
      </c>
      <c r="T204" s="195">
        <v>75</v>
      </c>
      <c r="U204" s="195">
        <v>69</v>
      </c>
      <c r="V204" s="195">
        <v>1118</v>
      </c>
      <c r="W204" s="195">
        <v>300</v>
      </c>
      <c r="X204" s="195">
        <v>180</v>
      </c>
      <c r="Y204" s="195">
        <v>61</v>
      </c>
      <c r="Z204" s="195">
        <v>7</v>
      </c>
      <c r="AA204" s="195">
        <v>0</v>
      </c>
      <c r="AB204" s="195">
        <v>2041</v>
      </c>
      <c r="AC204" s="195">
        <v>27</v>
      </c>
      <c r="AD204" s="195">
        <v>541</v>
      </c>
      <c r="AE204" s="195">
        <v>0.9604811484960101</v>
      </c>
      <c r="AF204" s="195">
        <v>2263807.0034288196</v>
      </c>
      <c r="AG204" s="195">
        <v>13120288.963971153</v>
      </c>
      <c r="AH204" s="195">
        <v>3266380.186617756</v>
      </c>
      <c r="AI204" s="195">
        <v>1444900.7771696195</v>
      </c>
      <c r="AJ204" s="195">
        <v>86</v>
      </c>
      <c r="AK204" s="195">
        <v>1005</v>
      </c>
      <c r="AL204" s="195">
        <v>0.6444822445766124</v>
      </c>
      <c r="AM204" s="195">
        <v>27</v>
      </c>
      <c r="AN204" s="195">
        <v>0.013012048192771084</v>
      </c>
      <c r="AO204" s="195">
        <v>0.009043794224517116</v>
      </c>
      <c r="AP204" s="195">
        <v>0</v>
      </c>
      <c r="AQ204" s="195">
        <v>7</v>
      </c>
      <c r="AR204" s="195">
        <v>0</v>
      </c>
      <c r="AS204" s="195">
        <v>0</v>
      </c>
      <c r="AT204" s="195">
        <v>0</v>
      </c>
      <c r="AU204" s="195">
        <v>143.26</v>
      </c>
      <c r="AV204" s="195">
        <v>14.484154683791708</v>
      </c>
      <c r="AW204" s="195">
        <v>1.2500084060591434</v>
      </c>
      <c r="AX204" s="195">
        <v>96</v>
      </c>
      <c r="AY204" s="195">
        <v>642</v>
      </c>
      <c r="AZ204" s="195">
        <v>0.14953271028037382</v>
      </c>
      <c r="BA204" s="195">
        <v>0.08450991007770535</v>
      </c>
      <c r="BB204" s="195">
        <v>0</v>
      </c>
      <c r="BC204" s="195">
        <v>517</v>
      </c>
      <c r="BD204" s="195">
        <v>867</v>
      </c>
      <c r="BE204" s="195">
        <v>0.5963091118800461</v>
      </c>
      <c r="BF204" s="195">
        <v>0.16536759383774002</v>
      </c>
      <c r="BG204" s="195">
        <v>0</v>
      </c>
      <c r="BH204" s="195">
        <v>0</v>
      </c>
      <c r="BI204" s="195">
        <v>0</v>
      </c>
      <c r="BJ204" s="195">
        <v>-498</v>
      </c>
      <c r="BK204" s="195">
        <v>-8507.5</v>
      </c>
      <c r="BL204" s="195">
        <v>-581</v>
      </c>
      <c r="BM204" s="195">
        <v>-2967.25</v>
      </c>
      <c r="BN204" s="195">
        <v>-83</v>
      </c>
      <c r="BO204" s="195">
        <v>38872</v>
      </c>
      <c r="BP204" s="195">
        <v>-28511.978845386264</v>
      </c>
      <c r="BQ204" s="195">
        <v>-177350.25</v>
      </c>
      <c r="BR204" s="195">
        <v>125422.74595760088</v>
      </c>
      <c r="BS204" s="195">
        <v>166578</v>
      </c>
      <c r="BT204" s="195">
        <v>56438</v>
      </c>
      <c r="BU204" s="195">
        <v>129722.21444774065</v>
      </c>
      <c r="BV204" s="195">
        <v>5761.346417775909</v>
      </c>
      <c r="BW204" s="195">
        <v>-32797.7229609648</v>
      </c>
      <c r="BX204" s="195">
        <v>53378.44238395563</v>
      </c>
      <c r="BY204" s="195">
        <v>104600.43267838539</v>
      </c>
      <c r="BZ204" s="195">
        <v>186841.64452944396</v>
      </c>
      <c r="CA204" s="195">
        <v>59114.944067417746</v>
      </c>
      <c r="CB204" s="195">
        <v>186.75</v>
      </c>
      <c r="CC204" s="195">
        <v>9383.631881987802</v>
      </c>
      <c r="CD204" s="195">
        <v>903626.9294033431</v>
      </c>
      <c r="CE204" s="195">
        <v>623915.4505579568</v>
      </c>
      <c r="CF204" s="195">
        <v>0</v>
      </c>
      <c r="CG204" s="229">
        <v>848429.8542247612</v>
      </c>
      <c r="CH204" s="195">
        <v>-481985</v>
      </c>
      <c r="CI204" s="195">
        <v>-769428.4986</v>
      </c>
      <c r="CJ204" s="195">
        <v>3486075.974911025</v>
      </c>
      <c r="CL204" s="195">
        <v>2136</v>
      </c>
    </row>
    <row r="205" spans="1:90" ht="9.75">
      <c r="A205" s="195">
        <v>635</v>
      </c>
      <c r="B205" s="195" t="s">
        <v>272</v>
      </c>
      <c r="C205" s="195">
        <v>6627</v>
      </c>
      <c r="D205" s="195">
        <v>24289479.8</v>
      </c>
      <c r="E205" s="195">
        <v>9005509.465768196</v>
      </c>
      <c r="F205" s="195">
        <v>1343758.4655831628</v>
      </c>
      <c r="G205" s="195">
        <v>34638747.73135136</v>
      </c>
      <c r="H205" s="195">
        <v>3540.31</v>
      </c>
      <c r="I205" s="195">
        <v>23461634.37</v>
      </c>
      <c r="J205" s="195">
        <v>11177113.36135136</v>
      </c>
      <c r="K205" s="195">
        <v>134172.12862340407</v>
      </c>
      <c r="L205" s="195">
        <v>1535052.586673501</v>
      </c>
      <c r="M205" s="195">
        <v>0</v>
      </c>
      <c r="N205" s="195">
        <v>12846338.076648265</v>
      </c>
      <c r="O205" s="195">
        <v>4175894.2990019</v>
      </c>
      <c r="P205" s="195">
        <v>17022232.375650164</v>
      </c>
      <c r="Q205" s="195">
        <v>334</v>
      </c>
      <c r="R205" s="195">
        <v>59</v>
      </c>
      <c r="S205" s="195">
        <v>458</v>
      </c>
      <c r="T205" s="195">
        <v>253</v>
      </c>
      <c r="U205" s="195">
        <v>204</v>
      </c>
      <c r="V205" s="195">
        <v>3473</v>
      </c>
      <c r="W205" s="195">
        <v>996</v>
      </c>
      <c r="X205" s="195">
        <v>591</v>
      </c>
      <c r="Y205" s="195">
        <v>259</v>
      </c>
      <c r="Z205" s="195">
        <v>28</v>
      </c>
      <c r="AA205" s="195">
        <v>0</v>
      </c>
      <c r="AB205" s="195">
        <v>6455</v>
      </c>
      <c r="AC205" s="195">
        <v>144</v>
      </c>
      <c r="AD205" s="195">
        <v>1846</v>
      </c>
      <c r="AE205" s="195">
        <v>1.196351679705245</v>
      </c>
      <c r="AF205" s="195">
        <v>9005509.465768196</v>
      </c>
      <c r="AG205" s="195">
        <v>3000575.163380252</v>
      </c>
      <c r="AH205" s="195">
        <v>538956.3157835274</v>
      </c>
      <c r="AI205" s="195">
        <v>294331.6397938113</v>
      </c>
      <c r="AJ205" s="195">
        <v>379</v>
      </c>
      <c r="AK205" s="195">
        <v>2996</v>
      </c>
      <c r="AL205" s="195">
        <v>0.9527434429937931</v>
      </c>
      <c r="AM205" s="195">
        <v>144</v>
      </c>
      <c r="AN205" s="195">
        <v>0.021729289271163424</v>
      </c>
      <c r="AO205" s="195">
        <v>0.017761035302909456</v>
      </c>
      <c r="AP205" s="195">
        <v>0</v>
      </c>
      <c r="AQ205" s="195">
        <v>28</v>
      </c>
      <c r="AR205" s="195">
        <v>0</v>
      </c>
      <c r="AS205" s="195">
        <v>0</v>
      </c>
      <c r="AT205" s="195">
        <v>0</v>
      </c>
      <c r="AU205" s="195">
        <v>560.48</v>
      </c>
      <c r="AV205" s="195">
        <v>11.823793890950613</v>
      </c>
      <c r="AW205" s="195">
        <v>1.5312610551556995</v>
      </c>
      <c r="AX205" s="195">
        <v>261</v>
      </c>
      <c r="AY205" s="195">
        <v>1990</v>
      </c>
      <c r="AZ205" s="195">
        <v>0.13115577889447236</v>
      </c>
      <c r="BA205" s="195">
        <v>0.06613297869180389</v>
      </c>
      <c r="BB205" s="195">
        <v>0</v>
      </c>
      <c r="BC205" s="195">
        <v>1932</v>
      </c>
      <c r="BD205" s="195">
        <v>2570</v>
      </c>
      <c r="BE205" s="195">
        <v>0.7517509727626459</v>
      </c>
      <c r="BF205" s="195">
        <v>0.32080945472033984</v>
      </c>
      <c r="BG205" s="195">
        <v>0</v>
      </c>
      <c r="BH205" s="195">
        <v>0</v>
      </c>
      <c r="BI205" s="195">
        <v>0</v>
      </c>
      <c r="BJ205" s="195">
        <v>-1590.48</v>
      </c>
      <c r="BK205" s="195">
        <v>-27170.699999999997</v>
      </c>
      <c r="BL205" s="195">
        <v>-1855.5600000000002</v>
      </c>
      <c r="BM205" s="195">
        <v>-9476.609999999999</v>
      </c>
      <c r="BN205" s="195">
        <v>-265.08</v>
      </c>
      <c r="BO205" s="195">
        <v>-130052</v>
      </c>
      <c r="BP205" s="195">
        <v>-212089.10579725922</v>
      </c>
      <c r="BQ205" s="195">
        <v>-566409.69</v>
      </c>
      <c r="BR205" s="195">
        <v>-12804.24278062582</v>
      </c>
      <c r="BS205" s="195">
        <v>642019</v>
      </c>
      <c r="BT205" s="195">
        <v>195798</v>
      </c>
      <c r="BU205" s="195">
        <v>456431.13350845047</v>
      </c>
      <c r="BV205" s="195">
        <v>18923.51818230522</v>
      </c>
      <c r="BW205" s="195">
        <v>38485.85235614743</v>
      </c>
      <c r="BX205" s="195">
        <v>180396.70705651797</v>
      </c>
      <c r="BY205" s="195">
        <v>367715.8901137397</v>
      </c>
      <c r="BZ205" s="195">
        <v>580818.1819355405</v>
      </c>
      <c r="CA205" s="195">
        <v>181734.52992591314</v>
      </c>
      <c r="CB205" s="195">
        <v>596.43</v>
      </c>
      <c r="CC205" s="195">
        <v>28945.692172771458</v>
      </c>
      <c r="CD205" s="195">
        <v>2549406.31247076</v>
      </c>
      <c r="CE205" s="195">
        <v>1535052.586673501</v>
      </c>
      <c r="CF205" s="195">
        <v>0</v>
      </c>
      <c r="CG205" s="229">
        <v>4175894.2990019</v>
      </c>
      <c r="CH205" s="195">
        <v>-706745</v>
      </c>
      <c r="CI205" s="195">
        <v>-692018.9491999999</v>
      </c>
      <c r="CJ205" s="195">
        <v>16315487.375650164</v>
      </c>
      <c r="CL205" s="195">
        <v>6676</v>
      </c>
    </row>
    <row r="206" spans="1:90" ht="9.75">
      <c r="A206" s="195">
        <v>636</v>
      </c>
      <c r="B206" s="195" t="s">
        <v>273</v>
      </c>
      <c r="C206" s="195">
        <v>8503</v>
      </c>
      <c r="D206" s="195">
        <v>31914210.77</v>
      </c>
      <c r="E206" s="195">
        <v>9864779.08661469</v>
      </c>
      <c r="F206" s="195">
        <v>1878388.1511389012</v>
      </c>
      <c r="G206" s="195">
        <v>43657378.007753596</v>
      </c>
      <c r="H206" s="195">
        <v>3540.31</v>
      </c>
      <c r="I206" s="195">
        <v>30103255.93</v>
      </c>
      <c r="J206" s="195">
        <v>13554122.077753596</v>
      </c>
      <c r="K206" s="195">
        <v>185537.39493366677</v>
      </c>
      <c r="L206" s="195">
        <v>2206332.8353657844</v>
      </c>
      <c r="M206" s="195">
        <v>0</v>
      </c>
      <c r="N206" s="195">
        <v>15945992.308053046</v>
      </c>
      <c r="O206" s="195">
        <v>6215623.116284236</v>
      </c>
      <c r="P206" s="195">
        <v>22161615.424337283</v>
      </c>
      <c r="Q206" s="195">
        <v>606</v>
      </c>
      <c r="R206" s="195">
        <v>116</v>
      </c>
      <c r="S206" s="195">
        <v>643</v>
      </c>
      <c r="T206" s="195">
        <v>319</v>
      </c>
      <c r="U206" s="195">
        <v>288</v>
      </c>
      <c r="V206" s="195">
        <v>4517</v>
      </c>
      <c r="W206" s="195">
        <v>1091</v>
      </c>
      <c r="X206" s="195">
        <v>609</v>
      </c>
      <c r="Y206" s="195">
        <v>314</v>
      </c>
      <c r="Z206" s="195">
        <v>49</v>
      </c>
      <c r="AA206" s="195">
        <v>2</v>
      </c>
      <c r="AB206" s="195">
        <v>8193</v>
      </c>
      <c r="AC206" s="195">
        <v>259</v>
      </c>
      <c r="AD206" s="195">
        <v>2014</v>
      </c>
      <c r="AE206" s="195">
        <v>1.0213691409278216</v>
      </c>
      <c r="AF206" s="195">
        <v>9864779.08661469</v>
      </c>
      <c r="AG206" s="195">
        <v>2876115.621874676</v>
      </c>
      <c r="AH206" s="195">
        <v>857907.3577245984</v>
      </c>
      <c r="AI206" s="195">
        <v>249735.936794749</v>
      </c>
      <c r="AJ206" s="195">
        <v>376</v>
      </c>
      <c r="AK206" s="195">
        <v>3920</v>
      </c>
      <c r="AL206" s="195">
        <v>0.7224043384569598</v>
      </c>
      <c r="AM206" s="195">
        <v>259</v>
      </c>
      <c r="AN206" s="195">
        <v>0.030459837704339646</v>
      </c>
      <c r="AO206" s="195">
        <v>0.026491583736085678</v>
      </c>
      <c r="AP206" s="195">
        <v>0</v>
      </c>
      <c r="AQ206" s="195">
        <v>49</v>
      </c>
      <c r="AR206" s="195">
        <v>2</v>
      </c>
      <c r="AS206" s="195">
        <v>0</v>
      </c>
      <c r="AT206" s="195">
        <v>0</v>
      </c>
      <c r="AU206" s="195">
        <v>750.04</v>
      </c>
      <c r="AV206" s="195">
        <v>11.336728707802251</v>
      </c>
      <c r="AW206" s="195">
        <v>1.597049340780288</v>
      </c>
      <c r="AX206" s="195">
        <v>470</v>
      </c>
      <c r="AY206" s="195">
        <v>2605</v>
      </c>
      <c r="AZ206" s="195">
        <v>0.18042226487523993</v>
      </c>
      <c r="BA206" s="195">
        <v>0.11539946467257146</v>
      </c>
      <c r="BB206" s="195">
        <v>0</v>
      </c>
      <c r="BC206" s="195">
        <v>2699</v>
      </c>
      <c r="BD206" s="195">
        <v>3475</v>
      </c>
      <c r="BE206" s="195">
        <v>0.7766906474820144</v>
      </c>
      <c r="BF206" s="195">
        <v>0.34574912943970837</v>
      </c>
      <c r="BG206" s="195">
        <v>0</v>
      </c>
      <c r="BH206" s="195">
        <v>2</v>
      </c>
      <c r="BI206" s="195">
        <v>0</v>
      </c>
      <c r="BJ206" s="195">
        <v>-2040.72</v>
      </c>
      <c r="BK206" s="195">
        <v>-34862.299999999996</v>
      </c>
      <c r="BL206" s="195">
        <v>-2380.84</v>
      </c>
      <c r="BM206" s="195">
        <v>-12159.289999999999</v>
      </c>
      <c r="BN206" s="195">
        <v>-340.12</v>
      </c>
      <c r="BO206" s="195">
        <v>-25759</v>
      </c>
      <c r="BP206" s="195">
        <v>-134056.32158883364</v>
      </c>
      <c r="BQ206" s="195">
        <v>-726751.41</v>
      </c>
      <c r="BR206" s="195">
        <v>4699.763645730913</v>
      </c>
      <c r="BS206" s="195">
        <v>728276</v>
      </c>
      <c r="BT206" s="195">
        <v>246779</v>
      </c>
      <c r="BU206" s="195">
        <v>568370.5156629826</v>
      </c>
      <c r="BV206" s="195">
        <v>26839.74081675102</v>
      </c>
      <c r="BW206" s="195">
        <v>50553.860423168335</v>
      </c>
      <c r="BX206" s="195">
        <v>235055.66469803228</v>
      </c>
      <c r="BY206" s="195">
        <v>500128.3131237348</v>
      </c>
      <c r="BZ206" s="195">
        <v>790161.8219502514</v>
      </c>
      <c r="CA206" s="195">
        <v>238427.4203855959</v>
      </c>
      <c r="CB206" s="195">
        <v>765.27</v>
      </c>
      <c r="CC206" s="195">
        <v>4953.786248370576</v>
      </c>
      <c r="CD206" s="195">
        <v>3369762.336954618</v>
      </c>
      <c r="CE206" s="195">
        <v>2206332.8353657844</v>
      </c>
      <c r="CF206" s="195">
        <v>0</v>
      </c>
      <c r="CG206" s="229">
        <v>6215623.116284236</v>
      </c>
      <c r="CH206" s="195">
        <v>-459352</v>
      </c>
      <c r="CI206" s="195">
        <v>-35315.336700000014</v>
      </c>
      <c r="CJ206" s="195">
        <v>21702263.424337283</v>
      </c>
      <c r="CL206" s="195">
        <v>8562</v>
      </c>
    </row>
    <row r="207" spans="1:90" ht="9.75">
      <c r="A207" s="195">
        <v>678</v>
      </c>
      <c r="B207" s="195" t="s">
        <v>274</v>
      </c>
      <c r="C207" s="195">
        <v>25010</v>
      </c>
      <c r="D207" s="195">
        <v>88646403.62</v>
      </c>
      <c r="E207" s="195">
        <v>38386723.818110555</v>
      </c>
      <c r="F207" s="195">
        <v>4349993.155152729</v>
      </c>
      <c r="G207" s="195">
        <v>131383120.59326328</v>
      </c>
      <c r="H207" s="195">
        <v>3540.31</v>
      </c>
      <c r="I207" s="195">
        <v>88543153.1</v>
      </c>
      <c r="J207" s="195">
        <v>42839967.49326329</v>
      </c>
      <c r="K207" s="195">
        <v>1166371.7565963496</v>
      </c>
      <c r="L207" s="195">
        <v>4013584.7927318285</v>
      </c>
      <c r="M207" s="195">
        <v>-9668.126499638332</v>
      </c>
      <c r="N207" s="195">
        <v>48010255.91609183</v>
      </c>
      <c r="O207" s="195">
        <v>10842126.018700937</v>
      </c>
      <c r="P207" s="195">
        <v>58852381.934792764</v>
      </c>
      <c r="Q207" s="195">
        <v>1839</v>
      </c>
      <c r="R207" s="195">
        <v>338</v>
      </c>
      <c r="S207" s="195">
        <v>2037</v>
      </c>
      <c r="T207" s="195">
        <v>931</v>
      </c>
      <c r="U207" s="195">
        <v>962</v>
      </c>
      <c r="V207" s="195">
        <v>13342</v>
      </c>
      <c r="W207" s="195">
        <v>3378</v>
      </c>
      <c r="X207" s="195">
        <v>1599</v>
      </c>
      <c r="Y207" s="195">
        <v>584</v>
      </c>
      <c r="Z207" s="195">
        <v>15</v>
      </c>
      <c r="AA207" s="195">
        <v>2</v>
      </c>
      <c r="AB207" s="195">
        <v>24381</v>
      </c>
      <c r="AC207" s="195">
        <v>612</v>
      </c>
      <c r="AD207" s="195">
        <v>5561</v>
      </c>
      <c r="AE207" s="195">
        <v>1.3512475003698754</v>
      </c>
      <c r="AF207" s="195">
        <v>38386723.818110555</v>
      </c>
      <c r="AG207" s="195">
        <v>12143775.502665387</v>
      </c>
      <c r="AH207" s="195">
        <v>2857087.3564127325</v>
      </c>
      <c r="AI207" s="195">
        <v>1444900.7771696192</v>
      </c>
      <c r="AJ207" s="195">
        <v>1400</v>
      </c>
      <c r="AK207" s="195">
        <v>10902</v>
      </c>
      <c r="AL207" s="195">
        <v>0.967164674413585</v>
      </c>
      <c r="AM207" s="195">
        <v>612</v>
      </c>
      <c r="AN207" s="195">
        <v>0.024470211915233908</v>
      </c>
      <c r="AO207" s="195">
        <v>0.02050195794697994</v>
      </c>
      <c r="AP207" s="195">
        <v>0</v>
      </c>
      <c r="AQ207" s="195">
        <v>15</v>
      </c>
      <c r="AR207" s="195">
        <v>2</v>
      </c>
      <c r="AS207" s="195">
        <v>0</v>
      </c>
      <c r="AT207" s="195">
        <v>0</v>
      </c>
      <c r="AU207" s="195">
        <v>1014.26</v>
      </c>
      <c r="AV207" s="195">
        <v>24.658371620688975</v>
      </c>
      <c r="AW207" s="195">
        <v>0.7342461776433667</v>
      </c>
      <c r="AX207" s="195">
        <v>872</v>
      </c>
      <c r="AY207" s="195">
        <v>7321</v>
      </c>
      <c r="AZ207" s="195">
        <v>0.11910941128261167</v>
      </c>
      <c r="BA207" s="195">
        <v>0.0540866110799432</v>
      </c>
      <c r="BB207" s="195">
        <v>0</v>
      </c>
      <c r="BC207" s="195">
        <v>10886</v>
      </c>
      <c r="BD207" s="195">
        <v>9305</v>
      </c>
      <c r="BE207" s="195">
        <v>1.169908651262762</v>
      </c>
      <c r="BF207" s="195">
        <v>0.7389671332204558</v>
      </c>
      <c r="BG207" s="195">
        <v>0</v>
      </c>
      <c r="BH207" s="195">
        <v>2</v>
      </c>
      <c r="BI207" s="195">
        <v>0</v>
      </c>
      <c r="BJ207" s="195">
        <v>-6002.4</v>
      </c>
      <c r="BK207" s="195">
        <v>-102540.99999999999</v>
      </c>
      <c r="BL207" s="195">
        <v>-7002.800000000001</v>
      </c>
      <c r="BM207" s="195">
        <v>-35764.299999999996</v>
      </c>
      <c r="BN207" s="195">
        <v>-1000.4</v>
      </c>
      <c r="BO207" s="195">
        <v>619971</v>
      </c>
      <c r="BP207" s="195">
        <v>-1019928.5064165366</v>
      </c>
      <c r="BQ207" s="195">
        <v>-2137604.7</v>
      </c>
      <c r="BR207" s="195">
        <v>-262736.8353430629</v>
      </c>
      <c r="BS207" s="195">
        <v>1718173</v>
      </c>
      <c r="BT207" s="195">
        <v>523096</v>
      </c>
      <c r="BU207" s="195">
        <v>1194796.575612194</v>
      </c>
      <c r="BV207" s="195">
        <v>48400.668529056275</v>
      </c>
      <c r="BW207" s="195">
        <v>88377.66139206645</v>
      </c>
      <c r="BX207" s="195">
        <v>693320.6224758168</v>
      </c>
      <c r="BY207" s="195">
        <v>1030296.7893436988</v>
      </c>
      <c r="BZ207" s="195">
        <v>1749558.4975446665</v>
      </c>
      <c r="CA207" s="195">
        <v>462950.77353032195</v>
      </c>
      <c r="CB207" s="195">
        <v>2250.9</v>
      </c>
      <c r="CC207" s="195">
        <v>191267.64606360756</v>
      </c>
      <c r="CD207" s="195">
        <v>8061223.8991483655</v>
      </c>
      <c r="CE207" s="195">
        <v>4013584.7927318285</v>
      </c>
      <c r="CF207" s="195">
        <v>-9668.126499638332</v>
      </c>
      <c r="CG207" s="229">
        <v>10842126.018700937</v>
      </c>
      <c r="CH207" s="195">
        <v>-1801321</v>
      </c>
      <c r="CI207" s="195">
        <v>-183968.26560000004</v>
      </c>
      <c r="CJ207" s="195">
        <v>57051060.934792764</v>
      </c>
      <c r="CL207" s="195">
        <v>25165</v>
      </c>
    </row>
    <row r="208" spans="1:90" ht="9.75">
      <c r="A208" s="195">
        <v>710</v>
      </c>
      <c r="B208" s="195" t="s">
        <v>275</v>
      </c>
      <c r="C208" s="195">
        <v>28077</v>
      </c>
      <c r="D208" s="195">
        <v>97178649.03</v>
      </c>
      <c r="E208" s="195">
        <v>28710851.61978983</v>
      </c>
      <c r="F208" s="195">
        <v>12102907.626079556</v>
      </c>
      <c r="G208" s="195">
        <v>137992408.2758694</v>
      </c>
      <c r="H208" s="195">
        <v>3540.31</v>
      </c>
      <c r="I208" s="195">
        <v>99401283.87</v>
      </c>
      <c r="J208" s="195">
        <v>38591124.405869395</v>
      </c>
      <c r="K208" s="195">
        <v>814104.1902216576</v>
      </c>
      <c r="L208" s="195">
        <v>5544889.176978227</v>
      </c>
      <c r="M208" s="195">
        <v>0</v>
      </c>
      <c r="N208" s="195">
        <v>44950117.77306928</v>
      </c>
      <c r="O208" s="195">
        <v>9786072.223349094</v>
      </c>
      <c r="P208" s="195">
        <v>54736189.99641837</v>
      </c>
      <c r="Q208" s="195">
        <v>1499</v>
      </c>
      <c r="R208" s="195">
        <v>313</v>
      </c>
      <c r="S208" s="195">
        <v>1865</v>
      </c>
      <c r="T208" s="195">
        <v>884</v>
      </c>
      <c r="U208" s="195">
        <v>898</v>
      </c>
      <c r="V208" s="195">
        <v>15491</v>
      </c>
      <c r="W208" s="195">
        <v>3958</v>
      </c>
      <c r="X208" s="195">
        <v>2225</v>
      </c>
      <c r="Y208" s="195">
        <v>944</v>
      </c>
      <c r="Z208" s="195">
        <v>18208</v>
      </c>
      <c r="AA208" s="195">
        <v>1</v>
      </c>
      <c r="AB208" s="195">
        <v>8611</v>
      </c>
      <c r="AC208" s="195">
        <v>1257</v>
      </c>
      <c r="AD208" s="195">
        <v>7127</v>
      </c>
      <c r="AE208" s="195">
        <v>0.9002495644721117</v>
      </c>
      <c r="AF208" s="195">
        <v>28710851.61978983</v>
      </c>
      <c r="AG208" s="195">
        <v>5817418.043693738</v>
      </c>
      <c r="AH208" s="195">
        <v>1134744.182580218</v>
      </c>
      <c r="AI208" s="195">
        <v>740288.6697844346</v>
      </c>
      <c r="AJ208" s="195">
        <v>1484</v>
      </c>
      <c r="AK208" s="195">
        <v>13290</v>
      </c>
      <c r="AL208" s="195">
        <v>0.8409835242501368</v>
      </c>
      <c r="AM208" s="195">
        <v>1257</v>
      </c>
      <c r="AN208" s="195">
        <v>0.04476974035687573</v>
      </c>
      <c r="AO208" s="195">
        <v>0.040801486388621765</v>
      </c>
      <c r="AP208" s="195">
        <v>3</v>
      </c>
      <c r="AQ208" s="195">
        <v>18208</v>
      </c>
      <c r="AR208" s="195">
        <v>1</v>
      </c>
      <c r="AS208" s="195">
        <v>3</v>
      </c>
      <c r="AT208" s="195">
        <v>1928</v>
      </c>
      <c r="AU208" s="195">
        <v>1148</v>
      </c>
      <c r="AV208" s="195">
        <v>24.45731707317073</v>
      </c>
      <c r="AW208" s="195">
        <v>0.7402821435905486</v>
      </c>
      <c r="AX208" s="195">
        <v>1641</v>
      </c>
      <c r="AY208" s="195">
        <v>8692</v>
      </c>
      <c r="AZ208" s="195">
        <v>0.1887942936033134</v>
      </c>
      <c r="BA208" s="195">
        <v>0.12377149340064493</v>
      </c>
      <c r="BB208" s="195">
        <v>0</v>
      </c>
      <c r="BC208" s="195">
        <v>10389</v>
      </c>
      <c r="BD208" s="195">
        <v>11668</v>
      </c>
      <c r="BE208" s="195">
        <v>0.8903839561193007</v>
      </c>
      <c r="BF208" s="195">
        <v>0.4594424380769946</v>
      </c>
      <c r="BG208" s="195">
        <v>0</v>
      </c>
      <c r="BH208" s="195">
        <v>1</v>
      </c>
      <c r="BI208" s="195">
        <v>0</v>
      </c>
      <c r="BJ208" s="195">
        <v>-6738.48</v>
      </c>
      <c r="BK208" s="195">
        <v>-115115.7</v>
      </c>
      <c r="BL208" s="195">
        <v>-7861.56</v>
      </c>
      <c r="BM208" s="195">
        <v>-40150.11</v>
      </c>
      <c r="BN208" s="195">
        <v>-1123.08</v>
      </c>
      <c r="BO208" s="195">
        <v>-62333</v>
      </c>
      <c r="BP208" s="195">
        <v>-1512135.2991158364</v>
      </c>
      <c r="BQ208" s="195">
        <v>-2399741.19</v>
      </c>
      <c r="BR208" s="195">
        <v>100751.36435972154</v>
      </c>
      <c r="BS208" s="195">
        <v>2274555</v>
      </c>
      <c r="BT208" s="195">
        <v>774472</v>
      </c>
      <c r="BU208" s="195">
        <v>1740977.2657312586</v>
      </c>
      <c r="BV208" s="195">
        <v>55966.14853698343</v>
      </c>
      <c r="BW208" s="195">
        <v>183065.70473621695</v>
      </c>
      <c r="BX208" s="195">
        <v>718511.309927462</v>
      </c>
      <c r="BY208" s="195">
        <v>1375150.3688940979</v>
      </c>
      <c r="BZ208" s="195">
        <v>2388585.246096866</v>
      </c>
      <c r="CA208" s="195">
        <v>729657.7695415595</v>
      </c>
      <c r="CB208" s="195">
        <v>2526.93</v>
      </c>
      <c r="CC208" s="195">
        <v>172455.36826989887</v>
      </c>
      <c r="CD208" s="195">
        <v>10456026.096094063</v>
      </c>
      <c r="CE208" s="195">
        <v>5544889.176978227</v>
      </c>
      <c r="CF208" s="195">
        <v>0</v>
      </c>
      <c r="CG208" s="229">
        <v>9786072.223349094</v>
      </c>
      <c r="CH208" s="195">
        <v>-1125156</v>
      </c>
      <c r="CI208" s="195">
        <v>-946142.06325</v>
      </c>
      <c r="CJ208" s="195">
        <v>53611033.99641837</v>
      </c>
      <c r="CL208" s="195">
        <v>28405</v>
      </c>
    </row>
    <row r="209" spans="1:90" ht="9.75">
      <c r="A209" s="195">
        <v>680</v>
      </c>
      <c r="B209" s="195" t="s">
        <v>276</v>
      </c>
      <c r="C209" s="195">
        <v>24283</v>
      </c>
      <c r="D209" s="195">
        <v>80149213.65</v>
      </c>
      <c r="E209" s="195">
        <v>27073066.799901333</v>
      </c>
      <c r="F209" s="195">
        <v>5684370.587236834</v>
      </c>
      <c r="G209" s="195">
        <v>112906651.03713818</v>
      </c>
      <c r="H209" s="195">
        <v>3540.31</v>
      </c>
      <c r="I209" s="195">
        <v>85969347.73</v>
      </c>
      <c r="J209" s="195">
        <v>26937303.307138175</v>
      </c>
      <c r="K209" s="195">
        <v>775482.778484985</v>
      </c>
      <c r="L209" s="195">
        <v>1482412.7793184351</v>
      </c>
      <c r="M209" s="195">
        <v>0</v>
      </c>
      <c r="N209" s="195">
        <v>29195198.864941597</v>
      </c>
      <c r="O209" s="195">
        <v>-202072.0130932207</v>
      </c>
      <c r="P209" s="195">
        <v>28993126.851848375</v>
      </c>
      <c r="Q209" s="195">
        <v>1480</v>
      </c>
      <c r="R209" s="195">
        <v>258</v>
      </c>
      <c r="S209" s="195">
        <v>1546</v>
      </c>
      <c r="T209" s="195">
        <v>819</v>
      </c>
      <c r="U209" s="195">
        <v>892</v>
      </c>
      <c r="V209" s="195">
        <v>14171</v>
      </c>
      <c r="W209" s="195">
        <v>2854</v>
      </c>
      <c r="X209" s="195">
        <v>1665</v>
      </c>
      <c r="Y209" s="195">
        <v>598</v>
      </c>
      <c r="Z209" s="195">
        <v>346</v>
      </c>
      <c r="AA209" s="195">
        <v>0</v>
      </c>
      <c r="AB209" s="195">
        <v>22299</v>
      </c>
      <c r="AC209" s="195">
        <v>1638</v>
      </c>
      <c r="AD209" s="195">
        <v>5117</v>
      </c>
      <c r="AE209" s="195">
        <v>0.9815279299401214</v>
      </c>
      <c r="AF209" s="195">
        <v>27073066.799901333</v>
      </c>
      <c r="AG209" s="195">
        <v>57328536.16700501</v>
      </c>
      <c r="AH209" s="195">
        <v>13983731.436545577</v>
      </c>
      <c r="AI209" s="195">
        <v>6136368.732670976</v>
      </c>
      <c r="AJ209" s="195">
        <v>1412</v>
      </c>
      <c r="AK209" s="195">
        <v>11699</v>
      </c>
      <c r="AL209" s="195">
        <v>0.9090013397973665</v>
      </c>
      <c r="AM209" s="195">
        <v>1638</v>
      </c>
      <c r="AN209" s="195">
        <v>0.06745459786682041</v>
      </c>
      <c r="AO209" s="195">
        <v>0.06348634389856644</v>
      </c>
      <c r="AP209" s="195">
        <v>0</v>
      </c>
      <c r="AQ209" s="195">
        <v>346</v>
      </c>
      <c r="AR209" s="195">
        <v>0</v>
      </c>
      <c r="AS209" s="195">
        <v>0</v>
      </c>
      <c r="AT209" s="195">
        <v>0</v>
      </c>
      <c r="AU209" s="195">
        <v>48.76</v>
      </c>
      <c r="AV209" s="195">
        <v>498.01066447908124</v>
      </c>
      <c r="AW209" s="195">
        <v>0.0363552759022514</v>
      </c>
      <c r="AX209" s="195">
        <v>1155</v>
      </c>
      <c r="AY209" s="195">
        <v>7988</v>
      </c>
      <c r="AZ209" s="195">
        <v>0.14459188783174762</v>
      </c>
      <c r="BA209" s="195">
        <v>0.07956908762907915</v>
      </c>
      <c r="BB209" s="195">
        <v>0</v>
      </c>
      <c r="BC209" s="195">
        <v>9543</v>
      </c>
      <c r="BD209" s="195">
        <v>10185</v>
      </c>
      <c r="BE209" s="195">
        <v>0.9369661266568483</v>
      </c>
      <c r="BF209" s="195">
        <v>0.5060246086145422</v>
      </c>
      <c r="BG209" s="195">
        <v>0</v>
      </c>
      <c r="BH209" s="195">
        <v>0</v>
      </c>
      <c r="BI209" s="195">
        <v>0</v>
      </c>
      <c r="BJ209" s="195">
        <v>-5827.92</v>
      </c>
      <c r="BK209" s="195">
        <v>-99560.29999999999</v>
      </c>
      <c r="BL209" s="195">
        <v>-6799.240000000001</v>
      </c>
      <c r="BM209" s="195">
        <v>-34724.689999999995</v>
      </c>
      <c r="BN209" s="195">
        <v>-971.32</v>
      </c>
      <c r="BO209" s="195">
        <v>-382405</v>
      </c>
      <c r="BP209" s="195">
        <v>-2117889.797041499</v>
      </c>
      <c r="BQ209" s="195">
        <v>-2075468.01</v>
      </c>
      <c r="BR209" s="195">
        <v>-208527.08328069</v>
      </c>
      <c r="BS209" s="195">
        <v>1528954</v>
      </c>
      <c r="BT209" s="195">
        <v>539128</v>
      </c>
      <c r="BU209" s="195">
        <v>1052685.2707331371</v>
      </c>
      <c r="BV209" s="195">
        <v>26314.82731204461</v>
      </c>
      <c r="BW209" s="195">
        <v>-43151.45647350224</v>
      </c>
      <c r="BX209" s="195">
        <v>577164.9349497573</v>
      </c>
      <c r="BY209" s="195">
        <v>1044890.0202465078</v>
      </c>
      <c r="BZ209" s="195">
        <v>1811262.2017673086</v>
      </c>
      <c r="CA209" s="195">
        <v>626521.8958035635</v>
      </c>
      <c r="CB209" s="195">
        <v>2185.47</v>
      </c>
      <c r="CC209" s="195">
        <v>-36477.504698191886</v>
      </c>
      <c r="CD209" s="195">
        <v>6540002.556359935</v>
      </c>
      <c r="CE209" s="195">
        <v>1482412.7793184351</v>
      </c>
      <c r="CF209" s="195">
        <v>0</v>
      </c>
      <c r="CG209" s="229">
        <v>-202072.0130932207</v>
      </c>
      <c r="CH209" s="195">
        <v>-2180040</v>
      </c>
      <c r="CI209" s="195">
        <v>-1214826.7244000002</v>
      </c>
      <c r="CJ209" s="195">
        <v>26813086.851848375</v>
      </c>
      <c r="CL209" s="195">
        <v>24290</v>
      </c>
    </row>
    <row r="210" spans="1:90" ht="9.75">
      <c r="A210" s="195">
        <v>681</v>
      </c>
      <c r="B210" s="195" t="s">
        <v>277</v>
      </c>
      <c r="C210" s="195">
        <v>3649</v>
      </c>
      <c r="D210" s="195">
        <v>13405449.01</v>
      </c>
      <c r="E210" s="195">
        <v>5466485.189993954</v>
      </c>
      <c r="F210" s="195">
        <v>1040389.7767147018</v>
      </c>
      <c r="G210" s="195">
        <v>19912323.976708654</v>
      </c>
      <c r="H210" s="195">
        <v>3540.31</v>
      </c>
      <c r="I210" s="195">
        <v>12918591.19</v>
      </c>
      <c r="J210" s="195">
        <v>6993732.786708655</v>
      </c>
      <c r="K210" s="195">
        <v>510394.6442921877</v>
      </c>
      <c r="L210" s="195">
        <v>1223834.5126920347</v>
      </c>
      <c r="M210" s="195">
        <v>545964.8936173934</v>
      </c>
      <c r="N210" s="195">
        <v>9273926.837310271</v>
      </c>
      <c r="O210" s="195">
        <v>3252095.006392196</v>
      </c>
      <c r="P210" s="195">
        <v>12526021.843702467</v>
      </c>
      <c r="Q210" s="195">
        <v>154</v>
      </c>
      <c r="R210" s="195">
        <v>29</v>
      </c>
      <c r="S210" s="195">
        <v>172</v>
      </c>
      <c r="T210" s="195">
        <v>122</v>
      </c>
      <c r="U210" s="195">
        <v>99</v>
      </c>
      <c r="V210" s="195">
        <v>1922</v>
      </c>
      <c r="W210" s="195">
        <v>602</v>
      </c>
      <c r="X210" s="195">
        <v>362</v>
      </c>
      <c r="Y210" s="195">
        <v>187</v>
      </c>
      <c r="Z210" s="195">
        <v>7</v>
      </c>
      <c r="AA210" s="195">
        <v>0</v>
      </c>
      <c r="AB210" s="195">
        <v>3571</v>
      </c>
      <c r="AC210" s="195">
        <v>71</v>
      </c>
      <c r="AD210" s="195">
        <v>1151</v>
      </c>
      <c r="AE210" s="195">
        <v>1.3188696055587377</v>
      </c>
      <c r="AF210" s="195">
        <v>5466485.189993954</v>
      </c>
      <c r="AG210" s="195">
        <v>46011539.41842393</v>
      </c>
      <c r="AH210" s="195">
        <v>11441066.71163462</v>
      </c>
      <c r="AI210" s="195">
        <v>5217697.250890292</v>
      </c>
      <c r="AJ210" s="195">
        <v>255</v>
      </c>
      <c r="AK210" s="195">
        <v>1608</v>
      </c>
      <c r="AL210" s="195">
        <v>1.1943529968534605</v>
      </c>
      <c r="AM210" s="195">
        <v>71</v>
      </c>
      <c r="AN210" s="195">
        <v>0.019457385585091806</v>
      </c>
      <c r="AO210" s="195">
        <v>0.015489131616837837</v>
      </c>
      <c r="AP210" s="195">
        <v>0</v>
      </c>
      <c r="AQ210" s="195">
        <v>7</v>
      </c>
      <c r="AR210" s="195">
        <v>0</v>
      </c>
      <c r="AS210" s="195">
        <v>0</v>
      </c>
      <c r="AT210" s="195">
        <v>0</v>
      </c>
      <c r="AU210" s="195">
        <v>559.15</v>
      </c>
      <c r="AV210" s="195">
        <v>6.525976929267639</v>
      </c>
      <c r="AW210" s="195">
        <v>2.7743455586246415</v>
      </c>
      <c r="AX210" s="195">
        <v>171</v>
      </c>
      <c r="AY210" s="195">
        <v>971</v>
      </c>
      <c r="AZ210" s="195">
        <v>0.17610710607621008</v>
      </c>
      <c r="BA210" s="195">
        <v>0.11108430587354161</v>
      </c>
      <c r="BB210" s="195">
        <v>0.556</v>
      </c>
      <c r="BC210" s="195">
        <v>1086</v>
      </c>
      <c r="BD210" s="195">
        <v>1332</v>
      </c>
      <c r="BE210" s="195">
        <v>0.8153153153153153</v>
      </c>
      <c r="BF210" s="195">
        <v>0.38437379727300924</v>
      </c>
      <c r="BG210" s="195">
        <v>0</v>
      </c>
      <c r="BH210" s="195">
        <v>0</v>
      </c>
      <c r="BI210" s="195">
        <v>0</v>
      </c>
      <c r="BJ210" s="195">
        <v>-875.76</v>
      </c>
      <c r="BK210" s="195">
        <v>-14960.899999999998</v>
      </c>
      <c r="BL210" s="195">
        <v>-1021.7200000000001</v>
      </c>
      <c r="BM210" s="195">
        <v>-5218.07</v>
      </c>
      <c r="BN210" s="195">
        <v>-145.96</v>
      </c>
      <c r="BO210" s="195">
        <v>-61714</v>
      </c>
      <c r="BP210" s="195">
        <v>-94039.50917425644</v>
      </c>
      <c r="BQ210" s="195">
        <v>-311880.02999999997</v>
      </c>
      <c r="BR210" s="195">
        <v>78566.64100998268</v>
      </c>
      <c r="BS210" s="195">
        <v>411804</v>
      </c>
      <c r="BT210" s="195">
        <v>130474</v>
      </c>
      <c r="BU210" s="195">
        <v>344562.1825584938</v>
      </c>
      <c r="BV210" s="195">
        <v>19231.41621597007</v>
      </c>
      <c r="BW210" s="195">
        <v>10822.416604734512</v>
      </c>
      <c r="BX210" s="195">
        <v>149765.78572192296</v>
      </c>
      <c r="BY210" s="195">
        <v>221860.94889061732</v>
      </c>
      <c r="BZ210" s="195">
        <v>352014.0620886088</v>
      </c>
      <c r="CA210" s="195">
        <v>107029.81734297583</v>
      </c>
      <c r="CB210" s="195">
        <v>328.40999999999997</v>
      </c>
      <c r="CC210" s="195">
        <v>-5342.658567014834</v>
      </c>
      <c r="CD210" s="195">
        <v>1759621.961866291</v>
      </c>
      <c r="CE210" s="195">
        <v>1223834.5126920347</v>
      </c>
      <c r="CF210" s="195">
        <v>545964.8936173934</v>
      </c>
      <c r="CG210" s="229">
        <v>3252095.006392196</v>
      </c>
      <c r="CH210" s="195">
        <v>-207114</v>
      </c>
      <c r="CI210" s="195">
        <v>-92974.89160000002</v>
      </c>
      <c r="CJ210" s="195">
        <v>12318907.843702467</v>
      </c>
      <c r="CL210" s="195">
        <v>3733</v>
      </c>
    </row>
    <row r="211" spans="1:90" ht="9.75">
      <c r="A211" s="195">
        <v>683</v>
      </c>
      <c r="B211" s="195" t="s">
        <v>278</v>
      </c>
      <c r="C211" s="195">
        <v>4023</v>
      </c>
      <c r="D211" s="195">
        <v>15306574.349999998</v>
      </c>
      <c r="E211" s="195">
        <v>5665278.333694696</v>
      </c>
      <c r="F211" s="195">
        <v>3107901.5635405183</v>
      </c>
      <c r="G211" s="195">
        <v>24079754.247235212</v>
      </c>
      <c r="H211" s="195">
        <v>3540.31</v>
      </c>
      <c r="I211" s="195">
        <v>14242667.129999999</v>
      </c>
      <c r="J211" s="195">
        <v>9837087.117235214</v>
      </c>
      <c r="K211" s="195">
        <v>4307386.4066387955</v>
      </c>
      <c r="L211" s="195">
        <v>1371995.7266846015</v>
      </c>
      <c r="M211" s="195">
        <v>150146.10903215772</v>
      </c>
      <c r="N211" s="195">
        <v>15666615.359590769</v>
      </c>
      <c r="O211" s="195">
        <v>4696370.166582279</v>
      </c>
      <c r="P211" s="195">
        <v>20362985.526173048</v>
      </c>
      <c r="Q211" s="195">
        <v>238</v>
      </c>
      <c r="R211" s="195">
        <v>54</v>
      </c>
      <c r="S211" s="195">
        <v>331</v>
      </c>
      <c r="T211" s="195">
        <v>186</v>
      </c>
      <c r="U211" s="195">
        <v>185</v>
      </c>
      <c r="V211" s="195">
        <v>2009</v>
      </c>
      <c r="W211" s="195">
        <v>546</v>
      </c>
      <c r="X211" s="195">
        <v>352</v>
      </c>
      <c r="Y211" s="195">
        <v>122</v>
      </c>
      <c r="Z211" s="195">
        <v>5</v>
      </c>
      <c r="AA211" s="195">
        <v>0</v>
      </c>
      <c r="AB211" s="195">
        <v>3981</v>
      </c>
      <c r="AC211" s="195">
        <v>37</v>
      </c>
      <c r="AD211" s="195">
        <v>1020</v>
      </c>
      <c r="AE211" s="195">
        <v>1.2397632717971552</v>
      </c>
      <c r="AF211" s="195">
        <v>5665278.333694696</v>
      </c>
      <c r="AG211" s="195">
        <v>32118656.36935418</v>
      </c>
      <c r="AH211" s="195">
        <v>8020116.782022232</v>
      </c>
      <c r="AI211" s="195">
        <v>4388217.175107732</v>
      </c>
      <c r="AJ211" s="195">
        <v>272</v>
      </c>
      <c r="AK211" s="195">
        <v>1581</v>
      </c>
      <c r="AL211" s="195">
        <v>1.2957332449102186</v>
      </c>
      <c r="AM211" s="195">
        <v>37</v>
      </c>
      <c r="AN211" s="195">
        <v>0.009197116579666915</v>
      </c>
      <c r="AO211" s="195">
        <v>0.005228862611412947</v>
      </c>
      <c r="AP211" s="195">
        <v>0</v>
      </c>
      <c r="AQ211" s="195">
        <v>5</v>
      </c>
      <c r="AR211" s="195">
        <v>0</v>
      </c>
      <c r="AS211" s="195">
        <v>0</v>
      </c>
      <c r="AT211" s="195">
        <v>0</v>
      </c>
      <c r="AU211" s="195">
        <v>3453.88</v>
      </c>
      <c r="AV211" s="195">
        <v>1.1647770044124288</v>
      </c>
      <c r="AW211" s="195">
        <v>15.544018332104493</v>
      </c>
      <c r="AX211" s="195">
        <v>189</v>
      </c>
      <c r="AY211" s="195">
        <v>973</v>
      </c>
      <c r="AZ211" s="195">
        <v>0.19424460431654678</v>
      </c>
      <c r="BA211" s="195">
        <v>0.1292218041138783</v>
      </c>
      <c r="BB211" s="195">
        <v>1.665716</v>
      </c>
      <c r="BC211" s="195">
        <v>1181</v>
      </c>
      <c r="BD211" s="195">
        <v>1268</v>
      </c>
      <c r="BE211" s="195">
        <v>0.9313880126182965</v>
      </c>
      <c r="BF211" s="195">
        <v>0.5004464945759904</v>
      </c>
      <c r="BG211" s="195">
        <v>0</v>
      </c>
      <c r="BH211" s="195">
        <v>0</v>
      </c>
      <c r="BI211" s="195">
        <v>0</v>
      </c>
      <c r="BJ211" s="195">
        <v>-965.52</v>
      </c>
      <c r="BK211" s="195">
        <v>-16494.3</v>
      </c>
      <c r="BL211" s="195">
        <v>-1126.44</v>
      </c>
      <c r="BM211" s="195">
        <v>-5752.889999999999</v>
      </c>
      <c r="BN211" s="195">
        <v>-160.92000000000002</v>
      </c>
      <c r="BO211" s="195">
        <v>230009</v>
      </c>
      <c r="BP211" s="195">
        <v>-136557.37236474472</v>
      </c>
      <c r="BQ211" s="195">
        <v>-343845.81</v>
      </c>
      <c r="BR211" s="195">
        <v>26685.365200374275</v>
      </c>
      <c r="BS211" s="195">
        <v>390442</v>
      </c>
      <c r="BT211" s="195">
        <v>122609</v>
      </c>
      <c r="BU211" s="195">
        <v>347331.21264556574</v>
      </c>
      <c r="BV211" s="195">
        <v>19520.681091053913</v>
      </c>
      <c r="BW211" s="195">
        <v>49288.64328394005</v>
      </c>
      <c r="BX211" s="195">
        <v>162882.72037355308</v>
      </c>
      <c r="BY211" s="195">
        <v>214276.4605479164</v>
      </c>
      <c r="BZ211" s="195">
        <v>320128.6243718793</v>
      </c>
      <c r="CA211" s="195">
        <v>79626.70048267224</v>
      </c>
      <c r="CB211" s="195">
        <v>362.07</v>
      </c>
      <c r="CC211" s="195">
        <v>32173.621052391634</v>
      </c>
      <c r="CD211" s="195">
        <v>1995577.4790493464</v>
      </c>
      <c r="CE211" s="195">
        <v>1371995.7266846015</v>
      </c>
      <c r="CF211" s="195">
        <v>150146.10903215772</v>
      </c>
      <c r="CG211" s="229">
        <v>4696370.166582279</v>
      </c>
      <c r="CH211" s="195">
        <v>143549</v>
      </c>
      <c r="CI211" s="195">
        <v>1251.4848000000056</v>
      </c>
      <c r="CJ211" s="195">
        <v>20506534.526173048</v>
      </c>
      <c r="CL211" s="195">
        <v>4020</v>
      </c>
    </row>
    <row r="212" spans="1:90" ht="9.75">
      <c r="A212" s="195">
        <v>684</v>
      </c>
      <c r="B212" s="195" t="s">
        <v>279</v>
      </c>
      <c r="C212" s="195">
        <v>39614</v>
      </c>
      <c r="D212" s="195">
        <v>132904772.75</v>
      </c>
      <c r="E212" s="195">
        <v>42063661.97386165</v>
      </c>
      <c r="F212" s="195">
        <v>8212764.600108551</v>
      </c>
      <c r="G212" s="195">
        <v>183181199.3239702</v>
      </c>
      <c r="H212" s="195">
        <v>3540.31</v>
      </c>
      <c r="I212" s="195">
        <v>140245840.34</v>
      </c>
      <c r="J212" s="195">
        <v>42935358.983970195</v>
      </c>
      <c r="K212" s="195">
        <v>1454124.6020262358</v>
      </c>
      <c r="L212" s="195">
        <v>7261607.390509242</v>
      </c>
      <c r="M212" s="195">
        <v>0</v>
      </c>
      <c r="N212" s="195">
        <v>51651090.976505674</v>
      </c>
      <c r="O212" s="195">
        <v>-7656573.802807524</v>
      </c>
      <c r="P212" s="195">
        <v>43994517.17369815</v>
      </c>
      <c r="Q212" s="195">
        <v>2242</v>
      </c>
      <c r="R212" s="195">
        <v>427</v>
      </c>
      <c r="S212" s="195">
        <v>2459</v>
      </c>
      <c r="T212" s="195">
        <v>1123</v>
      </c>
      <c r="U212" s="195">
        <v>1276</v>
      </c>
      <c r="V212" s="195">
        <v>22565</v>
      </c>
      <c r="W212" s="195">
        <v>5244</v>
      </c>
      <c r="X212" s="195">
        <v>3043</v>
      </c>
      <c r="Y212" s="195">
        <v>1235</v>
      </c>
      <c r="Z212" s="195">
        <v>116</v>
      </c>
      <c r="AA212" s="195">
        <v>0</v>
      </c>
      <c r="AB212" s="195">
        <v>37676</v>
      </c>
      <c r="AC212" s="195">
        <v>1822</v>
      </c>
      <c r="AD212" s="195">
        <v>9522</v>
      </c>
      <c r="AE212" s="195">
        <v>0.9348155516725245</v>
      </c>
      <c r="AF212" s="195">
        <v>42063661.97386165</v>
      </c>
      <c r="AG212" s="195">
        <v>6738227.0221276125</v>
      </c>
      <c r="AH212" s="195">
        <v>1759627.0864493838</v>
      </c>
      <c r="AI212" s="195">
        <v>695692.9667853724</v>
      </c>
      <c r="AJ212" s="195">
        <v>2419</v>
      </c>
      <c r="AK212" s="195">
        <v>18652</v>
      </c>
      <c r="AL212" s="195">
        <v>0.9767626156300837</v>
      </c>
      <c r="AM212" s="195">
        <v>1822</v>
      </c>
      <c r="AN212" s="195">
        <v>0.04599384056141768</v>
      </c>
      <c r="AO212" s="195">
        <v>0.04202558659316371</v>
      </c>
      <c r="AP212" s="195">
        <v>0</v>
      </c>
      <c r="AQ212" s="195">
        <v>116</v>
      </c>
      <c r="AR212" s="195">
        <v>0</v>
      </c>
      <c r="AS212" s="195">
        <v>0</v>
      </c>
      <c r="AT212" s="195">
        <v>0</v>
      </c>
      <c r="AU212" s="195">
        <v>495.74</v>
      </c>
      <c r="AV212" s="195">
        <v>79.90882317343768</v>
      </c>
      <c r="AW212" s="195">
        <v>0.22657466835801054</v>
      </c>
      <c r="AX212" s="195">
        <v>1784</v>
      </c>
      <c r="AY212" s="195">
        <v>12132</v>
      </c>
      <c r="AZ212" s="195">
        <v>0.14704912627761293</v>
      </c>
      <c r="BA212" s="195">
        <v>0.08202632607494446</v>
      </c>
      <c r="BB212" s="195">
        <v>0</v>
      </c>
      <c r="BC212" s="195">
        <v>16176</v>
      </c>
      <c r="BD212" s="195">
        <v>15975</v>
      </c>
      <c r="BE212" s="195">
        <v>1.0125821596244131</v>
      </c>
      <c r="BF212" s="195">
        <v>0.581640641582107</v>
      </c>
      <c r="BG212" s="195">
        <v>0</v>
      </c>
      <c r="BH212" s="195">
        <v>0</v>
      </c>
      <c r="BI212" s="195">
        <v>0</v>
      </c>
      <c r="BJ212" s="195">
        <v>-9507.359999999999</v>
      </c>
      <c r="BK212" s="195">
        <v>-162417.4</v>
      </c>
      <c r="BL212" s="195">
        <v>-11091.920000000002</v>
      </c>
      <c r="BM212" s="195">
        <v>-56648.02</v>
      </c>
      <c r="BN212" s="195">
        <v>-1584.56</v>
      </c>
      <c r="BO212" s="195">
        <v>819888</v>
      </c>
      <c r="BP212" s="195">
        <v>-1325556.91123287</v>
      </c>
      <c r="BQ212" s="195">
        <v>-3385808.58</v>
      </c>
      <c r="BR212" s="195">
        <v>441723.179392606</v>
      </c>
      <c r="BS212" s="195">
        <v>2791678</v>
      </c>
      <c r="BT212" s="195">
        <v>1004850</v>
      </c>
      <c r="BU212" s="195">
        <v>2239849.184151838</v>
      </c>
      <c r="BV212" s="195">
        <v>98973.14985240079</v>
      </c>
      <c r="BW212" s="195">
        <v>-246556.0515552825</v>
      </c>
      <c r="BX212" s="195">
        <v>955269.0614246762</v>
      </c>
      <c r="BY212" s="195">
        <v>1905271.7645717259</v>
      </c>
      <c r="BZ212" s="195">
        <v>3014864.1932441685</v>
      </c>
      <c r="CA212" s="195">
        <v>1024648.1981746801</v>
      </c>
      <c r="CB212" s="195">
        <v>3565.2599999999998</v>
      </c>
      <c r="CC212" s="195">
        <v>-673565.637514699</v>
      </c>
      <c r="CD212" s="195">
        <v>13382835.141742112</v>
      </c>
      <c r="CE212" s="195">
        <v>7261607.390509242</v>
      </c>
      <c r="CF212" s="195">
        <v>0</v>
      </c>
      <c r="CG212" s="229">
        <v>-7656573.802807524</v>
      </c>
      <c r="CH212" s="195">
        <v>-1344452</v>
      </c>
      <c r="CI212" s="195">
        <v>-3086117.193379999</v>
      </c>
      <c r="CJ212" s="195">
        <v>42650065.17369815</v>
      </c>
      <c r="CL212" s="195">
        <v>39809</v>
      </c>
    </row>
    <row r="213" spans="1:90" ht="9.75">
      <c r="A213" s="195">
        <v>686</v>
      </c>
      <c r="B213" s="195" t="s">
        <v>280</v>
      </c>
      <c r="C213" s="195">
        <v>3288</v>
      </c>
      <c r="D213" s="195">
        <v>12074896.580000002</v>
      </c>
      <c r="E213" s="195">
        <v>6311838.00236669</v>
      </c>
      <c r="F213" s="195">
        <v>873252.3757213758</v>
      </c>
      <c r="G213" s="195">
        <v>19259986.958088066</v>
      </c>
      <c r="H213" s="195">
        <v>3540.31</v>
      </c>
      <c r="I213" s="195">
        <v>11640539.28</v>
      </c>
      <c r="J213" s="195">
        <v>7619447.678088067</v>
      </c>
      <c r="K213" s="195">
        <v>250729.17263039222</v>
      </c>
      <c r="L213" s="195">
        <v>1094004.3099705665</v>
      </c>
      <c r="M213" s="195">
        <v>0</v>
      </c>
      <c r="N213" s="195">
        <v>8964181.160689026</v>
      </c>
      <c r="O213" s="195">
        <v>2954875.34593091</v>
      </c>
      <c r="P213" s="195">
        <v>11919056.506619936</v>
      </c>
      <c r="Q213" s="195">
        <v>145</v>
      </c>
      <c r="R213" s="195">
        <v>30</v>
      </c>
      <c r="S213" s="195">
        <v>208</v>
      </c>
      <c r="T213" s="195">
        <v>99</v>
      </c>
      <c r="U213" s="195">
        <v>108</v>
      </c>
      <c r="V213" s="195">
        <v>1631</v>
      </c>
      <c r="W213" s="195">
        <v>574</v>
      </c>
      <c r="X213" s="195">
        <v>352</v>
      </c>
      <c r="Y213" s="195">
        <v>141</v>
      </c>
      <c r="Z213" s="195">
        <v>2</v>
      </c>
      <c r="AA213" s="195">
        <v>0</v>
      </c>
      <c r="AB213" s="195">
        <v>3205</v>
      </c>
      <c r="AC213" s="195">
        <v>81</v>
      </c>
      <c r="AD213" s="195">
        <v>1067</v>
      </c>
      <c r="AE213" s="195">
        <v>1.6900189807408208</v>
      </c>
      <c r="AF213" s="195">
        <v>6311838.00236669</v>
      </c>
      <c r="AG213" s="195">
        <v>7078566.2143359855</v>
      </c>
      <c r="AH213" s="195">
        <v>1345428.4782684569</v>
      </c>
      <c r="AI213" s="195">
        <v>954348.0441799338</v>
      </c>
      <c r="AJ213" s="195">
        <v>165</v>
      </c>
      <c r="AK213" s="195">
        <v>1321</v>
      </c>
      <c r="AL213" s="195">
        <v>0.9407185202094673</v>
      </c>
      <c r="AM213" s="195">
        <v>81</v>
      </c>
      <c r="AN213" s="195">
        <v>0.024635036496350366</v>
      </c>
      <c r="AO213" s="195">
        <v>0.020666782528096398</v>
      </c>
      <c r="AP213" s="195">
        <v>0</v>
      </c>
      <c r="AQ213" s="195">
        <v>2</v>
      </c>
      <c r="AR213" s="195">
        <v>0</v>
      </c>
      <c r="AS213" s="195">
        <v>0</v>
      </c>
      <c r="AT213" s="195">
        <v>0</v>
      </c>
      <c r="AU213" s="195">
        <v>538.93</v>
      </c>
      <c r="AV213" s="195">
        <v>6.100977863544431</v>
      </c>
      <c r="AW213" s="195">
        <v>2.967608720167043</v>
      </c>
      <c r="AX213" s="195">
        <v>121</v>
      </c>
      <c r="AY213" s="195">
        <v>870</v>
      </c>
      <c r="AZ213" s="195">
        <v>0.13908045977011493</v>
      </c>
      <c r="BA213" s="195">
        <v>0.07405765956744646</v>
      </c>
      <c r="BB213" s="195">
        <v>0.229133</v>
      </c>
      <c r="BC213" s="195">
        <v>1001</v>
      </c>
      <c r="BD213" s="195">
        <v>1132</v>
      </c>
      <c r="BE213" s="195">
        <v>0.8842756183745583</v>
      </c>
      <c r="BF213" s="195">
        <v>0.4533341003322522</v>
      </c>
      <c r="BG213" s="195">
        <v>0</v>
      </c>
      <c r="BH213" s="195">
        <v>0</v>
      </c>
      <c r="BI213" s="195">
        <v>0</v>
      </c>
      <c r="BJ213" s="195">
        <v>-789.12</v>
      </c>
      <c r="BK213" s="195">
        <v>-13480.8</v>
      </c>
      <c r="BL213" s="195">
        <v>-920.6400000000001</v>
      </c>
      <c r="BM213" s="195">
        <v>-4701.84</v>
      </c>
      <c r="BN213" s="195">
        <v>-131.52</v>
      </c>
      <c r="BO213" s="195">
        <v>82080</v>
      </c>
      <c r="BP213" s="195">
        <v>-118549.80677818498</v>
      </c>
      <c r="BQ213" s="195">
        <v>-281025.36</v>
      </c>
      <c r="BR213" s="195">
        <v>44659.95051725209</v>
      </c>
      <c r="BS213" s="195">
        <v>362670</v>
      </c>
      <c r="BT213" s="195">
        <v>102000</v>
      </c>
      <c r="BU213" s="195">
        <v>267642.6833515385</v>
      </c>
      <c r="BV213" s="195">
        <v>13261.625876543416</v>
      </c>
      <c r="BW213" s="195">
        <v>41439.79547026726</v>
      </c>
      <c r="BX213" s="195">
        <v>141735.98122573993</v>
      </c>
      <c r="BY213" s="195">
        <v>170023.73389113502</v>
      </c>
      <c r="BZ213" s="195">
        <v>295831.9159426533</v>
      </c>
      <c r="CA213" s="195">
        <v>79085.91332614141</v>
      </c>
      <c r="CB213" s="195">
        <v>295.92</v>
      </c>
      <c r="CC213" s="195">
        <v>9674.597147480374</v>
      </c>
      <c r="CD213" s="195">
        <v>1610599.3967487514</v>
      </c>
      <c r="CE213" s="195">
        <v>1094004.3099705665</v>
      </c>
      <c r="CF213" s="195">
        <v>0</v>
      </c>
      <c r="CG213" s="229">
        <v>2954875.34593091</v>
      </c>
      <c r="CH213" s="195">
        <v>315823</v>
      </c>
      <c r="CI213" s="195">
        <v>60305.923800000004</v>
      </c>
      <c r="CJ213" s="195">
        <v>12234879.506619936</v>
      </c>
      <c r="CL213" s="195">
        <v>3303</v>
      </c>
    </row>
    <row r="214" spans="1:90" ht="9.75">
      <c r="A214" s="195">
        <v>687</v>
      </c>
      <c r="B214" s="195" t="s">
        <v>281</v>
      </c>
      <c r="C214" s="195">
        <v>1723</v>
      </c>
      <c r="D214" s="195">
        <v>6271215.8</v>
      </c>
      <c r="E214" s="195">
        <v>4066487.752749243</v>
      </c>
      <c r="F214" s="195">
        <v>1115294.9001341602</v>
      </c>
      <c r="G214" s="195">
        <v>11452998.452883404</v>
      </c>
      <c r="H214" s="195">
        <v>3540.31</v>
      </c>
      <c r="I214" s="195">
        <v>6099954.13</v>
      </c>
      <c r="J214" s="195">
        <v>5353044.322883404</v>
      </c>
      <c r="K214" s="195">
        <v>682956.8290161903</v>
      </c>
      <c r="L214" s="195">
        <v>680570.7144322356</v>
      </c>
      <c r="M214" s="195">
        <v>196944.9884843407</v>
      </c>
      <c r="N214" s="195">
        <v>6913516.85481617</v>
      </c>
      <c r="O214" s="195">
        <v>1229588.1811504757</v>
      </c>
      <c r="P214" s="195">
        <v>8143105.035966646</v>
      </c>
      <c r="Q214" s="195">
        <v>53</v>
      </c>
      <c r="R214" s="195">
        <v>13</v>
      </c>
      <c r="S214" s="195">
        <v>91</v>
      </c>
      <c r="T214" s="195">
        <v>43</v>
      </c>
      <c r="U214" s="195">
        <v>34</v>
      </c>
      <c r="V214" s="195">
        <v>866</v>
      </c>
      <c r="W214" s="195">
        <v>312</v>
      </c>
      <c r="X214" s="195">
        <v>225</v>
      </c>
      <c r="Y214" s="195">
        <v>86</v>
      </c>
      <c r="Z214" s="195">
        <v>0</v>
      </c>
      <c r="AA214" s="195">
        <v>0</v>
      </c>
      <c r="AB214" s="195">
        <v>1707</v>
      </c>
      <c r="AC214" s="195">
        <v>16</v>
      </c>
      <c r="AD214" s="195">
        <v>623</v>
      </c>
      <c r="AE214" s="195">
        <v>2.077790414634324</v>
      </c>
      <c r="AF214" s="195">
        <v>4066487.752749243</v>
      </c>
      <c r="AG214" s="195">
        <v>53760046.20167645</v>
      </c>
      <c r="AH214" s="195">
        <v>12547734.749491204</v>
      </c>
      <c r="AI214" s="195">
        <v>5404999.203486354</v>
      </c>
      <c r="AJ214" s="195">
        <v>115</v>
      </c>
      <c r="AK214" s="195">
        <v>662</v>
      </c>
      <c r="AL214" s="195">
        <v>1.308333369931532</v>
      </c>
      <c r="AM214" s="195">
        <v>16</v>
      </c>
      <c r="AN214" s="195">
        <v>0.009286128845037725</v>
      </c>
      <c r="AO214" s="195">
        <v>0.005317874876783757</v>
      </c>
      <c r="AP214" s="195">
        <v>0</v>
      </c>
      <c r="AQ214" s="195">
        <v>0</v>
      </c>
      <c r="AR214" s="195">
        <v>0</v>
      </c>
      <c r="AS214" s="195">
        <v>0</v>
      </c>
      <c r="AT214" s="195">
        <v>0</v>
      </c>
      <c r="AU214" s="195">
        <v>1150.97</v>
      </c>
      <c r="AV214" s="195">
        <v>1.4969981841403337</v>
      </c>
      <c r="AW214" s="195">
        <v>12.094413541187901</v>
      </c>
      <c r="AX214" s="195">
        <v>89</v>
      </c>
      <c r="AY214" s="195">
        <v>424</v>
      </c>
      <c r="AZ214" s="195">
        <v>0.2099056603773585</v>
      </c>
      <c r="BA214" s="195">
        <v>0.14488286017469004</v>
      </c>
      <c r="BB214" s="195">
        <v>1.161999</v>
      </c>
      <c r="BC214" s="195">
        <v>526</v>
      </c>
      <c r="BD214" s="195">
        <v>543</v>
      </c>
      <c r="BE214" s="195">
        <v>0.9686924493554327</v>
      </c>
      <c r="BF214" s="195">
        <v>0.5377509313131267</v>
      </c>
      <c r="BG214" s="195">
        <v>0</v>
      </c>
      <c r="BH214" s="195">
        <v>0</v>
      </c>
      <c r="BI214" s="195">
        <v>0</v>
      </c>
      <c r="BJ214" s="195">
        <v>-413.52</v>
      </c>
      <c r="BK214" s="195">
        <v>-7064.299999999999</v>
      </c>
      <c r="BL214" s="195">
        <v>-482.44000000000005</v>
      </c>
      <c r="BM214" s="195">
        <v>-2463.89</v>
      </c>
      <c r="BN214" s="195">
        <v>-68.92</v>
      </c>
      <c r="BO214" s="195">
        <v>60400</v>
      </c>
      <c r="BP214" s="195">
        <v>-72530.47250142119</v>
      </c>
      <c r="BQ214" s="195">
        <v>-147264.81</v>
      </c>
      <c r="BR214" s="195">
        <v>78279.17512978334</v>
      </c>
      <c r="BS214" s="195">
        <v>218394</v>
      </c>
      <c r="BT214" s="195">
        <v>59737</v>
      </c>
      <c r="BU214" s="195">
        <v>173456.8360217028</v>
      </c>
      <c r="BV214" s="195">
        <v>9949.982020102858</v>
      </c>
      <c r="BW214" s="195">
        <v>29351.961617280187</v>
      </c>
      <c r="BX214" s="195">
        <v>82980.82958067652</v>
      </c>
      <c r="BY214" s="195">
        <v>94923.59479533053</v>
      </c>
      <c r="BZ214" s="195">
        <v>146572.1957154571</v>
      </c>
      <c r="CA214" s="195">
        <v>41394.36503886477</v>
      </c>
      <c r="CB214" s="195">
        <v>155.07</v>
      </c>
      <c r="CC214" s="195">
        <v>-34010.82298554135</v>
      </c>
      <c r="CD214" s="195">
        <v>961687.5669336567</v>
      </c>
      <c r="CE214" s="195">
        <v>680570.7144322356</v>
      </c>
      <c r="CF214" s="195">
        <v>196944.9884843407</v>
      </c>
      <c r="CG214" s="229">
        <v>1229588.1811504757</v>
      </c>
      <c r="CH214" s="195">
        <v>-141094</v>
      </c>
      <c r="CI214" s="195">
        <v>55443.3839</v>
      </c>
      <c r="CJ214" s="195">
        <v>8002011.035966646</v>
      </c>
      <c r="CL214" s="195">
        <v>1737</v>
      </c>
    </row>
    <row r="215" spans="1:90" ht="9.75">
      <c r="A215" s="195">
        <v>689</v>
      </c>
      <c r="B215" s="195" t="s">
        <v>282</v>
      </c>
      <c r="C215" s="195">
        <v>3473</v>
      </c>
      <c r="D215" s="195">
        <v>12353064.57</v>
      </c>
      <c r="E215" s="195">
        <v>6522206.258570681</v>
      </c>
      <c r="F215" s="195">
        <v>833885.0452766261</v>
      </c>
      <c r="G215" s="195">
        <v>19709155.87384731</v>
      </c>
      <c r="H215" s="195">
        <v>3540.31</v>
      </c>
      <c r="I215" s="195">
        <v>12295496.629999999</v>
      </c>
      <c r="J215" s="195">
        <v>7413659.243847311</v>
      </c>
      <c r="K215" s="195">
        <v>558905.9265997238</v>
      </c>
      <c r="L215" s="195">
        <v>879220.515318186</v>
      </c>
      <c r="M215" s="195">
        <v>545282.0032043029</v>
      </c>
      <c r="N215" s="195">
        <v>9397067.688969525</v>
      </c>
      <c r="O215" s="195">
        <v>1259459.4860956105</v>
      </c>
      <c r="P215" s="195">
        <v>10656527.175065136</v>
      </c>
      <c r="Q215" s="195">
        <v>117</v>
      </c>
      <c r="R215" s="195">
        <v>16</v>
      </c>
      <c r="S215" s="195">
        <v>156</v>
      </c>
      <c r="T215" s="195">
        <v>80</v>
      </c>
      <c r="U215" s="195">
        <v>106</v>
      </c>
      <c r="V215" s="195">
        <v>1780</v>
      </c>
      <c r="W215" s="195">
        <v>639</v>
      </c>
      <c r="X215" s="195">
        <v>401</v>
      </c>
      <c r="Y215" s="195">
        <v>178</v>
      </c>
      <c r="Z215" s="195">
        <v>2</v>
      </c>
      <c r="AA215" s="195">
        <v>0</v>
      </c>
      <c r="AB215" s="195">
        <v>3394</v>
      </c>
      <c r="AC215" s="195">
        <v>77</v>
      </c>
      <c r="AD215" s="195">
        <v>1218</v>
      </c>
      <c r="AE215" s="195">
        <v>1.6533214213891112</v>
      </c>
      <c r="AF215" s="195">
        <v>6522206.258570681</v>
      </c>
      <c r="AG215" s="195">
        <v>7652328.995802891</v>
      </c>
      <c r="AH215" s="195">
        <v>2198430.0580171514</v>
      </c>
      <c r="AI215" s="195">
        <v>722450.3885848097</v>
      </c>
      <c r="AJ215" s="195">
        <v>229</v>
      </c>
      <c r="AK215" s="195">
        <v>1452</v>
      </c>
      <c r="AL215" s="195">
        <v>1.187811248142774</v>
      </c>
      <c r="AM215" s="195">
        <v>77</v>
      </c>
      <c r="AN215" s="195">
        <v>0.022171033688453787</v>
      </c>
      <c r="AO215" s="195">
        <v>0.01820277972019982</v>
      </c>
      <c r="AP215" s="195">
        <v>0</v>
      </c>
      <c r="AQ215" s="195">
        <v>2</v>
      </c>
      <c r="AR215" s="195">
        <v>0</v>
      </c>
      <c r="AS215" s="195">
        <v>0</v>
      </c>
      <c r="AT215" s="195">
        <v>0</v>
      </c>
      <c r="AU215" s="195">
        <v>351.59</v>
      </c>
      <c r="AV215" s="195">
        <v>9.877982877783783</v>
      </c>
      <c r="AW215" s="195">
        <v>1.8328959802229021</v>
      </c>
      <c r="AX215" s="195">
        <v>129</v>
      </c>
      <c r="AY215" s="195">
        <v>910</v>
      </c>
      <c r="AZ215" s="195">
        <v>0.14175824175824175</v>
      </c>
      <c r="BA215" s="195">
        <v>0.07673544155557328</v>
      </c>
      <c r="BB215" s="195">
        <v>0.6437</v>
      </c>
      <c r="BC215" s="195">
        <v>1032</v>
      </c>
      <c r="BD215" s="195">
        <v>1200</v>
      </c>
      <c r="BE215" s="195">
        <v>0.86</v>
      </c>
      <c r="BF215" s="195">
        <v>0.4290584819576939</v>
      </c>
      <c r="BG215" s="195">
        <v>0</v>
      </c>
      <c r="BH215" s="195">
        <v>0</v>
      </c>
      <c r="BI215" s="195">
        <v>0</v>
      </c>
      <c r="BJ215" s="195">
        <v>-833.52</v>
      </c>
      <c r="BK215" s="195">
        <v>-14239.3</v>
      </c>
      <c r="BL215" s="195">
        <v>-972.44</v>
      </c>
      <c r="BM215" s="195">
        <v>-4966.389999999999</v>
      </c>
      <c r="BN215" s="195">
        <v>-138.92000000000002</v>
      </c>
      <c r="BO215" s="195">
        <v>20434</v>
      </c>
      <c r="BP215" s="195">
        <v>-67528.37094959903</v>
      </c>
      <c r="BQ215" s="195">
        <v>-296837.31</v>
      </c>
      <c r="BR215" s="195">
        <v>-30003.020192259923</v>
      </c>
      <c r="BS215" s="195">
        <v>325681</v>
      </c>
      <c r="BT215" s="195">
        <v>97347</v>
      </c>
      <c r="BU215" s="195">
        <v>241802.7511438312</v>
      </c>
      <c r="BV215" s="195">
        <v>12693.207108820638</v>
      </c>
      <c r="BW215" s="195">
        <v>48835.58689050997</v>
      </c>
      <c r="BX215" s="195">
        <v>132015.90703346976</v>
      </c>
      <c r="BY215" s="195">
        <v>166885.05560943205</v>
      </c>
      <c r="BZ215" s="195">
        <v>280292.94047990604</v>
      </c>
      <c r="CA215" s="195">
        <v>75459.6085428715</v>
      </c>
      <c r="CB215" s="195">
        <v>312.57</v>
      </c>
      <c r="CC215" s="195">
        <v>-4774.720348796178</v>
      </c>
      <c r="CD215" s="195">
        <v>1367190.266267785</v>
      </c>
      <c r="CE215" s="195">
        <v>879220.515318186</v>
      </c>
      <c r="CF215" s="195">
        <v>545282.0032043029</v>
      </c>
      <c r="CG215" s="229">
        <v>1259459.4860956105</v>
      </c>
      <c r="CH215" s="195">
        <v>-125542</v>
      </c>
      <c r="CI215" s="195">
        <v>72938.0985</v>
      </c>
      <c r="CJ215" s="195">
        <v>10530985.175065136</v>
      </c>
      <c r="CL215" s="195">
        <v>3537</v>
      </c>
    </row>
    <row r="216" spans="1:90" ht="9.75">
      <c r="A216" s="195">
        <v>691</v>
      </c>
      <c r="B216" s="195" t="s">
        <v>283</v>
      </c>
      <c r="C216" s="195">
        <v>2854</v>
      </c>
      <c r="D216" s="195">
        <v>11139580.11</v>
      </c>
      <c r="E216" s="195">
        <v>4698752.460615441</v>
      </c>
      <c r="F216" s="195">
        <v>633282.7944709461</v>
      </c>
      <c r="G216" s="195">
        <v>16471615.365086386</v>
      </c>
      <c r="H216" s="195">
        <v>3540.31</v>
      </c>
      <c r="I216" s="195">
        <v>10104044.74</v>
      </c>
      <c r="J216" s="195">
        <v>6367570.625086386</v>
      </c>
      <c r="K216" s="195">
        <v>384661.3463644315</v>
      </c>
      <c r="L216" s="195">
        <v>937276.3534525235</v>
      </c>
      <c r="M216" s="195">
        <v>0</v>
      </c>
      <c r="N216" s="195">
        <v>7689508.32490334</v>
      </c>
      <c r="O216" s="195">
        <v>3154465.8432399994</v>
      </c>
      <c r="P216" s="195">
        <v>10843974.16814334</v>
      </c>
      <c r="Q216" s="195">
        <v>202</v>
      </c>
      <c r="R216" s="195">
        <v>30</v>
      </c>
      <c r="S216" s="195">
        <v>243</v>
      </c>
      <c r="T216" s="195">
        <v>118</v>
      </c>
      <c r="U216" s="195">
        <v>121</v>
      </c>
      <c r="V216" s="195">
        <v>1447</v>
      </c>
      <c r="W216" s="195">
        <v>363</v>
      </c>
      <c r="X216" s="195">
        <v>221</v>
      </c>
      <c r="Y216" s="195">
        <v>109</v>
      </c>
      <c r="Z216" s="195">
        <v>4</v>
      </c>
      <c r="AA216" s="195">
        <v>0</v>
      </c>
      <c r="AB216" s="195">
        <v>2837</v>
      </c>
      <c r="AC216" s="195">
        <v>13</v>
      </c>
      <c r="AD216" s="195">
        <v>693</v>
      </c>
      <c r="AE216" s="195">
        <v>1.4494263241061842</v>
      </c>
      <c r="AF216" s="195">
        <v>4698752.460615441</v>
      </c>
      <c r="AG216" s="195">
        <v>4590135.291167555</v>
      </c>
      <c r="AH216" s="195">
        <v>1367013.901362434</v>
      </c>
      <c r="AI216" s="195">
        <v>535148.4359887479</v>
      </c>
      <c r="AJ216" s="195">
        <v>102</v>
      </c>
      <c r="AK216" s="195">
        <v>1202</v>
      </c>
      <c r="AL216" s="195">
        <v>0.639108026269672</v>
      </c>
      <c r="AM216" s="195">
        <v>13</v>
      </c>
      <c r="AN216" s="195">
        <v>0.004555010511562719</v>
      </c>
      <c r="AO216" s="195">
        <v>0.0005867565433087512</v>
      </c>
      <c r="AP216" s="195">
        <v>0</v>
      </c>
      <c r="AQ216" s="195">
        <v>4</v>
      </c>
      <c r="AR216" s="195">
        <v>0</v>
      </c>
      <c r="AS216" s="195">
        <v>0</v>
      </c>
      <c r="AT216" s="195">
        <v>0</v>
      </c>
      <c r="AU216" s="195">
        <v>474.44</v>
      </c>
      <c r="AV216" s="195">
        <v>6.015513025883147</v>
      </c>
      <c r="AW216" s="195">
        <v>3.009770742993692</v>
      </c>
      <c r="AX216" s="195">
        <v>144</v>
      </c>
      <c r="AY216" s="195">
        <v>760</v>
      </c>
      <c r="AZ216" s="195">
        <v>0.18947368421052632</v>
      </c>
      <c r="BA216" s="195">
        <v>0.12445088400785785</v>
      </c>
      <c r="BB216" s="195">
        <v>0.500866</v>
      </c>
      <c r="BC216" s="195">
        <v>985</v>
      </c>
      <c r="BD216" s="195">
        <v>1075</v>
      </c>
      <c r="BE216" s="195">
        <v>0.9162790697674419</v>
      </c>
      <c r="BF216" s="195">
        <v>0.4853375517251358</v>
      </c>
      <c r="BG216" s="195">
        <v>0</v>
      </c>
      <c r="BH216" s="195">
        <v>0</v>
      </c>
      <c r="BI216" s="195">
        <v>0</v>
      </c>
      <c r="BJ216" s="195">
        <v>-684.9599999999999</v>
      </c>
      <c r="BK216" s="195">
        <v>-11701.4</v>
      </c>
      <c r="BL216" s="195">
        <v>-799.1200000000001</v>
      </c>
      <c r="BM216" s="195">
        <v>-4081.22</v>
      </c>
      <c r="BN216" s="195">
        <v>-114.16</v>
      </c>
      <c r="BO216" s="195">
        <v>1125</v>
      </c>
      <c r="BP216" s="195">
        <v>-32013.44993166177</v>
      </c>
      <c r="BQ216" s="195">
        <v>-243931.38</v>
      </c>
      <c r="BR216" s="195">
        <v>17542.227682605386</v>
      </c>
      <c r="BS216" s="195">
        <v>279753</v>
      </c>
      <c r="BT216" s="195">
        <v>82585</v>
      </c>
      <c r="BU216" s="195">
        <v>234894.54925491245</v>
      </c>
      <c r="BV216" s="195">
        <v>11397.25428446925</v>
      </c>
      <c r="BW216" s="195">
        <v>43223.19502340273</v>
      </c>
      <c r="BX216" s="195">
        <v>116300.28153997274</v>
      </c>
      <c r="BY216" s="195">
        <v>159182.77197731164</v>
      </c>
      <c r="BZ216" s="195">
        <v>290154.133997758</v>
      </c>
      <c r="CA216" s="195">
        <v>70110.58893709598</v>
      </c>
      <c r="CB216" s="195">
        <v>256.86</v>
      </c>
      <c r="CC216" s="195">
        <v>8098.940686657092</v>
      </c>
      <c r="CD216" s="195">
        <v>1314795.0433841853</v>
      </c>
      <c r="CE216" s="195">
        <v>937276.3534525235</v>
      </c>
      <c r="CF216" s="195">
        <v>0</v>
      </c>
      <c r="CG216" s="229">
        <v>3154465.8432399994</v>
      </c>
      <c r="CH216" s="195">
        <v>-324074</v>
      </c>
      <c r="CI216" s="195">
        <v>-69092.39000000001</v>
      </c>
      <c r="CJ216" s="195">
        <v>10519900.16814334</v>
      </c>
      <c r="CL216" s="195">
        <v>2894</v>
      </c>
    </row>
    <row r="217" spans="1:90" ht="9.75">
      <c r="A217" s="195">
        <v>694</v>
      </c>
      <c r="B217" s="195" t="s">
        <v>284</v>
      </c>
      <c r="C217" s="195">
        <v>29160</v>
      </c>
      <c r="D217" s="195">
        <v>96761119.49000001</v>
      </c>
      <c r="E217" s="195">
        <v>30859848.329131052</v>
      </c>
      <c r="F217" s="195">
        <v>5697879.158167354</v>
      </c>
      <c r="G217" s="195">
        <v>133318846.97729841</v>
      </c>
      <c r="H217" s="195">
        <v>3540.31</v>
      </c>
      <c r="I217" s="195">
        <v>103235439.6</v>
      </c>
      <c r="J217" s="195">
        <v>30083407.377298415</v>
      </c>
      <c r="K217" s="195">
        <v>856891.9488597962</v>
      </c>
      <c r="L217" s="195">
        <v>4292200.315413451</v>
      </c>
      <c r="M217" s="195">
        <v>0</v>
      </c>
      <c r="N217" s="195">
        <v>35232499.64157166</v>
      </c>
      <c r="O217" s="195">
        <v>671819.6009365885</v>
      </c>
      <c r="P217" s="195">
        <v>35904319.242508255</v>
      </c>
      <c r="Q217" s="195">
        <v>1788</v>
      </c>
      <c r="R217" s="195">
        <v>356</v>
      </c>
      <c r="S217" s="195">
        <v>2078</v>
      </c>
      <c r="T217" s="195">
        <v>963</v>
      </c>
      <c r="U217" s="195">
        <v>946</v>
      </c>
      <c r="V217" s="195">
        <v>17180</v>
      </c>
      <c r="W217" s="195">
        <v>3364</v>
      </c>
      <c r="X217" s="195">
        <v>1735</v>
      </c>
      <c r="Y217" s="195">
        <v>750</v>
      </c>
      <c r="Z217" s="195">
        <v>130</v>
      </c>
      <c r="AA217" s="195">
        <v>0</v>
      </c>
      <c r="AB217" s="195">
        <v>27681</v>
      </c>
      <c r="AC217" s="195">
        <v>1349</v>
      </c>
      <c r="AD217" s="195">
        <v>5849</v>
      </c>
      <c r="AE217" s="195">
        <v>0.9316951072715135</v>
      </c>
      <c r="AF217" s="195">
        <v>30859848.329131052</v>
      </c>
      <c r="AG217" s="195">
        <v>7979815.848843315</v>
      </c>
      <c r="AH217" s="195">
        <v>1860988.0067822894</v>
      </c>
      <c r="AI217" s="195">
        <v>847318.3569821841</v>
      </c>
      <c r="AJ217" s="195">
        <v>1704</v>
      </c>
      <c r="AK217" s="195">
        <v>14409</v>
      </c>
      <c r="AL217" s="195">
        <v>0.8906648569791977</v>
      </c>
      <c r="AM217" s="195">
        <v>1349</v>
      </c>
      <c r="AN217" s="195">
        <v>0.04626200274348422</v>
      </c>
      <c r="AO217" s="195">
        <v>0.042293748775230254</v>
      </c>
      <c r="AP217" s="195">
        <v>0</v>
      </c>
      <c r="AQ217" s="195">
        <v>130</v>
      </c>
      <c r="AR217" s="195">
        <v>0</v>
      </c>
      <c r="AS217" s="195">
        <v>0</v>
      </c>
      <c r="AT217" s="195">
        <v>0</v>
      </c>
      <c r="AU217" s="195">
        <v>121.03</v>
      </c>
      <c r="AV217" s="195">
        <v>240.93200033049658</v>
      </c>
      <c r="AW217" s="195">
        <v>0.07514699203329042</v>
      </c>
      <c r="AX217" s="195">
        <v>1401</v>
      </c>
      <c r="AY217" s="195">
        <v>9366</v>
      </c>
      <c r="AZ217" s="195">
        <v>0.149583600256246</v>
      </c>
      <c r="BA217" s="195">
        <v>0.08456080005357754</v>
      </c>
      <c r="BB217" s="195">
        <v>0</v>
      </c>
      <c r="BC217" s="195">
        <v>11295</v>
      </c>
      <c r="BD217" s="195">
        <v>12598</v>
      </c>
      <c r="BE217" s="195">
        <v>0.896570884267344</v>
      </c>
      <c r="BF217" s="195">
        <v>0.4656293662250379</v>
      </c>
      <c r="BG217" s="195">
        <v>0</v>
      </c>
      <c r="BH217" s="195">
        <v>0</v>
      </c>
      <c r="BI217" s="195">
        <v>0</v>
      </c>
      <c r="BJ217" s="195">
        <v>-6998.4</v>
      </c>
      <c r="BK217" s="195">
        <v>-119555.99999999999</v>
      </c>
      <c r="BL217" s="195">
        <v>-8164.800000000001</v>
      </c>
      <c r="BM217" s="195">
        <v>-41698.799999999996</v>
      </c>
      <c r="BN217" s="195">
        <v>-1166.4</v>
      </c>
      <c r="BO217" s="195">
        <v>658284</v>
      </c>
      <c r="BP217" s="195">
        <v>-1774745.6305864993</v>
      </c>
      <c r="BQ217" s="195">
        <v>-2492305.2</v>
      </c>
      <c r="BR217" s="195">
        <v>-40213.59984558821</v>
      </c>
      <c r="BS217" s="195">
        <v>1862094</v>
      </c>
      <c r="BT217" s="195">
        <v>644858</v>
      </c>
      <c r="BU217" s="195">
        <v>1377691.1378719537</v>
      </c>
      <c r="BV217" s="195">
        <v>37343.72389893481</v>
      </c>
      <c r="BW217" s="195">
        <v>125027.78905120381</v>
      </c>
      <c r="BX217" s="195">
        <v>564070.1081007131</v>
      </c>
      <c r="BY217" s="195">
        <v>1348464.5471801157</v>
      </c>
      <c r="BZ217" s="195">
        <v>2106124.3002889347</v>
      </c>
      <c r="CA217" s="195">
        <v>740626.5795615084</v>
      </c>
      <c r="CB217" s="195">
        <v>2624.4</v>
      </c>
      <c r="CC217" s="195">
        <v>168310.95989217295</v>
      </c>
      <c r="CD217" s="195">
        <v>9597055.54599995</v>
      </c>
      <c r="CE217" s="195">
        <v>4292200.315413451</v>
      </c>
      <c r="CF217" s="195">
        <v>0</v>
      </c>
      <c r="CG217" s="229">
        <v>671819.6009365885</v>
      </c>
      <c r="CH217" s="195">
        <v>-1019063</v>
      </c>
      <c r="CI217" s="195">
        <v>106363.17170000006</v>
      </c>
      <c r="CJ217" s="195">
        <v>34885256.242508255</v>
      </c>
      <c r="CL217" s="195">
        <v>29269</v>
      </c>
    </row>
    <row r="218" spans="1:90" ht="9.75">
      <c r="A218" s="195">
        <v>697</v>
      </c>
      <c r="B218" s="195" t="s">
        <v>285</v>
      </c>
      <c r="C218" s="195">
        <v>1345</v>
      </c>
      <c r="D218" s="195">
        <v>5275717.68</v>
      </c>
      <c r="E218" s="195">
        <v>3025522.809739732</v>
      </c>
      <c r="F218" s="195">
        <v>754997.8119894094</v>
      </c>
      <c r="G218" s="195">
        <v>9056238.30172914</v>
      </c>
      <c r="H218" s="195">
        <v>3540.31</v>
      </c>
      <c r="I218" s="195">
        <v>4761716.95</v>
      </c>
      <c r="J218" s="195">
        <v>4294521.351729141</v>
      </c>
      <c r="K218" s="195">
        <v>213464.22869315528</v>
      </c>
      <c r="L218" s="195">
        <v>565785.6010816321</v>
      </c>
      <c r="M218" s="195">
        <v>0</v>
      </c>
      <c r="N218" s="195">
        <v>5073771.181503928</v>
      </c>
      <c r="O218" s="195">
        <v>936862.101875349</v>
      </c>
      <c r="P218" s="195">
        <v>6010633.283379277</v>
      </c>
      <c r="Q218" s="195">
        <v>48</v>
      </c>
      <c r="R218" s="195">
        <v>9</v>
      </c>
      <c r="S218" s="195">
        <v>57</v>
      </c>
      <c r="T218" s="195">
        <v>34</v>
      </c>
      <c r="U218" s="195">
        <v>23</v>
      </c>
      <c r="V218" s="195">
        <v>691</v>
      </c>
      <c r="W218" s="195">
        <v>244</v>
      </c>
      <c r="X218" s="195">
        <v>138</v>
      </c>
      <c r="Y218" s="195">
        <v>101</v>
      </c>
      <c r="Z218" s="195">
        <v>0</v>
      </c>
      <c r="AA218" s="195">
        <v>0</v>
      </c>
      <c r="AB218" s="195">
        <v>1332</v>
      </c>
      <c r="AC218" s="195">
        <v>13</v>
      </c>
      <c r="AD218" s="195">
        <v>483</v>
      </c>
      <c r="AE218" s="195">
        <v>1.9803670617463596</v>
      </c>
      <c r="AF218" s="195">
        <v>3025522.809739732</v>
      </c>
      <c r="AG218" s="195">
        <v>5571769.864481111</v>
      </c>
      <c r="AH218" s="195">
        <v>1582717.1852875596</v>
      </c>
      <c r="AI218" s="195">
        <v>615420.70138706</v>
      </c>
      <c r="AJ218" s="195">
        <v>80</v>
      </c>
      <c r="AK218" s="195">
        <v>570</v>
      </c>
      <c r="AL218" s="195">
        <v>1.0570455419004414</v>
      </c>
      <c r="AM218" s="195">
        <v>13</v>
      </c>
      <c r="AN218" s="195">
        <v>0.009665427509293681</v>
      </c>
      <c r="AO218" s="195">
        <v>0.005697173541039713</v>
      </c>
      <c r="AP218" s="195">
        <v>0</v>
      </c>
      <c r="AQ218" s="195">
        <v>0</v>
      </c>
      <c r="AR218" s="195">
        <v>0</v>
      </c>
      <c r="AS218" s="195">
        <v>0</v>
      </c>
      <c r="AT218" s="195">
        <v>0</v>
      </c>
      <c r="AU218" s="195">
        <v>835.58</v>
      </c>
      <c r="AV218" s="195">
        <v>1.6096603556810838</v>
      </c>
      <c r="AW218" s="195">
        <v>11.24791018521406</v>
      </c>
      <c r="AX218" s="195">
        <v>41</v>
      </c>
      <c r="AY218" s="195">
        <v>320</v>
      </c>
      <c r="AZ218" s="195">
        <v>0.128125</v>
      </c>
      <c r="BA218" s="195">
        <v>0.06310219979733152</v>
      </c>
      <c r="BB218" s="195">
        <v>0.667666</v>
      </c>
      <c r="BC218" s="195">
        <v>361</v>
      </c>
      <c r="BD218" s="195">
        <v>484</v>
      </c>
      <c r="BE218" s="195">
        <v>0.7458677685950413</v>
      </c>
      <c r="BF218" s="195">
        <v>0.31492625055273527</v>
      </c>
      <c r="BG218" s="195">
        <v>0</v>
      </c>
      <c r="BH218" s="195">
        <v>0</v>
      </c>
      <c r="BI218" s="195">
        <v>0</v>
      </c>
      <c r="BJ218" s="195">
        <v>-322.8</v>
      </c>
      <c r="BK218" s="195">
        <v>-5514.499999999999</v>
      </c>
      <c r="BL218" s="195">
        <v>-376.6</v>
      </c>
      <c r="BM218" s="195">
        <v>-1923.35</v>
      </c>
      <c r="BN218" s="195">
        <v>-53.800000000000004</v>
      </c>
      <c r="BO218" s="195">
        <v>6115</v>
      </c>
      <c r="BP218" s="195">
        <v>-30512.81946611512</v>
      </c>
      <c r="BQ218" s="195">
        <v>-114957.15</v>
      </c>
      <c r="BR218" s="195">
        <v>104403.79041090794</v>
      </c>
      <c r="BS218" s="195">
        <v>160754</v>
      </c>
      <c r="BT218" s="195">
        <v>49462</v>
      </c>
      <c r="BU218" s="195">
        <v>124485.65817589301</v>
      </c>
      <c r="BV218" s="195">
        <v>7172.206036784499</v>
      </c>
      <c r="BW218" s="195">
        <v>22496.753395076463</v>
      </c>
      <c r="BX218" s="195">
        <v>55433.95561615519</v>
      </c>
      <c r="BY218" s="195">
        <v>80855.7585815372</v>
      </c>
      <c r="BZ218" s="195">
        <v>122685.15994105836</v>
      </c>
      <c r="CA218" s="195">
        <v>37509.49222477404</v>
      </c>
      <c r="CB218" s="195">
        <v>121.05</v>
      </c>
      <c r="CC218" s="195">
        <v>-12451.403834439503</v>
      </c>
      <c r="CD218" s="195">
        <v>759124.1205477472</v>
      </c>
      <c r="CE218" s="195">
        <v>565785.6010816321</v>
      </c>
      <c r="CF218" s="195">
        <v>0</v>
      </c>
      <c r="CG218" s="229">
        <v>936862.101875349</v>
      </c>
      <c r="CH218" s="195">
        <v>-273796</v>
      </c>
      <c r="CI218" s="195">
        <v>-10429.040000000003</v>
      </c>
      <c r="CJ218" s="195">
        <v>5736837.283379277</v>
      </c>
      <c r="CL218" s="195">
        <v>1351</v>
      </c>
    </row>
    <row r="219" spans="1:90" ht="9.75">
      <c r="A219" s="195">
        <v>698</v>
      </c>
      <c r="B219" s="195" t="s">
        <v>286</v>
      </c>
      <c r="C219" s="195">
        <v>62231</v>
      </c>
      <c r="D219" s="195">
        <v>200329658.33</v>
      </c>
      <c r="E219" s="195">
        <v>69756231.58354807</v>
      </c>
      <c r="F219" s="195">
        <v>15897473.56570166</v>
      </c>
      <c r="G219" s="195">
        <v>285983363.4792498</v>
      </c>
      <c r="H219" s="195">
        <v>3540.31</v>
      </c>
      <c r="I219" s="195">
        <v>220317031.60999998</v>
      </c>
      <c r="J219" s="195">
        <v>65666331.86924979</v>
      </c>
      <c r="K219" s="195">
        <v>2193456.654620314</v>
      </c>
      <c r="L219" s="195">
        <v>9670362.915125087</v>
      </c>
      <c r="M219" s="195">
        <v>0</v>
      </c>
      <c r="N219" s="195">
        <v>77530151.4389952</v>
      </c>
      <c r="O219" s="195">
        <v>19972277.926720005</v>
      </c>
      <c r="P219" s="195">
        <v>97502429.3657152</v>
      </c>
      <c r="Q219" s="195">
        <v>4162</v>
      </c>
      <c r="R219" s="195">
        <v>740</v>
      </c>
      <c r="S219" s="195">
        <v>4195</v>
      </c>
      <c r="T219" s="195">
        <v>1903</v>
      </c>
      <c r="U219" s="195">
        <v>2110</v>
      </c>
      <c r="V219" s="195">
        <v>37900</v>
      </c>
      <c r="W219" s="195">
        <v>6204</v>
      </c>
      <c r="X219" s="195">
        <v>3658</v>
      </c>
      <c r="Y219" s="195">
        <v>1359</v>
      </c>
      <c r="Z219" s="195">
        <v>105</v>
      </c>
      <c r="AA219" s="195">
        <v>153</v>
      </c>
      <c r="AB219" s="195">
        <v>60008</v>
      </c>
      <c r="AC219" s="195">
        <v>1965</v>
      </c>
      <c r="AD219" s="195">
        <v>11221</v>
      </c>
      <c r="AE219" s="195">
        <v>0.9868332596172459</v>
      </c>
      <c r="AF219" s="195">
        <v>69756231.58354807</v>
      </c>
      <c r="AG219" s="195">
        <v>39881072.75360851</v>
      </c>
      <c r="AH219" s="195">
        <v>7666938.504510817</v>
      </c>
      <c r="AI219" s="195">
        <v>4352540.612708483</v>
      </c>
      <c r="AJ219" s="195">
        <v>4645</v>
      </c>
      <c r="AK219" s="195">
        <v>29919</v>
      </c>
      <c r="AL219" s="195">
        <v>1.169276475238437</v>
      </c>
      <c r="AM219" s="195">
        <v>1965</v>
      </c>
      <c r="AN219" s="195">
        <v>0.03157590268515691</v>
      </c>
      <c r="AO219" s="195">
        <v>0.027607648716902945</v>
      </c>
      <c r="AP219" s="195">
        <v>0</v>
      </c>
      <c r="AQ219" s="195">
        <v>105</v>
      </c>
      <c r="AR219" s="195">
        <v>153</v>
      </c>
      <c r="AS219" s="195">
        <v>0</v>
      </c>
      <c r="AT219" s="195">
        <v>0</v>
      </c>
      <c r="AU219" s="195">
        <v>7581.86</v>
      </c>
      <c r="AV219" s="195">
        <v>8.207880388189706</v>
      </c>
      <c r="AW219" s="195">
        <v>2.205845389200875</v>
      </c>
      <c r="AX219" s="195">
        <v>1931</v>
      </c>
      <c r="AY219" s="195">
        <v>18833</v>
      </c>
      <c r="AZ219" s="195">
        <v>0.10253278819094143</v>
      </c>
      <c r="BA219" s="195">
        <v>0.03750998798827296</v>
      </c>
      <c r="BB219" s="195">
        <v>0</v>
      </c>
      <c r="BC219" s="195">
        <v>25211</v>
      </c>
      <c r="BD219" s="195">
        <v>25480</v>
      </c>
      <c r="BE219" s="195">
        <v>0.9894427001569859</v>
      </c>
      <c r="BF219" s="195">
        <v>0.5585011821146798</v>
      </c>
      <c r="BG219" s="195">
        <v>0</v>
      </c>
      <c r="BH219" s="195">
        <v>153</v>
      </c>
      <c r="BI219" s="195">
        <v>0</v>
      </c>
      <c r="BJ219" s="195">
        <v>-14935.439999999999</v>
      </c>
      <c r="BK219" s="195">
        <v>-255147.09999999998</v>
      </c>
      <c r="BL219" s="195">
        <v>-17424.68</v>
      </c>
      <c r="BM219" s="195">
        <v>-88990.33</v>
      </c>
      <c r="BN219" s="195">
        <v>-2489.2400000000002</v>
      </c>
      <c r="BO219" s="195">
        <v>760982</v>
      </c>
      <c r="BP219" s="195">
        <v>-3391925.0622906005</v>
      </c>
      <c r="BQ219" s="195">
        <v>-5318883.57</v>
      </c>
      <c r="BR219" s="195">
        <v>-851137.8510162681</v>
      </c>
      <c r="BS219" s="195">
        <v>4170263</v>
      </c>
      <c r="BT219" s="195">
        <v>1400370</v>
      </c>
      <c r="BU219" s="195">
        <v>3556984.1957876254</v>
      </c>
      <c r="BV219" s="195">
        <v>130689.61392386896</v>
      </c>
      <c r="BW219" s="195">
        <v>170271.45091107712</v>
      </c>
      <c r="BX219" s="195">
        <v>1530495.8688007353</v>
      </c>
      <c r="BY219" s="195">
        <v>3039795.0447149575</v>
      </c>
      <c r="BZ219" s="195">
        <v>4487658.940840116</v>
      </c>
      <c r="CA219" s="195">
        <v>1577559.7576237072</v>
      </c>
      <c r="CB219" s="195">
        <v>5600.79</v>
      </c>
      <c r="CC219" s="195">
        <v>612706.1658298711</v>
      </c>
      <c r="CD219" s="195">
        <v>20595972.837415688</v>
      </c>
      <c r="CE219" s="195">
        <v>9670362.915125087</v>
      </c>
      <c r="CF219" s="195">
        <v>0</v>
      </c>
      <c r="CG219" s="229">
        <v>19972277.926720005</v>
      </c>
      <c r="CH219" s="195">
        <v>-3566400</v>
      </c>
      <c r="CI219" s="195">
        <v>-2954659.144179999</v>
      </c>
      <c r="CJ219" s="195">
        <v>93936029.3657152</v>
      </c>
      <c r="CL219" s="195">
        <v>61838</v>
      </c>
    </row>
    <row r="220" spans="1:90" ht="9.75">
      <c r="A220" s="195">
        <v>700</v>
      </c>
      <c r="B220" s="195" t="s">
        <v>287</v>
      </c>
      <c r="C220" s="195">
        <v>5245</v>
      </c>
      <c r="D220" s="195">
        <v>19581181.2</v>
      </c>
      <c r="E220" s="195">
        <v>7537024.743762275</v>
      </c>
      <c r="F220" s="195">
        <v>1538163.3137698118</v>
      </c>
      <c r="G220" s="195">
        <v>28656369.257532082</v>
      </c>
      <c r="H220" s="195">
        <v>3540.31</v>
      </c>
      <c r="I220" s="195">
        <v>18568925.95</v>
      </c>
      <c r="J220" s="195">
        <v>10087443.307532083</v>
      </c>
      <c r="K220" s="195">
        <v>44305.74949084678</v>
      </c>
      <c r="L220" s="195">
        <v>1134191.003104459</v>
      </c>
      <c r="M220" s="195">
        <v>0</v>
      </c>
      <c r="N220" s="195">
        <v>11265940.060127389</v>
      </c>
      <c r="O220" s="195">
        <v>884842.0118595127</v>
      </c>
      <c r="P220" s="195">
        <v>12150782.0719869</v>
      </c>
      <c r="Q220" s="195">
        <v>217</v>
      </c>
      <c r="R220" s="195">
        <v>55</v>
      </c>
      <c r="S220" s="195">
        <v>302</v>
      </c>
      <c r="T220" s="195">
        <v>161</v>
      </c>
      <c r="U220" s="195">
        <v>139</v>
      </c>
      <c r="V220" s="195">
        <v>2694</v>
      </c>
      <c r="W220" s="195">
        <v>852</v>
      </c>
      <c r="X220" s="195">
        <v>562</v>
      </c>
      <c r="Y220" s="195">
        <v>263</v>
      </c>
      <c r="Z220" s="195">
        <v>5</v>
      </c>
      <c r="AA220" s="195">
        <v>0</v>
      </c>
      <c r="AB220" s="195">
        <v>5115</v>
      </c>
      <c r="AC220" s="195">
        <v>125</v>
      </c>
      <c r="AD220" s="195">
        <v>1677</v>
      </c>
      <c r="AE220" s="195">
        <v>1.2650916688695237</v>
      </c>
      <c r="AF220" s="195">
        <v>7537024.743762275</v>
      </c>
      <c r="AG220" s="195">
        <v>3106499.5833608406</v>
      </c>
      <c r="AH220" s="195">
        <v>1423090.717302381</v>
      </c>
      <c r="AI220" s="195">
        <v>249735.93679474905</v>
      </c>
      <c r="AJ220" s="195">
        <v>284</v>
      </c>
      <c r="AK220" s="195">
        <v>2256</v>
      </c>
      <c r="AL220" s="195">
        <v>0.9481080026753294</v>
      </c>
      <c r="AM220" s="195">
        <v>125</v>
      </c>
      <c r="AN220" s="195">
        <v>0.023832221163012392</v>
      </c>
      <c r="AO220" s="195">
        <v>0.019863967194758424</v>
      </c>
      <c r="AP220" s="195">
        <v>0</v>
      </c>
      <c r="AQ220" s="195">
        <v>5</v>
      </c>
      <c r="AR220" s="195">
        <v>0</v>
      </c>
      <c r="AS220" s="195">
        <v>3</v>
      </c>
      <c r="AT220" s="195">
        <v>376</v>
      </c>
      <c r="AU220" s="195">
        <v>942.98</v>
      </c>
      <c r="AV220" s="195">
        <v>5.562154022354663</v>
      </c>
      <c r="AW220" s="195">
        <v>3.2550905704218365</v>
      </c>
      <c r="AX220" s="195">
        <v>196</v>
      </c>
      <c r="AY220" s="195">
        <v>1467</v>
      </c>
      <c r="AZ220" s="195">
        <v>0.1336059986366735</v>
      </c>
      <c r="BA220" s="195">
        <v>0.06858319843400502</v>
      </c>
      <c r="BB220" s="195">
        <v>0</v>
      </c>
      <c r="BC220" s="195">
        <v>1094</v>
      </c>
      <c r="BD220" s="195">
        <v>1937</v>
      </c>
      <c r="BE220" s="195">
        <v>0.5647909137842023</v>
      </c>
      <c r="BF220" s="195">
        <v>0.13384939574189625</v>
      </c>
      <c r="BG220" s="195">
        <v>0</v>
      </c>
      <c r="BH220" s="195">
        <v>0</v>
      </c>
      <c r="BI220" s="195">
        <v>0</v>
      </c>
      <c r="BJ220" s="195">
        <v>-1258.8</v>
      </c>
      <c r="BK220" s="195">
        <v>-21504.499999999996</v>
      </c>
      <c r="BL220" s="195">
        <v>-1468.6000000000001</v>
      </c>
      <c r="BM220" s="195">
        <v>-7500.349999999999</v>
      </c>
      <c r="BN220" s="195">
        <v>-209.8</v>
      </c>
      <c r="BO220" s="195">
        <v>56412</v>
      </c>
      <c r="BP220" s="195">
        <v>-111546.86460563396</v>
      </c>
      <c r="BQ220" s="195">
        <v>-448290.14999999997</v>
      </c>
      <c r="BR220" s="195">
        <v>-18757.48855673708</v>
      </c>
      <c r="BS220" s="195">
        <v>450007</v>
      </c>
      <c r="BT220" s="195">
        <v>136482</v>
      </c>
      <c r="BU220" s="195">
        <v>271197.13744083105</v>
      </c>
      <c r="BV220" s="195">
        <v>13584.735741688815</v>
      </c>
      <c r="BW220" s="195">
        <v>29722.57333317358</v>
      </c>
      <c r="BX220" s="195">
        <v>156223.5218588037</v>
      </c>
      <c r="BY220" s="195">
        <v>258715.99132247956</v>
      </c>
      <c r="BZ220" s="195">
        <v>425231.14270262397</v>
      </c>
      <c r="CA220" s="195">
        <v>119537.8621507001</v>
      </c>
      <c r="CB220" s="195">
        <v>472.04999999999995</v>
      </c>
      <c r="CC220" s="195">
        <v>-18445.65828347118</v>
      </c>
      <c r="CD220" s="195">
        <v>1880697.5677100928</v>
      </c>
      <c r="CE220" s="195">
        <v>1134191.003104459</v>
      </c>
      <c r="CF220" s="195">
        <v>0</v>
      </c>
      <c r="CG220" s="229">
        <v>884842.0118595127</v>
      </c>
      <c r="CH220" s="195">
        <v>-991165</v>
      </c>
      <c r="CI220" s="195">
        <v>-144369.20072000002</v>
      </c>
      <c r="CJ220" s="195">
        <v>11159617.0719869</v>
      </c>
      <c r="CL220" s="195">
        <v>5312</v>
      </c>
    </row>
    <row r="221" spans="1:90" ht="9.75">
      <c r="A221" s="195">
        <v>702</v>
      </c>
      <c r="B221" s="195" t="s">
        <v>288</v>
      </c>
      <c r="C221" s="195">
        <v>4565</v>
      </c>
      <c r="D221" s="195">
        <v>17182750.29</v>
      </c>
      <c r="E221" s="195">
        <v>7550220.001832653</v>
      </c>
      <c r="F221" s="195">
        <v>1116478.0621440287</v>
      </c>
      <c r="G221" s="195">
        <v>25849448.35397668</v>
      </c>
      <c r="H221" s="195">
        <v>3540.31</v>
      </c>
      <c r="I221" s="195">
        <v>16161515.15</v>
      </c>
      <c r="J221" s="195">
        <v>9687933.203976681</v>
      </c>
      <c r="K221" s="195">
        <v>433315.6457046617</v>
      </c>
      <c r="L221" s="195">
        <v>1281826.938652543</v>
      </c>
      <c r="M221" s="195">
        <v>0</v>
      </c>
      <c r="N221" s="195">
        <v>11403075.788333887</v>
      </c>
      <c r="O221" s="195">
        <v>2905786.633287192</v>
      </c>
      <c r="P221" s="195">
        <v>14308862.421621079</v>
      </c>
      <c r="Q221" s="195">
        <v>195</v>
      </c>
      <c r="R221" s="195">
        <v>39</v>
      </c>
      <c r="S221" s="195">
        <v>236</v>
      </c>
      <c r="T221" s="195">
        <v>141</v>
      </c>
      <c r="U221" s="195">
        <v>142</v>
      </c>
      <c r="V221" s="195">
        <v>2274</v>
      </c>
      <c r="W221" s="195">
        <v>777</v>
      </c>
      <c r="X221" s="195">
        <v>530</v>
      </c>
      <c r="Y221" s="195">
        <v>231</v>
      </c>
      <c r="Z221" s="195">
        <v>12</v>
      </c>
      <c r="AA221" s="195">
        <v>1</v>
      </c>
      <c r="AB221" s="195">
        <v>4481</v>
      </c>
      <c r="AC221" s="195">
        <v>71</v>
      </c>
      <c r="AD221" s="195">
        <v>1538</v>
      </c>
      <c r="AE221" s="195">
        <v>1.456083806006661</v>
      </c>
      <c r="AF221" s="195">
        <v>7550220.001832653</v>
      </c>
      <c r="AG221" s="195">
        <v>90419344.79260027</v>
      </c>
      <c r="AH221" s="195">
        <v>15992194.676634269</v>
      </c>
      <c r="AI221" s="195">
        <v>10631615.594976457</v>
      </c>
      <c r="AJ221" s="195">
        <v>217</v>
      </c>
      <c r="AK221" s="195">
        <v>1870</v>
      </c>
      <c r="AL221" s="195">
        <v>0.873970341428246</v>
      </c>
      <c r="AM221" s="195">
        <v>71</v>
      </c>
      <c r="AN221" s="195">
        <v>0.015553121577217962</v>
      </c>
      <c r="AO221" s="195">
        <v>0.011584867608963994</v>
      </c>
      <c r="AP221" s="195">
        <v>0</v>
      </c>
      <c r="AQ221" s="195">
        <v>12</v>
      </c>
      <c r="AR221" s="195">
        <v>1</v>
      </c>
      <c r="AS221" s="195">
        <v>0</v>
      </c>
      <c r="AT221" s="195">
        <v>0</v>
      </c>
      <c r="AU221" s="195">
        <v>776.92</v>
      </c>
      <c r="AV221" s="195">
        <v>5.875765844617207</v>
      </c>
      <c r="AW221" s="195">
        <v>3.0813540886737076</v>
      </c>
      <c r="AX221" s="195">
        <v>157</v>
      </c>
      <c r="AY221" s="195">
        <v>1175</v>
      </c>
      <c r="AZ221" s="195">
        <v>0.13361702127659575</v>
      </c>
      <c r="BA221" s="195">
        <v>0.06859422107392728</v>
      </c>
      <c r="BB221" s="195">
        <v>0.27965</v>
      </c>
      <c r="BC221" s="195">
        <v>1641</v>
      </c>
      <c r="BD221" s="195">
        <v>1619</v>
      </c>
      <c r="BE221" s="195">
        <v>1.0135886349598517</v>
      </c>
      <c r="BF221" s="195">
        <v>0.5826471169175457</v>
      </c>
      <c r="BG221" s="195">
        <v>0</v>
      </c>
      <c r="BH221" s="195">
        <v>1</v>
      </c>
      <c r="BI221" s="195">
        <v>0</v>
      </c>
      <c r="BJ221" s="195">
        <v>-1095.6</v>
      </c>
      <c r="BK221" s="195">
        <v>-18716.5</v>
      </c>
      <c r="BL221" s="195">
        <v>-1278.2</v>
      </c>
      <c r="BM221" s="195">
        <v>-6527.95</v>
      </c>
      <c r="BN221" s="195">
        <v>-182.6</v>
      </c>
      <c r="BO221" s="195">
        <v>-29452</v>
      </c>
      <c r="BP221" s="195">
        <v>-77032.36389806113</v>
      </c>
      <c r="BQ221" s="195">
        <v>-390170.55</v>
      </c>
      <c r="BR221" s="195">
        <v>-42497.95249035582</v>
      </c>
      <c r="BS221" s="195">
        <v>482033</v>
      </c>
      <c r="BT221" s="195">
        <v>141231</v>
      </c>
      <c r="BU221" s="195">
        <v>359715.4068817046</v>
      </c>
      <c r="BV221" s="195">
        <v>16850.194763104068</v>
      </c>
      <c r="BW221" s="195">
        <v>65127.400944814086</v>
      </c>
      <c r="BX221" s="195">
        <v>181748.09925467972</v>
      </c>
      <c r="BY221" s="195">
        <v>240034.11603973378</v>
      </c>
      <c r="BZ221" s="195">
        <v>413638.0373383276</v>
      </c>
      <c r="CA221" s="195">
        <v>120551.41610446735</v>
      </c>
      <c r="CB221" s="195">
        <v>410.84999999999997</v>
      </c>
      <c r="CC221" s="195">
        <v>-38165.26628587129</v>
      </c>
      <c r="CD221" s="195">
        <v>1911498.202550604</v>
      </c>
      <c r="CE221" s="195">
        <v>1281826.938652543</v>
      </c>
      <c r="CF221" s="195">
        <v>0</v>
      </c>
      <c r="CG221" s="229">
        <v>2905786.633287192</v>
      </c>
      <c r="CH221" s="195">
        <v>-447077</v>
      </c>
      <c r="CI221" s="195">
        <v>-14287.78479999998</v>
      </c>
      <c r="CJ221" s="195">
        <v>13861785.421621079</v>
      </c>
      <c r="CL221" s="195">
        <v>4623</v>
      </c>
    </row>
    <row r="222" spans="1:90" ht="9.75">
      <c r="A222" s="195">
        <v>704</v>
      </c>
      <c r="B222" s="195" t="s">
        <v>289</v>
      </c>
      <c r="C222" s="195">
        <v>6137</v>
      </c>
      <c r="D222" s="195">
        <v>21318946.130000003</v>
      </c>
      <c r="E222" s="195">
        <v>4641985.322503441</v>
      </c>
      <c r="F222" s="195">
        <v>631010.9580854613</v>
      </c>
      <c r="G222" s="195">
        <v>26591942.410588905</v>
      </c>
      <c r="H222" s="195">
        <v>3540.31</v>
      </c>
      <c r="I222" s="195">
        <v>21726882.47</v>
      </c>
      <c r="J222" s="195">
        <v>4865059.940588906</v>
      </c>
      <c r="K222" s="195">
        <v>71962.76117971569</v>
      </c>
      <c r="L222" s="195">
        <v>853115.6299355818</v>
      </c>
      <c r="M222" s="195">
        <v>0</v>
      </c>
      <c r="N222" s="195">
        <v>5790138.331704204</v>
      </c>
      <c r="O222" s="195">
        <v>210526.24192405053</v>
      </c>
      <c r="P222" s="195">
        <v>6000664.573628254</v>
      </c>
      <c r="Q222" s="195">
        <v>471</v>
      </c>
      <c r="R222" s="195">
        <v>80</v>
      </c>
      <c r="S222" s="195">
        <v>490</v>
      </c>
      <c r="T222" s="195">
        <v>266</v>
      </c>
      <c r="U222" s="195">
        <v>287</v>
      </c>
      <c r="V222" s="195">
        <v>3461</v>
      </c>
      <c r="W222" s="195">
        <v>651</v>
      </c>
      <c r="X222" s="195">
        <v>319</v>
      </c>
      <c r="Y222" s="195">
        <v>112</v>
      </c>
      <c r="Z222" s="195">
        <v>95</v>
      </c>
      <c r="AA222" s="195">
        <v>0</v>
      </c>
      <c r="AB222" s="195">
        <v>5935</v>
      </c>
      <c r="AC222" s="195">
        <v>107</v>
      </c>
      <c r="AD222" s="195">
        <v>1082</v>
      </c>
      <c r="AE222" s="195">
        <v>0.6659094635042044</v>
      </c>
      <c r="AF222" s="195">
        <v>4641985.322503441</v>
      </c>
      <c r="AG222" s="195">
        <v>8895305.478675546</v>
      </c>
      <c r="AH222" s="195">
        <v>2431341.3016116014</v>
      </c>
      <c r="AI222" s="195">
        <v>900833.200581059</v>
      </c>
      <c r="AJ222" s="195">
        <v>227</v>
      </c>
      <c r="AK222" s="195">
        <v>3038</v>
      </c>
      <c r="AL222" s="195">
        <v>0.5627514922090936</v>
      </c>
      <c r="AM222" s="195">
        <v>107</v>
      </c>
      <c r="AN222" s="195">
        <v>0.017435228939221118</v>
      </c>
      <c r="AO222" s="195">
        <v>0.01346697497096715</v>
      </c>
      <c r="AP222" s="195">
        <v>0</v>
      </c>
      <c r="AQ222" s="195">
        <v>95</v>
      </c>
      <c r="AR222" s="195">
        <v>0</v>
      </c>
      <c r="AS222" s="195">
        <v>0</v>
      </c>
      <c r="AT222" s="195">
        <v>0</v>
      </c>
      <c r="AU222" s="195">
        <v>127.14</v>
      </c>
      <c r="AV222" s="195">
        <v>48.2696240364952</v>
      </c>
      <c r="AW222" s="195">
        <v>0.37508713752797557</v>
      </c>
      <c r="AX222" s="195">
        <v>218</v>
      </c>
      <c r="AY222" s="195">
        <v>2219</v>
      </c>
      <c r="AZ222" s="195">
        <v>0.09824245155475439</v>
      </c>
      <c r="BA222" s="195">
        <v>0.03321965135208592</v>
      </c>
      <c r="BB222" s="195">
        <v>0</v>
      </c>
      <c r="BC222" s="195">
        <v>1709</v>
      </c>
      <c r="BD222" s="195">
        <v>2771</v>
      </c>
      <c r="BE222" s="195">
        <v>0.6167448574521833</v>
      </c>
      <c r="BF222" s="195">
        <v>0.18580333940987726</v>
      </c>
      <c r="BG222" s="195">
        <v>0</v>
      </c>
      <c r="BH222" s="195">
        <v>0</v>
      </c>
      <c r="BI222" s="195">
        <v>0</v>
      </c>
      <c r="BJ222" s="195">
        <v>-1472.8799999999999</v>
      </c>
      <c r="BK222" s="195">
        <v>-25161.699999999997</v>
      </c>
      <c r="BL222" s="195">
        <v>-1718.3600000000001</v>
      </c>
      <c r="BM222" s="195">
        <v>-8775.91</v>
      </c>
      <c r="BN222" s="195">
        <v>-245.48000000000002</v>
      </c>
      <c r="BO222" s="195">
        <v>39883</v>
      </c>
      <c r="BP222" s="195">
        <v>-90037.82793279873</v>
      </c>
      <c r="BQ222" s="195">
        <v>-524529.39</v>
      </c>
      <c r="BR222" s="195">
        <v>-138690.0078582205</v>
      </c>
      <c r="BS222" s="195">
        <v>387043</v>
      </c>
      <c r="BT222" s="195">
        <v>126882</v>
      </c>
      <c r="BU222" s="195">
        <v>241368.28376477773</v>
      </c>
      <c r="BV222" s="195">
        <v>4103.035289727531</v>
      </c>
      <c r="BW222" s="195">
        <v>27149.87359443658</v>
      </c>
      <c r="BX222" s="195">
        <v>119934.73479326064</v>
      </c>
      <c r="BY222" s="195">
        <v>275731.56641233416</v>
      </c>
      <c r="BZ222" s="195">
        <v>473017.7979280093</v>
      </c>
      <c r="CA222" s="195">
        <v>145705.6241999388</v>
      </c>
      <c r="CB222" s="195">
        <v>552.3299999999999</v>
      </c>
      <c r="CC222" s="195">
        <v>-16950.780255883357</v>
      </c>
      <c r="CD222" s="195">
        <v>1686098.6778683807</v>
      </c>
      <c r="CE222" s="195">
        <v>853115.6299355818</v>
      </c>
      <c r="CF222" s="195">
        <v>0</v>
      </c>
      <c r="CG222" s="229">
        <v>210526.24192405053</v>
      </c>
      <c r="CH222" s="195">
        <v>-1220732</v>
      </c>
      <c r="CI222" s="195">
        <v>8199.83269999997</v>
      </c>
      <c r="CJ222" s="195">
        <v>4779932.573628254</v>
      </c>
      <c r="CL222" s="195">
        <v>6110</v>
      </c>
    </row>
    <row r="223" spans="1:90" ht="9.75">
      <c r="A223" s="195">
        <v>707</v>
      </c>
      <c r="B223" s="195" t="s">
        <v>290</v>
      </c>
      <c r="C223" s="195">
        <v>2268</v>
      </c>
      <c r="D223" s="195">
        <v>7999334.9799999995</v>
      </c>
      <c r="E223" s="195">
        <v>4484253.368479901</v>
      </c>
      <c r="F223" s="195">
        <v>902112.4037349222</v>
      </c>
      <c r="G223" s="195">
        <v>13385700.752214823</v>
      </c>
      <c r="H223" s="195">
        <v>3540.31</v>
      </c>
      <c r="I223" s="195">
        <v>8029423.08</v>
      </c>
      <c r="J223" s="195">
        <v>5356277.672214823</v>
      </c>
      <c r="K223" s="195">
        <v>220477.53037495958</v>
      </c>
      <c r="L223" s="195">
        <v>1255974.0339285233</v>
      </c>
      <c r="M223" s="195">
        <v>0</v>
      </c>
      <c r="N223" s="195">
        <v>6832729.236518305</v>
      </c>
      <c r="O223" s="195">
        <v>2869122.057886512</v>
      </c>
      <c r="P223" s="195">
        <v>9701851.294404816</v>
      </c>
      <c r="Q223" s="195">
        <v>80</v>
      </c>
      <c r="R223" s="195">
        <v>10</v>
      </c>
      <c r="S223" s="195">
        <v>94</v>
      </c>
      <c r="T223" s="195">
        <v>62</v>
      </c>
      <c r="U223" s="195">
        <v>51</v>
      </c>
      <c r="V223" s="195">
        <v>1151</v>
      </c>
      <c r="W223" s="195">
        <v>457</v>
      </c>
      <c r="X223" s="195">
        <v>252</v>
      </c>
      <c r="Y223" s="195">
        <v>111</v>
      </c>
      <c r="Z223" s="195">
        <v>4</v>
      </c>
      <c r="AA223" s="195">
        <v>0</v>
      </c>
      <c r="AB223" s="195">
        <v>2189</v>
      </c>
      <c r="AC223" s="195">
        <v>75</v>
      </c>
      <c r="AD223" s="195">
        <v>820</v>
      </c>
      <c r="AE223" s="195">
        <v>1.7406627679886557</v>
      </c>
      <c r="AF223" s="195">
        <v>4484253.368479901</v>
      </c>
      <c r="AG223" s="195">
        <v>8908719.488192733</v>
      </c>
      <c r="AH223" s="195">
        <v>2640025.5493558184</v>
      </c>
      <c r="AI223" s="195">
        <v>767046.0915838719</v>
      </c>
      <c r="AJ223" s="195">
        <v>163</v>
      </c>
      <c r="AK223" s="195">
        <v>955</v>
      </c>
      <c r="AL223" s="195">
        <v>1.2854725300781416</v>
      </c>
      <c r="AM223" s="195">
        <v>75</v>
      </c>
      <c r="AN223" s="195">
        <v>0.03306878306878307</v>
      </c>
      <c r="AO223" s="195">
        <v>0.0291005291005291</v>
      </c>
      <c r="AP223" s="195">
        <v>0</v>
      </c>
      <c r="AQ223" s="195">
        <v>4</v>
      </c>
      <c r="AR223" s="195">
        <v>0</v>
      </c>
      <c r="AS223" s="195">
        <v>3</v>
      </c>
      <c r="AT223" s="195">
        <v>411</v>
      </c>
      <c r="AU223" s="195">
        <v>427.66</v>
      </c>
      <c r="AV223" s="195">
        <v>5.3032783051957155</v>
      </c>
      <c r="AW223" s="195">
        <v>3.413985476052134</v>
      </c>
      <c r="AX223" s="195">
        <v>111</v>
      </c>
      <c r="AY223" s="195">
        <v>593</v>
      </c>
      <c r="AZ223" s="195">
        <v>0.18718381112984822</v>
      </c>
      <c r="BA223" s="195">
        <v>0.12216101092717975</v>
      </c>
      <c r="BB223" s="195">
        <v>0.358666</v>
      </c>
      <c r="BC223" s="195">
        <v>604</v>
      </c>
      <c r="BD223" s="195">
        <v>765</v>
      </c>
      <c r="BE223" s="195">
        <v>0.7895424836601307</v>
      </c>
      <c r="BF223" s="195">
        <v>0.3586009656178246</v>
      </c>
      <c r="BG223" s="195">
        <v>0</v>
      </c>
      <c r="BH223" s="195">
        <v>0</v>
      </c>
      <c r="BI223" s="195">
        <v>0</v>
      </c>
      <c r="BJ223" s="195">
        <v>-544.3199999999999</v>
      </c>
      <c r="BK223" s="195">
        <v>-9298.8</v>
      </c>
      <c r="BL223" s="195">
        <v>-635.0400000000001</v>
      </c>
      <c r="BM223" s="195">
        <v>-3243.24</v>
      </c>
      <c r="BN223" s="195">
        <v>-90.72</v>
      </c>
      <c r="BO223" s="195">
        <v>200161</v>
      </c>
      <c r="BP223" s="195">
        <v>-53022.276449314806</v>
      </c>
      <c r="BQ223" s="195">
        <v>-193845.96</v>
      </c>
      <c r="BR223" s="195">
        <v>152966.38367605582</v>
      </c>
      <c r="BS223" s="195">
        <v>302843</v>
      </c>
      <c r="BT223" s="195">
        <v>87748</v>
      </c>
      <c r="BU223" s="195">
        <v>236964.1114700343</v>
      </c>
      <c r="BV223" s="195">
        <v>12584.419830805715</v>
      </c>
      <c r="BW223" s="195">
        <v>39572.3615710929</v>
      </c>
      <c r="BX223" s="195">
        <v>110909.52963556179</v>
      </c>
      <c r="BY223" s="195">
        <v>139255.8619116213</v>
      </c>
      <c r="BZ223" s="195">
        <v>209563.8503822768</v>
      </c>
      <c r="CA223" s="195">
        <v>60331.09390211865</v>
      </c>
      <c r="CB223" s="195">
        <v>204.12</v>
      </c>
      <c r="CC223" s="195">
        <v>30320.577998270594</v>
      </c>
      <c r="CD223" s="195">
        <v>1583560.3903778382</v>
      </c>
      <c r="CE223" s="195">
        <v>1255974.0339285233</v>
      </c>
      <c r="CF223" s="195">
        <v>0</v>
      </c>
      <c r="CG223" s="229">
        <v>2869122.057886512</v>
      </c>
      <c r="CH223" s="195">
        <v>-554482</v>
      </c>
      <c r="CI223" s="195">
        <v>-35719.462</v>
      </c>
      <c r="CJ223" s="195">
        <v>9147369.294404816</v>
      </c>
      <c r="CL223" s="195">
        <v>2349</v>
      </c>
    </row>
    <row r="224" spans="1:90" ht="9.75">
      <c r="A224" s="195">
        <v>729</v>
      </c>
      <c r="B224" s="195" t="s">
        <v>291</v>
      </c>
      <c r="C224" s="195">
        <v>9690</v>
      </c>
      <c r="D224" s="195">
        <v>35335089.07</v>
      </c>
      <c r="E224" s="195">
        <v>14158034.67830197</v>
      </c>
      <c r="F224" s="195">
        <v>2622449.4601716436</v>
      </c>
      <c r="G224" s="195">
        <v>52115573.20847361</v>
      </c>
      <c r="H224" s="195">
        <v>3540.31</v>
      </c>
      <c r="I224" s="195">
        <v>34305603.9</v>
      </c>
      <c r="J224" s="195">
        <v>17809969.30847361</v>
      </c>
      <c r="K224" s="195">
        <v>499428.31159009435</v>
      </c>
      <c r="L224" s="195">
        <v>3384344.786524984</v>
      </c>
      <c r="M224" s="195">
        <v>0</v>
      </c>
      <c r="N224" s="195">
        <v>21693742.40658869</v>
      </c>
      <c r="O224" s="195">
        <v>8577961.440424185</v>
      </c>
      <c r="P224" s="195">
        <v>30271703.847012874</v>
      </c>
      <c r="Q224" s="195">
        <v>504</v>
      </c>
      <c r="R224" s="195">
        <v>99</v>
      </c>
      <c r="S224" s="195">
        <v>626</v>
      </c>
      <c r="T224" s="195">
        <v>321</v>
      </c>
      <c r="U224" s="195">
        <v>269</v>
      </c>
      <c r="V224" s="195">
        <v>5112</v>
      </c>
      <c r="W224" s="195">
        <v>1421</v>
      </c>
      <c r="X224" s="195">
        <v>949</v>
      </c>
      <c r="Y224" s="195">
        <v>389</v>
      </c>
      <c r="Z224" s="195">
        <v>14</v>
      </c>
      <c r="AA224" s="195">
        <v>0</v>
      </c>
      <c r="AB224" s="195">
        <v>9564</v>
      </c>
      <c r="AC224" s="195">
        <v>112</v>
      </c>
      <c r="AD224" s="195">
        <v>2759</v>
      </c>
      <c r="AE224" s="195">
        <v>1.2863132461358973</v>
      </c>
      <c r="AF224" s="195">
        <v>14158034.67830197</v>
      </c>
      <c r="AG224" s="195">
        <v>5396958.228137603</v>
      </c>
      <c r="AH224" s="195">
        <v>1688115.9382621704</v>
      </c>
      <c r="AI224" s="195">
        <v>508391.0141893105</v>
      </c>
      <c r="AJ224" s="195">
        <v>859</v>
      </c>
      <c r="AK224" s="195">
        <v>4393</v>
      </c>
      <c r="AL224" s="195">
        <v>1.4726872543840004</v>
      </c>
      <c r="AM224" s="195">
        <v>112</v>
      </c>
      <c r="AN224" s="195">
        <v>0.011558307533539732</v>
      </c>
      <c r="AO224" s="195">
        <v>0.007590053565285764</v>
      </c>
      <c r="AP224" s="195">
        <v>0</v>
      </c>
      <c r="AQ224" s="195">
        <v>14</v>
      </c>
      <c r="AR224" s="195">
        <v>0</v>
      </c>
      <c r="AS224" s="195">
        <v>0</v>
      </c>
      <c r="AT224" s="195">
        <v>0</v>
      </c>
      <c r="AU224" s="195">
        <v>1251.8</v>
      </c>
      <c r="AV224" s="195">
        <v>7.740853171433137</v>
      </c>
      <c r="AW224" s="195">
        <v>2.338930181005945</v>
      </c>
      <c r="AX224" s="195">
        <v>423</v>
      </c>
      <c r="AY224" s="195">
        <v>2683</v>
      </c>
      <c r="AZ224" s="195">
        <v>0.15765933656354827</v>
      </c>
      <c r="BA224" s="195">
        <v>0.0926365363608798</v>
      </c>
      <c r="BB224" s="195">
        <v>0.098</v>
      </c>
      <c r="BC224" s="195">
        <v>3157</v>
      </c>
      <c r="BD224" s="195">
        <v>3414</v>
      </c>
      <c r="BE224" s="195">
        <v>0.9247217340363211</v>
      </c>
      <c r="BF224" s="195">
        <v>0.493780215994015</v>
      </c>
      <c r="BG224" s="195">
        <v>0</v>
      </c>
      <c r="BH224" s="195">
        <v>0</v>
      </c>
      <c r="BI224" s="195">
        <v>0</v>
      </c>
      <c r="BJ224" s="195">
        <v>-2325.6</v>
      </c>
      <c r="BK224" s="195">
        <v>-39729</v>
      </c>
      <c r="BL224" s="195">
        <v>-2713.2000000000003</v>
      </c>
      <c r="BM224" s="195">
        <v>-13856.699999999999</v>
      </c>
      <c r="BN224" s="195">
        <v>-387.6</v>
      </c>
      <c r="BO224" s="195">
        <v>321957</v>
      </c>
      <c r="BP224" s="195">
        <v>-303627.5641956046</v>
      </c>
      <c r="BQ224" s="195">
        <v>-828204.3</v>
      </c>
      <c r="BR224" s="195">
        <v>251383.7136722952</v>
      </c>
      <c r="BS224" s="195">
        <v>954489</v>
      </c>
      <c r="BT224" s="195">
        <v>293114</v>
      </c>
      <c r="BU224" s="195">
        <v>743309.2555429272</v>
      </c>
      <c r="BV224" s="195">
        <v>41048.66335412597</v>
      </c>
      <c r="BW224" s="195">
        <v>106843.04163109911</v>
      </c>
      <c r="BX224" s="195">
        <v>374059.29699343286</v>
      </c>
      <c r="BY224" s="195">
        <v>564756.2980729024</v>
      </c>
      <c r="BZ224" s="195">
        <v>868628.6008690046</v>
      </c>
      <c r="CA224" s="195">
        <v>271725.32883863983</v>
      </c>
      <c r="CB224" s="195">
        <v>872.1</v>
      </c>
      <c r="CC224" s="195">
        <v>68276.05174616053</v>
      </c>
      <c r="CD224" s="195">
        <v>4861043.7507205885</v>
      </c>
      <c r="CE224" s="195">
        <v>3384344.786524984</v>
      </c>
      <c r="CF224" s="195">
        <v>0</v>
      </c>
      <c r="CG224" s="229">
        <v>8577961.440424185</v>
      </c>
      <c r="CH224" s="195">
        <v>-110623</v>
      </c>
      <c r="CI224" s="195">
        <v>-181256.7152</v>
      </c>
      <c r="CJ224" s="195">
        <v>30161080.847012874</v>
      </c>
      <c r="CL224" s="195">
        <v>9915</v>
      </c>
    </row>
    <row r="225" spans="1:90" ht="9.75">
      <c r="A225" s="195">
        <v>732</v>
      </c>
      <c r="B225" s="195" t="s">
        <v>292</v>
      </c>
      <c r="C225" s="195">
        <v>3653</v>
      </c>
      <c r="D225" s="195">
        <v>13190785.25</v>
      </c>
      <c r="E225" s="195">
        <v>7286816.05570272</v>
      </c>
      <c r="F225" s="195">
        <v>3495356.5826641126</v>
      </c>
      <c r="G225" s="195">
        <v>23972957.888366833</v>
      </c>
      <c r="H225" s="195">
        <v>3540.31</v>
      </c>
      <c r="I225" s="195">
        <v>12932752.43</v>
      </c>
      <c r="J225" s="195">
        <v>11040205.458366834</v>
      </c>
      <c r="K225" s="195">
        <v>4066315.8024954544</v>
      </c>
      <c r="L225" s="195">
        <v>1949267.6152002676</v>
      </c>
      <c r="M225" s="195">
        <v>0</v>
      </c>
      <c r="N225" s="195">
        <v>17055788.876062553</v>
      </c>
      <c r="O225" s="195">
        <v>2996431.999957075</v>
      </c>
      <c r="P225" s="195">
        <v>20052220.876019627</v>
      </c>
      <c r="Q225" s="195">
        <v>119</v>
      </c>
      <c r="R225" s="195">
        <v>22</v>
      </c>
      <c r="S225" s="195">
        <v>167</v>
      </c>
      <c r="T225" s="195">
        <v>81</v>
      </c>
      <c r="U225" s="195">
        <v>66</v>
      </c>
      <c r="V225" s="195">
        <v>1911</v>
      </c>
      <c r="W225" s="195">
        <v>620</v>
      </c>
      <c r="X225" s="195">
        <v>470</v>
      </c>
      <c r="Y225" s="195">
        <v>197</v>
      </c>
      <c r="Z225" s="195">
        <v>12</v>
      </c>
      <c r="AA225" s="195">
        <v>5</v>
      </c>
      <c r="AB225" s="195">
        <v>3592</v>
      </c>
      <c r="AC225" s="195">
        <v>44</v>
      </c>
      <c r="AD225" s="195">
        <v>1287</v>
      </c>
      <c r="AE225" s="195">
        <v>1.756126035496495</v>
      </c>
      <c r="AF225" s="195">
        <v>7286816.05570272</v>
      </c>
      <c r="AG225" s="195">
        <v>37335747.92800509</v>
      </c>
      <c r="AH225" s="195">
        <v>7007941.57533229</v>
      </c>
      <c r="AI225" s="195">
        <v>4076047.2541142968</v>
      </c>
      <c r="AJ225" s="195">
        <v>315</v>
      </c>
      <c r="AK225" s="195">
        <v>1565</v>
      </c>
      <c r="AL225" s="195">
        <v>1.515914752781344</v>
      </c>
      <c r="AM225" s="195">
        <v>44</v>
      </c>
      <c r="AN225" s="195">
        <v>0.012044894607172188</v>
      </c>
      <c r="AO225" s="195">
        <v>0.00807664063891822</v>
      </c>
      <c r="AP225" s="195">
        <v>0</v>
      </c>
      <c r="AQ225" s="195">
        <v>12</v>
      </c>
      <c r="AR225" s="195">
        <v>5</v>
      </c>
      <c r="AS225" s="195">
        <v>0</v>
      </c>
      <c r="AT225" s="195">
        <v>0</v>
      </c>
      <c r="AU225" s="195">
        <v>5730.06</v>
      </c>
      <c r="AV225" s="195">
        <v>0.6375151394575275</v>
      </c>
      <c r="AW225" s="195">
        <v>28.39981984554386</v>
      </c>
      <c r="AX225" s="195">
        <v>152</v>
      </c>
      <c r="AY225" s="195">
        <v>928</v>
      </c>
      <c r="AZ225" s="195">
        <v>0.16379310344827586</v>
      </c>
      <c r="BA225" s="195">
        <v>0.09877030324560739</v>
      </c>
      <c r="BB225" s="195">
        <v>1.729983</v>
      </c>
      <c r="BC225" s="195">
        <v>1119</v>
      </c>
      <c r="BD225" s="195">
        <v>1155</v>
      </c>
      <c r="BE225" s="195">
        <v>0.9688311688311688</v>
      </c>
      <c r="BF225" s="195">
        <v>0.5378896507888627</v>
      </c>
      <c r="BG225" s="195">
        <v>0</v>
      </c>
      <c r="BH225" s="195">
        <v>5</v>
      </c>
      <c r="BI225" s="195">
        <v>0</v>
      </c>
      <c r="BJ225" s="195">
        <v>-876.7199999999999</v>
      </c>
      <c r="BK225" s="195">
        <v>-14977.3</v>
      </c>
      <c r="BL225" s="195">
        <v>-1022.8400000000001</v>
      </c>
      <c r="BM225" s="195">
        <v>-5223.79</v>
      </c>
      <c r="BN225" s="195">
        <v>-146.12</v>
      </c>
      <c r="BO225" s="195">
        <v>258365</v>
      </c>
      <c r="BP225" s="195">
        <v>-80533.83498433664</v>
      </c>
      <c r="BQ225" s="195">
        <v>-312221.91</v>
      </c>
      <c r="BR225" s="195">
        <v>501435.70851542056</v>
      </c>
      <c r="BS225" s="195">
        <v>397132</v>
      </c>
      <c r="BT225" s="195">
        <v>120884</v>
      </c>
      <c r="BU225" s="195">
        <v>323961.8783023534</v>
      </c>
      <c r="BV225" s="195">
        <v>18056.029456748154</v>
      </c>
      <c r="BW225" s="195">
        <v>65713.15219817025</v>
      </c>
      <c r="BX225" s="195">
        <v>160800.97622708709</v>
      </c>
      <c r="BY225" s="195">
        <v>206884.00489435552</v>
      </c>
      <c r="BZ225" s="195">
        <v>312809.4833913017</v>
      </c>
      <c r="CA225" s="195">
        <v>104389.70568570502</v>
      </c>
      <c r="CB225" s="195">
        <v>328.77</v>
      </c>
      <c r="CC225" s="195">
        <v>1053.7415134621988</v>
      </c>
      <c r="CD225" s="195">
        <v>2472033.6301846043</v>
      </c>
      <c r="CE225" s="195">
        <v>1949267.6152002676</v>
      </c>
      <c r="CF225" s="195">
        <v>0</v>
      </c>
      <c r="CG225" s="229">
        <v>2996431.999957075</v>
      </c>
      <c r="CH225" s="195">
        <v>-212709</v>
      </c>
      <c r="CI225" s="195">
        <v>-113937.26200000002</v>
      </c>
      <c r="CJ225" s="195">
        <v>19839511.876019627</v>
      </c>
      <c r="CL225" s="195">
        <v>3727</v>
      </c>
    </row>
    <row r="226" spans="1:90" ht="9.75">
      <c r="A226" s="195">
        <v>734</v>
      </c>
      <c r="B226" s="195" t="s">
        <v>293</v>
      </c>
      <c r="C226" s="195">
        <v>53546</v>
      </c>
      <c r="D226" s="195">
        <v>186262725.56</v>
      </c>
      <c r="E226" s="195">
        <v>60768970.60665245</v>
      </c>
      <c r="F226" s="195">
        <v>14831185.258961217</v>
      </c>
      <c r="G226" s="195">
        <v>261862881.42561367</v>
      </c>
      <c r="H226" s="195">
        <v>3540.31</v>
      </c>
      <c r="I226" s="195">
        <v>189569439.26</v>
      </c>
      <c r="J226" s="195">
        <v>72293442.16561368</v>
      </c>
      <c r="K226" s="195">
        <v>1727004.983595499</v>
      </c>
      <c r="L226" s="195">
        <v>11345533.290588893</v>
      </c>
      <c r="M226" s="195">
        <v>0</v>
      </c>
      <c r="N226" s="195">
        <v>85365980.43979809</v>
      </c>
      <c r="O226" s="195">
        <v>22643978.735425517</v>
      </c>
      <c r="P226" s="195">
        <v>108009959.1752236</v>
      </c>
      <c r="Q226" s="195">
        <v>2828</v>
      </c>
      <c r="R226" s="195">
        <v>637</v>
      </c>
      <c r="S226" s="195">
        <v>3648</v>
      </c>
      <c r="T226" s="195">
        <v>1798</v>
      </c>
      <c r="U226" s="195">
        <v>1893</v>
      </c>
      <c r="V226" s="195">
        <v>29532</v>
      </c>
      <c r="W226" s="195">
        <v>7368</v>
      </c>
      <c r="X226" s="195">
        <v>4076</v>
      </c>
      <c r="Y226" s="195">
        <v>1766</v>
      </c>
      <c r="Z226" s="195">
        <v>608</v>
      </c>
      <c r="AA226" s="195">
        <v>1</v>
      </c>
      <c r="AB226" s="195">
        <v>49769</v>
      </c>
      <c r="AC226" s="195">
        <v>3168</v>
      </c>
      <c r="AD226" s="195">
        <v>13210</v>
      </c>
      <c r="AE226" s="195">
        <v>0.9991309062399079</v>
      </c>
      <c r="AF226" s="195">
        <v>60768970.60665245</v>
      </c>
      <c r="AG226" s="195">
        <v>18176280.25068652</v>
      </c>
      <c r="AH226" s="195">
        <v>4089154.6266841507</v>
      </c>
      <c r="AI226" s="195">
        <v>1757070.6981630556</v>
      </c>
      <c r="AJ226" s="195">
        <v>4043</v>
      </c>
      <c r="AK226" s="195">
        <v>25038</v>
      </c>
      <c r="AL226" s="195">
        <v>1.21613748190999</v>
      </c>
      <c r="AM226" s="195">
        <v>3168</v>
      </c>
      <c r="AN226" s="195">
        <v>0.05916408321816756</v>
      </c>
      <c r="AO226" s="195">
        <v>0.05519582924991359</v>
      </c>
      <c r="AP226" s="195">
        <v>0</v>
      </c>
      <c r="AQ226" s="195">
        <v>608</v>
      </c>
      <c r="AR226" s="195">
        <v>1</v>
      </c>
      <c r="AS226" s="195">
        <v>3</v>
      </c>
      <c r="AT226" s="195">
        <v>657</v>
      </c>
      <c r="AU226" s="195">
        <v>1986.54</v>
      </c>
      <c r="AV226" s="195">
        <v>26.954403133085666</v>
      </c>
      <c r="AW226" s="195">
        <v>0.671701577660863</v>
      </c>
      <c r="AX226" s="195">
        <v>2619</v>
      </c>
      <c r="AY226" s="195">
        <v>16961</v>
      </c>
      <c r="AZ226" s="195">
        <v>0.1544130652673781</v>
      </c>
      <c r="BA226" s="195">
        <v>0.08939026506470964</v>
      </c>
      <c r="BB226" s="195">
        <v>0</v>
      </c>
      <c r="BC226" s="195">
        <v>19440</v>
      </c>
      <c r="BD226" s="195">
        <v>20637</v>
      </c>
      <c r="BE226" s="195">
        <v>0.9419973833406018</v>
      </c>
      <c r="BF226" s="195">
        <v>0.5110558652982957</v>
      </c>
      <c r="BG226" s="195">
        <v>0</v>
      </c>
      <c r="BH226" s="195">
        <v>1</v>
      </c>
      <c r="BI226" s="195">
        <v>0</v>
      </c>
      <c r="BJ226" s="195">
        <v>-12851.039999999999</v>
      </c>
      <c r="BK226" s="195">
        <v>-219538.59999999998</v>
      </c>
      <c r="BL226" s="195">
        <v>-14992.880000000001</v>
      </c>
      <c r="BM226" s="195">
        <v>-76570.78</v>
      </c>
      <c r="BN226" s="195">
        <v>-2141.84</v>
      </c>
      <c r="BO226" s="195">
        <v>-333760</v>
      </c>
      <c r="BP226" s="195">
        <v>-1891794.8068991376</v>
      </c>
      <c r="BQ226" s="195">
        <v>-4576576.62</v>
      </c>
      <c r="BR226" s="195">
        <v>825981.7808151245</v>
      </c>
      <c r="BS226" s="195">
        <v>4035158</v>
      </c>
      <c r="BT226" s="195">
        <v>1360728</v>
      </c>
      <c r="BU226" s="195">
        <v>3108333.4400907625</v>
      </c>
      <c r="BV226" s="195">
        <v>109870.08065928429</v>
      </c>
      <c r="BW226" s="195">
        <v>143591.84511297155</v>
      </c>
      <c r="BX226" s="195">
        <v>1435082.5456556936</v>
      </c>
      <c r="BY226" s="195">
        <v>2764155.9394521797</v>
      </c>
      <c r="BZ226" s="195">
        <v>4385553.091347926</v>
      </c>
      <c r="CA226" s="195">
        <v>1404741.5421453915</v>
      </c>
      <c r="CB226" s="195">
        <v>4819.139999999999</v>
      </c>
      <c r="CC226" s="195">
        <v>472138.69220869715</v>
      </c>
      <c r="CD226" s="195">
        <v>19719606.857488032</v>
      </c>
      <c r="CE226" s="195">
        <v>11345533.290588893</v>
      </c>
      <c r="CF226" s="195">
        <v>0</v>
      </c>
      <c r="CG226" s="229">
        <v>22643978.735425517</v>
      </c>
      <c r="CH226" s="195">
        <v>-3336897</v>
      </c>
      <c r="CI226" s="195">
        <v>-581297.7424099997</v>
      </c>
      <c r="CJ226" s="195">
        <v>104673062.1752236</v>
      </c>
      <c r="CL226" s="195">
        <v>53890</v>
      </c>
    </row>
    <row r="227" spans="1:90" ht="9.75">
      <c r="A227" s="195">
        <v>790</v>
      </c>
      <c r="B227" s="195" t="s">
        <v>294</v>
      </c>
      <c r="C227" s="195">
        <v>25062</v>
      </c>
      <c r="D227" s="195">
        <v>91399763.12</v>
      </c>
      <c r="E227" s="195">
        <v>33840199.728858165</v>
      </c>
      <c r="F227" s="195">
        <v>4740779.008717849</v>
      </c>
      <c r="G227" s="195">
        <v>129980741.85757603</v>
      </c>
      <c r="H227" s="195">
        <v>3540.31</v>
      </c>
      <c r="I227" s="195">
        <v>88727249.22</v>
      </c>
      <c r="J227" s="195">
        <v>41253492.63757603</v>
      </c>
      <c r="K227" s="195">
        <v>735319.1745545228</v>
      </c>
      <c r="L227" s="195">
        <v>5806969.066584608</v>
      </c>
      <c r="M227" s="195">
        <v>0</v>
      </c>
      <c r="N227" s="195">
        <v>47795780.87871516</v>
      </c>
      <c r="O227" s="195">
        <v>16715092.987257823</v>
      </c>
      <c r="P227" s="195">
        <v>64510873.86597298</v>
      </c>
      <c r="Q227" s="195">
        <v>1384</v>
      </c>
      <c r="R227" s="195">
        <v>259</v>
      </c>
      <c r="S227" s="195">
        <v>1626</v>
      </c>
      <c r="T227" s="195">
        <v>872</v>
      </c>
      <c r="U227" s="195">
        <v>885</v>
      </c>
      <c r="V227" s="195">
        <v>13338</v>
      </c>
      <c r="W227" s="195">
        <v>3572</v>
      </c>
      <c r="X227" s="195">
        <v>2124</v>
      </c>
      <c r="Y227" s="195">
        <v>1002</v>
      </c>
      <c r="Z227" s="195">
        <v>31</v>
      </c>
      <c r="AA227" s="195">
        <v>0</v>
      </c>
      <c r="AB227" s="195">
        <v>24400</v>
      </c>
      <c r="AC227" s="195">
        <v>631</v>
      </c>
      <c r="AD227" s="195">
        <v>6698</v>
      </c>
      <c r="AE227" s="195">
        <v>1.1887341497132666</v>
      </c>
      <c r="AF227" s="195">
        <v>33840199.728858165</v>
      </c>
      <c r="AG227" s="195">
        <v>9661192.559015539</v>
      </c>
      <c r="AH227" s="195">
        <v>2338056.0465621073</v>
      </c>
      <c r="AI227" s="195">
        <v>963267.1847797461</v>
      </c>
      <c r="AJ227" s="195">
        <v>1299</v>
      </c>
      <c r="AK227" s="195">
        <v>11127</v>
      </c>
      <c r="AL227" s="195">
        <v>0.8792444398640062</v>
      </c>
      <c r="AM227" s="195">
        <v>631</v>
      </c>
      <c r="AN227" s="195">
        <v>0.025177559652062885</v>
      </c>
      <c r="AO227" s="195">
        <v>0.021209305683808917</v>
      </c>
      <c r="AP227" s="195">
        <v>0</v>
      </c>
      <c r="AQ227" s="195">
        <v>31</v>
      </c>
      <c r="AR227" s="195">
        <v>0</v>
      </c>
      <c r="AS227" s="195">
        <v>0</v>
      </c>
      <c r="AT227" s="195">
        <v>0</v>
      </c>
      <c r="AU227" s="195">
        <v>1428.82</v>
      </c>
      <c r="AV227" s="195">
        <v>17.540347979451575</v>
      </c>
      <c r="AW227" s="195">
        <v>1.032209573641916</v>
      </c>
      <c r="AX227" s="195">
        <v>1058</v>
      </c>
      <c r="AY227" s="195">
        <v>7288</v>
      </c>
      <c r="AZ227" s="195">
        <v>0.1451701427003293</v>
      </c>
      <c r="BA227" s="195">
        <v>0.08014734249766083</v>
      </c>
      <c r="BB227" s="195">
        <v>0</v>
      </c>
      <c r="BC227" s="195">
        <v>8644</v>
      </c>
      <c r="BD227" s="195">
        <v>9649</v>
      </c>
      <c r="BE227" s="195">
        <v>0.8958441289252772</v>
      </c>
      <c r="BF227" s="195">
        <v>0.46490261088297113</v>
      </c>
      <c r="BG227" s="195">
        <v>0</v>
      </c>
      <c r="BH227" s="195">
        <v>0</v>
      </c>
      <c r="BI227" s="195">
        <v>0</v>
      </c>
      <c r="BJ227" s="195">
        <v>-6014.88</v>
      </c>
      <c r="BK227" s="195">
        <v>-102754.2</v>
      </c>
      <c r="BL227" s="195">
        <v>-7017.360000000001</v>
      </c>
      <c r="BM227" s="195">
        <v>-35838.659999999996</v>
      </c>
      <c r="BN227" s="195">
        <v>-1002.48</v>
      </c>
      <c r="BO227" s="195">
        <v>109921</v>
      </c>
      <c r="BP227" s="195">
        <v>-1054443.0071241094</v>
      </c>
      <c r="BQ227" s="195">
        <v>-2142049.14</v>
      </c>
      <c r="BR227" s="195">
        <v>314590.4163180054</v>
      </c>
      <c r="BS227" s="195">
        <v>2132215</v>
      </c>
      <c r="BT227" s="195">
        <v>693692</v>
      </c>
      <c r="BU227" s="195">
        <v>1590061.451839151</v>
      </c>
      <c r="BV227" s="195">
        <v>77740.95422471622</v>
      </c>
      <c r="BW227" s="195">
        <v>165931.79737755808</v>
      </c>
      <c r="BX227" s="195">
        <v>756892.1389919305</v>
      </c>
      <c r="BY227" s="195">
        <v>1316770.0858104366</v>
      </c>
      <c r="BZ227" s="195">
        <v>2130936.0600489173</v>
      </c>
      <c r="CA227" s="195">
        <v>650408.9942281862</v>
      </c>
      <c r="CB227" s="195">
        <v>2255.58</v>
      </c>
      <c r="CC227" s="195">
        <v>-47501.40513018501</v>
      </c>
      <c r="CD227" s="195">
        <v>9895417.793708717</v>
      </c>
      <c r="CE227" s="195">
        <v>5806969.066584608</v>
      </c>
      <c r="CF227" s="195">
        <v>0</v>
      </c>
      <c r="CG227" s="229">
        <v>16715092.987257823</v>
      </c>
      <c r="CH227" s="195">
        <v>-1697208</v>
      </c>
      <c r="CI227" s="195">
        <v>-58089.75279999996</v>
      </c>
      <c r="CJ227" s="195">
        <v>62813665.86597298</v>
      </c>
      <c r="CL227" s="195">
        <v>25220</v>
      </c>
    </row>
    <row r="228" spans="1:90" ht="9.75">
      <c r="A228" s="195">
        <v>738</v>
      </c>
      <c r="B228" s="195" t="s">
        <v>295</v>
      </c>
      <c r="C228" s="195">
        <v>3047</v>
      </c>
      <c r="D228" s="195">
        <v>10387109.79</v>
      </c>
      <c r="E228" s="195">
        <v>2821308.099891511</v>
      </c>
      <c r="F228" s="195">
        <v>534490.8719389988</v>
      </c>
      <c r="G228" s="195">
        <v>13742908.761830509</v>
      </c>
      <c r="H228" s="195">
        <v>3540.31</v>
      </c>
      <c r="I228" s="195">
        <v>10787324.57</v>
      </c>
      <c r="J228" s="195">
        <v>2955584.1918305084</v>
      </c>
      <c r="K228" s="195">
        <v>29329.598137659745</v>
      </c>
      <c r="L228" s="195">
        <v>643340.4263697974</v>
      </c>
      <c r="M228" s="195">
        <v>0</v>
      </c>
      <c r="N228" s="195">
        <v>3628254.216337966</v>
      </c>
      <c r="O228" s="195">
        <v>1423703.8187238078</v>
      </c>
      <c r="P228" s="195">
        <v>5051958.035061774</v>
      </c>
      <c r="Q228" s="195">
        <v>182</v>
      </c>
      <c r="R228" s="195">
        <v>43</v>
      </c>
      <c r="S228" s="195">
        <v>220</v>
      </c>
      <c r="T228" s="195">
        <v>111</v>
      </c>
      <c r="U228" s="195">
        <v>98</v>
      </c>
      <c r="V228" s="195">
        <v>1690</v>
      </c>
      <c r="W228" s="195">
        <v>435</v>
      </c>
      <c r="X228" s="195">
        <v>189</v>
      </c>
      <c r="Y228" s="195">
        <v>79</v>
      </c>
      <c r="Z228" s="195">
        <v>76</v>
      </c>
      <c r="AA228" s="195">
        <v>0</v>
      </c>
      <c r="AB228" s="195">
        <v>2905</v>
      </c>
      <c r="AC228" s="195">
        <v>66</v>
      </c>
      <c r="AD228" s="195">
        <v>703</v>
      </c>
      <c r="AE228" s="195">
        <v>0.8151651580866638</v>
      </c>
      <c r="AF228" s="195">
        <v>2821308.099891511</v>
      </c>
      <c r="AG228" s="195">
        <v>8743555.366083264</v>
      </c>
      <c r="AH228" s="195">
        <v>2512248.9014603538</v>
      </c>
      <c r="AI228" s="195">
        <v>829480.0757825593</v>
      </c>
      <c r="AJ228" s="195">
        <v>125</v>
      </c>
      <c r="AK228" s="195">
        <v>1408</v>
      </c>
      <c r="AL228" s="195">
        <v>0.6686301035192334</v>
      </c>
      <c r="AM228" s="195">
        <v>66</v>
      </c>
      <c r="AN228" s="195">
        <v>0.021660649819494584</v>
      </c>
      <c r="AO228" s="195">
        <v>0.017692395851240616</v>
      </c>
      <c r="AP228" s="195">
        <v>0</v>
      </c>
      <c r="AQ228" s="195">
        <v>76</v>
      </c>
      <c r="AR228" s="195">
        <v>0</v>
      </c>
      <c r="AS228" s="195">
        <v>0</v>
      </c>
      <c r="AT228" s="195">
        <v>0</v>
      </c>
      <c r="AU228" s="195">
        <v>252.61</v>
      </c>
      <c r="AV228" s="195">
        <v>12.062071968647322</v>
      </c>
      <c r="AW228" s="195">
        <v>1.5010120281541428</v>
      </c>
      <c r="AX228" s="195">
        <v>128</v>
      </c>
      <c r="AY228" s="195">
        <v>995</v>
      </c>
      <c r="AZ228" s="195">
        <v>0.12864321608040202</v>
      </c>
      <c r="BA228" s="195">
        <v>0.06362041587773355</v>
      </c>
      <c r="BB228" s="195">
        <v>0</v>
      </c>
      <c r="BC228" s="195">
        <v>741</v>
      </c>
      <c r="BD228" s="195">
        <v>1270</v>
      </c>
      <c r="BE228" s="195">
        <v>0.5834645669291338</v>
      </c>
      <c r="BF228" s="195">
        <v>0.15252304888682777</v>
      </c>
      <c r="BG228" s="195">
        <v>0</v>
      </c>
      <c r="BH228" s="195">
        <v>0</v>
      </c>
      <c r="BI228" s="195">
        <v>0</v>
      </c>
      <c r="BJ228" s="195">
        <v>-731.28</v>
      </c>
      <c r="BK228" s="195">
        <v>-12492.699999999999</v>
      </c>
      <c r="BL228" s="195">
        <v>-853.1600000000001</v>
      </c>
      <c r="BM228" s="195">
        <v>-4357.21</v>
      </c>
      <c r="BN228" s="195">
        <v>-121.88</v>
      </c>
      <c r="BO228" s="195">
        <v>-87894</v>
      </c>
      <c r="BP228" s="195">
        <v>-56523.74753559031</v>
      </c>
      <c r="BQ228" s="195">
        <v>-260427.09</v>
      </c>
      <c r="BR228" s="195">
        <v>-25972.495480962098</v>
      </c>
      <c r="BS228" s="195">
        <v>275701</v>
      </c>
      <c r="BT228" s="195">
        <v>85382</v>
      </c>
      <c r="BU228" s="195">
        <v>191068.64161105533</v>
      </c>
      <c r="BV228" s="195">
        <v>6790.062972697254</v>
      </c>
      <c r="BW228" s="195">
        <v>2703.277612326673</v>
      </c>
      <c r="BX228" s="195">
        <v>71784.76699329968</v>
      </c>
      <c r="BY228" s="195">
        <v>173816.3424855337</v>
      </c>
      <c r="BZ228" s="195">
        <v>286153.1203409527</v>
      </c>
      <c r="CA228" s="195">
        <v>83834.37015527081</v>
      </c>
      <c r="CB228" s="195">
        <v>274.23</v>
      </c>
      <c r="CC228" s="195">
        <v>4909.857215213526</v>
      </c>
      <c r="CD228" s="195">
        <v>1068733.9939053878</v>
      </c>
      <c r="CE228" s="195">
        <v>643340.4263697974</v>
      </c>
      <c r="CF228" s="195">
        <v>0</v>
      </c>
      <c r="CG228" s="229">
        <v>1423703.8187238078</v>
      </c>
      <c r="CH228" s="195">
        <v>-646269</v>
      </c>
      <c r="CI228" s="195">
        <v>-67971.26820000002</v>
      </c>
      <c r="CJ228" s="195">
        <v>4405689.035061774</v>
      </c>
      <c r="CL228" s="195">
        <v>3019</v>
      </c>
    </row>
    <row r="229" spans="1:90" ht="9.75">
      <c r="A229" s="195">
        <v>739</v>
      </c>
      <c r="B229" s="195" t="s">
        <v>296</v>
      </c>
      <c r="C229" s="195">
        <v>3534</v>
      </c>
      <c r="D229" s="195">
        <v>13774337.610000001</v>
      </c>
      <c r="E229" s="195">
        <v>5535526.68910672</v>
      </c>
      <c r="F229" s="195">
        <v>814202.3895051471</v>
      </c>
      <c r="G229" s="195">
        <v>20124066.68861187</v>
      </c>
      <c r="H229" s="195">
        <v>3540.31</v>
      </c>
      <c r="I229" s="195">
        <v>12511455.54</v>
      </c>
      <c r="J229" s="195">
        <v>7612611.14861187</v>
      </c>
      <c r="K229" s="195">
        <v>221270.37252062728</v>
      </c>
      <c r="L229" s="195">
        <v>1215098.685601423</v>
      </c>
      <c r="M229" s="195">
        <v>0</v>
      </c>
      <c r="N229" s="195">
        <v>9048980.20673392</v>
      </c>
      <c r="O229" s="195">
        <v>2345102.883539047</v>
      </c>
      <c r="P229" s="195">
        <v>11394083.090272967</v>
      </c>
      <c r="Q229" s="195">
        <v>136</v>
      </c>
      <c r="R229" s="195">
        <v>28</v>
      </c>
      <c r="S229" s="195">
        <v>172</v>
      </c>
      <c r="T229" s="195">
        <v>108</v>
      </c>
      <c r="U229" s="195">
        <v>98</v>
      </c>
      <c r="V229" s="195">
        <v>1710</v>
      </c>
      <c r="W229" s="195">
        <v>605</v>
      </c>
      <c r="X229" s="195">
        <v>475</v>
      </c>
      <c r="Y229" s="195">
        <v>202</v>
      </c>
      <c r="Z229" s="195">
        <v>4</v>
      </c>
      <c r="AA229" s="195">
        <v>0</v>
      </c>
      <c r="AB229" s="195">
        <v>3494</v>
      </c>
      <c r="AC229" s="195">
        <v>36</v>
      </c>
      <c r="AD229" s="195">
        <v>1282</v>
      </c>
      <c r="AE229" s="195">
        <v>1.3789862984967423</v>
      </c>
      <c r="AF229" s="195">
        <v>5535526.68910672</v>
      </c>
      <c r="AG229" s="195">
        <v>74673709.49797483</v>
      </c>
      <c r="AH229" s="195">
        <v>17872692.585059192</v>
      </c>
      <c r="AI229" s="195">
        <v>8169932.789428219</v>
      </c>
      <c r="AJ229" s="195">
        <v>179</v>
      </c>
      <c r="AK229" s="195">
        <v>1530</v>
      </c>
      <c r="AL229" s="195">
        <v>0.881130364706716</v>
      </c>
      <c r="AM229" s="195">
        <v>36</v>
      </c>
      <c r="AN229" s="195">
        <v>0.010186757215619695</v>
      </c>
      <c r="AO229" s="195">
        <v>0.006218503247365727</v>
      </c>
      <c r="AP229" s="195">
        <v>0</v>
      </c>
      <c r="AQ229" s="195">
        <v>4</v>
      </c>
      <c r="AR229" s="195">
        <v>0</v>
      </c>
      <c r="AS229" s="195">
        <v>0</v>
      </c>
      <c r="AT229" s="195">
        <v>0</v>
      </c>
      <c r="AU229" s="195">
        <v>539.57</v>
      </c>
      <c r="AV229" s="195">
        <v>6.549659914376262</v>
      </c>
      <c r="AW229" s="195">
        <v>2.7643137729426304</v>
      </c>
      <c r="AX229" s="195">
        <v>136</v>
      </c>
      <c r="AY229" s="195">
        <v>888</v>
      </c>
      <c r="AZ229" s="195">
        <v>0.15315315315315314</v>
      </c>
      <c r="BA229" s="195">
        <v>0.08813035295048467</v>
      </c>
      <c r="BB229" s="195">
        <v>0.172533</v>
      </c>
      <c r="BC229" s="195">
        <v>1140</v>
      </c>
      <c r="BD229" s="195">
        <v>1334</v>
      </c>
      <c r="BE229" s="195">
        <v>0.8545727136431784</v>
      </c>
      <c r="BF229" s="195">
        <v>0.42363119560087237</v>
      </c>
      <c r="BG229" s="195">
        <v>0</v>
      </c>
      <c r="BH229" s="195">
        <v>0</v>
      </c>
      <c r="BI229" s="195">
        <v>0</v>
      </c>
      <c r="BJ229" s="195">
        <v>-848.16</v>
      </c>
      <c r="BK229" s="195">
        <v>-14489.4</v>
      </c>
      <c r="BL229" s="195">
        <v>-989.5200000000001</v>
      </c>
      <c r="BM229" s="195">
        <v>-5053.62</v>
      </c>
      <c r="BN229" s="195">
        <v>-141.36</v>
      </c>
      <c r="BO229" s="195">
        <v>71974</v>
      </c>
      <c r="BP229" s="195">
        <v>-87036.56700170544</v>
      </c>
      <c r="BQ229" s="195">
        <v>-302050.98</v>
      </c>
      <c r="BR229" s="195">
        <v>17385.44724056311</v>
      </c>
      <c r="BS229" s="195">
        <v>404465</v>
      </c>
      <c r="BT229" s="195">
        <v>122158</v>
      </c>
      <c r="BU229" s="195">
        <v>311739.8156545589</v>
      </c>
      <c r="BV229" s="195">
        <v>16778.709372529363</v>
      </c>
      <c r="BW229" s="195">
        <v>32261.40038031776</v>
      </c>
      <c r="BX229" s="195">
        <v>141033.168890131</v>
      </c>
      <c r="BY229" s="195">
        <v>189766.33782475995</v>
      </c>
      <c r="BZ229" s="195">
        <v>320605.1702299171</v>
      </c>
      <c r="CA229" s="195">
        <v>96014.72447152567</v>
      </c>
      <c r="CB229" s="195">
        <v>318.06</v>
      </c>
      <c r="CC229" s="195">
        <v>5249.418538825426</v>
      </c>
      <c r="CD229" s="195">
        <v>1729961.2926031284</v>
      </c>
      <c r="CE229" s="195">
        <v>1215098.685601423</v>
      </c>
      <c r="CF229" s="195">
        <v>0</v>
      </c>
      <c r="CG229" s="229">
        <v>2345102.883539047</v>
      </c>
      <c r="CH229" s="195">
        <v>-9307</v>
      </c>
      <c r="CI229" s="195">
        <v>81320.4394</v>
      </c>
      <c r="CJ229" s="195">
        <v>11384776.090272967</v>
      </c>
      <c r="CL229" s="195">
        <v>3613</v>
      </c>
    </row>
    <row r="230" spans="1:90" ht="9.75">
      <c r="A230" s="195">
        <v>740</v>
      </c>
      <c r="B230" s="195" t="s">
        <v>297</v>
      </c>
      <c r="C230" s="195">
        <v>35242</v>
      </c>
      <c r="D230" s="195">
        <v>120251261.33000001</v>
      </c>
      <c r="E230" s="195">
        <v>51279315.314160235</v>
      </c>
      <c r="F230" s="195">
        <v>9902929.113890585</v>
      </c>
      <c r="G230" s="195">
        <v>181433505.75805083</v>
      </c>
      <c r="H230" s="195">
        <v>3540.31</v>
      </c>
      <c r="I230" s="195">
        <v>124767605.02</v>
      </c>
      <c r="J230" s="195">
        <v>56665900.73805083</v>
      </c>
      <c r="K230" s="195">
        <v>2335054.058159386</v>
      </c>
      <c r="L230" s="195">
        <v>8686123.997490078</v>
      </c>
      <c r="M230" s="195">
        <v>0</v>
      </c>
      <c r="N230" s="195">
        <v>67687078.79370031</v>
      </c>
      <c r="O230" s="195">
        <v>17907525.567800883</v>
      </c>
      <c r="P230" s="195">
        <v>85594604.36150119</v>
      </c>
      <c r="Q230" s="195">
        <v>1591</v>
      </c>
      <c r="R230" s="195">
        <v>306</v>
      </c>
      <c r="S230" s="195">
        <v>1909</v>
      </c>
      <c r="T230" s="195">
        <v>1052</v>
      </c>
      <c r="U230" s="195">
        <v>1088</v>
      </c>
      <c r="V230" s="195">
        <v>19254</v>
      </c>
      <c r="W230" s="195">
        <v>5490</v>
      </c>
      <c r="X230" s="195">
        <v>3264</v>
      </c>
      <c r="Y230" s="195">
        <v>1288</v>
      </c>
      <c r="Z230" s="195">
        <v>45</v>
      </c>
      <c r="AA230" s="195">
        <v>0</v>
      </c>
      <c r="AB230" s="195">
        <v>33945</v>
      </c>
      <c r="AC230" s="195">
        <v>1252</v>
      </c>
      <c r="AD230" s="195">
        <v>10042</v>
      </c>
      <c r="AE230" s="195">
        <v>1.281000260859907</v>
      </c>
      <c r="AF230" s="195">
        <v>51279315.314160235</v>
      </c>
      <c r="AG230" s="195">
        <v>3502179.824685709</v>
      </c>
      <c r="AH230" s="195">
        <v>788547.2044960503</v>
      </c>
      <c r="AI230" s="195">
        <v>428118.7487909983</v>
      </c>
      <c r="AJ230" s="195">
        <v>2536</v>
      </c>
      <c r="AK230" s="195">
        <v>15835</v>
      </c>
      <c r="AL230" s="195">
        <v>1.2061734067950158</v>
      </c>
      <c r="AM230" s="195">
        <v>1252</v>
      </c>
      <c r="AN230" s="195">
        <v>0.035525793087792974</v>
      </c>
      <c r="AO230" s="195">
        <v>0.031557539119539006</v>
      </c>
      <c r="AP230" s="195">
        <v>0</v>
      </c>
      <c r="AQ230" s="195">
        <v>45</v>
      </c>
      <c r="AR230" s="195">
        <v>0</v>
      </c>
      <c r="AS230" s="195">
        <v>3</v>
      </c>
      <c r="AT230" s="195">
        <v>5606</v>
      </c>
      <c r="AU230" s="195">
        <v>2239.02</v>
      </c>
      <c r="AV230" s="195">
        <v>15.739921930130146</v>
      </c>
      <c r="AW230" s="195">
        <v>1.150279854612395</v>
      </c>
      <c r="AX230" s="195">
        <v>1301</v>
      </c>
      <c r="AY230" s="195">
        <v>9815</v>
      </c>
      <c r="AZ230" s="195">
        <v>0.1325522159959246</v>
      </c>
      <c r="BA230" s="195">
        <v>0.06752941579325612</v>
      </c>
      <c r="BB230" s="195">
        <v>0.1453</v>
      </c>
      <c r="BC230" s="195">
        <v>13060</v>
      </c>
      <c r="BD230" s="195">
        <v>13033</v>
      </c>
      <c r="BE230" s="195">
        <v>1.002071664236937</v>
      </c>
      <c r="BF230" s="195">
        <v>0.5711301461946309</v>
      </c>
      <c r="BG230" s="195">
        <v>0</v>
      </c>
      <c r="BH230" s="195">
        <v>0</v>
      </c>
      <c r="BI230" s="195">
        <v>0</v>
      </c>
      <c r="BJ230" s="195">
        <v>-8458.08</v>
      </c>
      <c r="BK230" s="195">
        <v>-144492.19999999998</v>
      </c>
      <c r="BL230" s="195">
        <v>-9867.76</v>
      </c>
      <c r="BM230" s="195">
        <v>-50396.06</v>
      </c>
      <c r="BN230" s="195">
        <v>-1409.68</v>
      </c>
      <c r="BO230" s="195">
        <v>523093</v>
      </c>
      <c r="BP230" s="195">
        <v>-1420096.6305623087</v>
      </c>
      <c r="BQ230" s="195">
        <v>-3012133.7399999998</v>
      </c>
      <c r="BR230" s="195">
        <v>224198.56074189395</v>
      </c>
      <c r="BS230" s="195">
        <v>3134752</v>
      </c>
      <c r="BT230" s="195">
        <v>972657</v>
      </c>
      <c r="BU230" s="195">
        <v>2432360.2074209754</v>
      </c>
      <c r="BV230" s="195">
        <v>111060.45902521518</v>
      </c>
      <c r="BW230" s="195">
        <v>21440.63081911284</v>
      </c>
      <c r="BX230" s="195">
        <v>1185246.8266214402</v>
      </c>
      <c r="BY230" s="195">
        <v>1798370.0961450383</v>
      </c>
      <c r="BZ230" s="195">
        <v>2924603.959064982</v>
      </c>
      <c r="CA230" s="195">
        <v>936270.0209900279</v>
      </c>
      <c r="CB230" s="195">
        <v>3171.7799999999997</v>
      </c>
      <c r="CC230" s="195">
        <v>103278.08722370467</v>
      </c>
      <c r="CD230" s="195">
        <v>14372617.148052387</v>
      </c>
      <c r="CE230" s="195">
        <v>8686123.997490078</v>
      </c>
      <c r="CF230" s="195">
        <v>0</v>
      </c>
      <c r="CG230" s="229">
        <v>17907525.567800883</v>
      </c>
      <c r="CH230" s="195">
        <v>-2220309</v>
      </c>
      <c r="CI230" s="195">
        <v>-2471278.3547</v>
      </c>
      <c r="CJ230" s="195">
        <v>83374295.36150119</v>
      </c>
      <c r="CL230" s="195">
        <v>35523</v>
      </c>
    </row>
    <row r="231" spans="1:90" ht="9.75">
      <c r="A231" s="195">
        <v>742</v>
      </c>
      <c r="B231" s="195" t="s">
        <v>298</v>
      </c>
      <c r="C231" s="195">
        <v>1044</v>
      </c>
      <c r="D231" s="195">
        <v>3569591.7399999998</v>
      </c>
      <c r="E231" s="195">
        <v>1490688.5489646972</v>
      </c>
      <c r="F231" s="195">
        <v>966855.801074296</v>
      </c>
      <c r="G231" s="195">
        <v>6027136.090038993</v>
      </c>
      <c r="H231" s="195">
        <v>3540.31</v>
      </c>
      <c r="I231" s="195">
        <v>3696083.64</v>
      </c>
      <c r="J231" s="195">
        <v>2331052.4500389933</v>
      </c>
      <c r="K231" s="195">
        <v>1265270.3922569402</v>
      </c>
      <c r="L231" s="195">
        <v>533852.5388731813</v>
      </c>
      <c r="M231" s="195">
        <v>0</v>
      </c>
      <c r="N231" s="195">
        <v>4130175.3811691147</v>
      </c>
      <c r="O231" s="195">
        <v>316916.2876947124</v>
      </c>
      <c r="P231" s="195">
        <v>4447091.668863827</v>
      </c>
      <c r="Q231" s="195">
        <v>42</v>
      </c>
      <c r="R231" s="195">
        <v>9</v>
      </c>
      <c r="S231" s="195">
        <v>35</v>
      </c>
      <c r="T231" s="195">
        <v>37</v>
      </c>
      <c r="U231" s="195">
        <v>29</v>
      </c>
      <c r="V231" s="195">
        <v>571</v>
      </c>
      <c r="W231" s="195">
        <v>169</v>
      </c>
      <c r="X231" s="195">
        <v>111</v>
      </c>
      <c r="Y231" s="195">
        <v>41</v>
      </c>
      <c r="Z231" s="195">
        <v>2</v>
      </c>
      <c r="AA231" s="195">
        <v>1</v>
      </c>
      <c r="AB231" s="195">
        <v>1036</v>
      </c>
      <c r="AC231" s="195">
        <v>5</v>
      </c>
      <c r="AD231" s="195">
        <v>321</v>
      </c>
      <c r="AE231" s="195">
        <v>1.2570540856373658</v>
      </c>
      <c r="AF231" s="195">
        <v>1490688.5489646972</v>
      </c>
      <c r="AG231" s="195">
        <v>6285223.365747747</v>
      </c>
      <c r="AH231" s="195">
        <v>2376887.166079069</v>
      </c>
      <c r="AI231" s="195">
        <v>392442.18639174843</v>
      </c>
      <c r="AJ231" s="195">
        <v>97</v>
      </c>
      <c r="AK231" s="195">
        <v>517</v>
      </c>
      <c r="AL231" s="195">
        <v>1.4130572536672004</v>
      </c>
      <c r="AM231" s="195">
        <v>5</v>
      </c>
      <c r="AN231" s="195">
        <v>0.004789272030651341</v>
      </c>
      <c r="AO231" s="195">
        <v>0.0008210180623973726</v>
      </c>
      <c r="AP231" s="195">
        <v>0</v>
      </c>
      <c r="AQ231" s="195">
        <v>2</v>
      </c>
      <c r="AR231" s="195">
        <v>1</v>
      </c>
      <c r="AS231" s="195">
        <v>0</v>
      </c>
      <c r="AT231" s="195">
        <v>0</v>
      </c>
      <c r="AU231" s="195">
        <v>6438.65</v>
      </c>
      <c r="AV231" s="195">
        <v>0.16214579143143362</v>
      </c>
      <c r="AW231" s="195">
        <v>111.66071564094047</v>
      </c>
      <c r="AX231" s="195">
        <v>41</v>
      </c>
      <c r="AY231" s="195">
        <v>285</v>
      </c>
      <c r="AZ231" s="195">
        <v>0.14385964912280702</v>
      </c>
      <c r="BA231" s="195">
        <v>0.07883684892013855</v>
      </c>
      <c r="BB231" s="195">
        <v>1.896366</v>
      </c>
      <c r="BC231" s="195">
        <v>355</v>
      </c>
      <c r="BD231" s="195">
        <v>399</v>
      </c>
      <c r="BE231" s="195">
        <v>0.8897243107769424</v>
      </c>
      <c r="BF231" s="195">
        <v>0.4587827927346363</v>
      </c>
      <c r="BG231" s="195">
        <v>0</v>
      </c>
      <c r="BH231" s="195">
        <v>1</v>
      </c>
      <c r="BI231" s="195">
        <v>0</v>
      </c>
      <c r="BJ231" s="195">
        <v>-250.56</v>
      </c>
      <c r="BK231" s="195">
        <v>-4280.4</v>
      </c>
      <c r="BL231" s="195">
        <v>-292.32000000000005</v>
      </c>
      <c r="BM231" s="195">
        <v>-1492.9199999999998</v>
      </c>
      <c r="BN231" s="195">
        <v>-41.76</v>
      </c>
      <c r="BO231" s="195">
        <v>93901</v>
      </c>
      <c r="BP231" s="195">
        <v>-33013.8702420262</v>
      </c>
      <c r="BQ231" s="195">
        <v>-89230.68</v>
      </c>
      <c r="BR231" s="195">
        <v>106604.61965460237</v>
      </c>
      <c r="BS231" s="195">
        <v>109834</v>
      </c>
      <c r="BT231" s="195">
        <v>36537</v>
      </c>
      <c r="BU231" s="195">
        <v>107128.47253510478</v>
      </c>
      <c r="BV231" s="195">
        <v>6185.452639417533</v>
      </c>
      <c r="BW231" s="195">
        <v>17547.13801080827</v>
      </c>
      <c r="BX231" s="195">
        <v>43891.12617323774</v>
      </c>
      <c r="BY231" s="195">
        <v>62396.715269829845</v>
      </c>
      <c r="BZ231" s="195">
        <v>97408.82513247551</v>
      </c>
      <c r="CA231" s="195">
        <v>29274.54965313204</v>
      </c>
      <c r="CB231" s="195">
        <v>93.96</v>
      </c>
      <c r="CC231" s="195">
        <v>-17612.449953400366</v>
      </c>
      <c r="CD231" s="195">
        <v>693253.0491152075</v>
      </c>
      <c r="CE231" s="195">
        <v>533852.5388731813</v>
      </c>
      <c r="CF231" s="195">
        <v>0</v>
      </c>
      <c r="CG231" s="229">
        <v>316916.2876947124</v>
      </c>
      <c r="CH231" s="195">
        <v>-26200</v>
      </c>
      <c r="CI231" s="195">
        <v>-12971.118500000002</v>
      </c>
      <c r="CJ231" s="195">
        <v>4420891.668863827</v>
      </c>
      <c r="CL231" s="195">
        <v>1061</v>
      </c>
    </row>
    <row r="232" spans="1:90" ht="9.75">
      <c r="A232" s="195">
        <v>743</v>
      </c>
      <c r="B232" s="195" t="s">
        <v>299</v>
      </c>
      <c r="C232" s="195">
        <v>62052</v>
      </c>
      <c r="D232" s="195">
        <v>208292856.64000005</v>
      </c>
      <c r="E232" s="195">
        <v>72394818.55265693</v>
      </c>
      <c r="F232" s="195">
        <v>8679893.201061312</v>
      </c>
      <c r="G232" s="195">
        <v>289367568.3937183</v>
      </c>
      <c r="H232" s="195">
        <v>3540.31</v>
      </c>
      <c r="I232" s="195">
        <v>219683316.12</v>
      </c>
      <c r="J232" s="195">
        <v>69684252.2737183</v>
      </c>
      <c r="K232" s="195">
        <v>2674047.8246199433</v>
      </c>
      <c r="L232" s="195">
        <v>9515089.491210096</v>
      </c>
      <c r="M232" s="195">
        <v>0</v>
      </c>
      <c r="N232" s="195">
        <v>81873389.58954835</v>
      </c>
      <c r="O232" s="195">
        <v>15596084.614552343</v>
      </c>
      <c r="P232" s="195">
        <v>97469474.2041007</v>
      </c>
      <c r="Q232" s="195">
        <v>4590</v>
      </c>
      <c r="R232" s="195">
        <v>752</v>
      </c>
      <c r="S232" s="195">
        <v>4378</v>
      </c>
      <c r="T232" s="195">
        <v>2108</v>
      </c>
      <c r="U232" s="195">
        <v>2168</v>
      </c>
      <c r="V232" s="195">
        <v>36631</v>
      </c>
      <c r="W232" s="195">
        <v>6468</v>
      </c>
      <c r="X232" s="195">
        <v>3501</v>
      </c>
      <c r="Y232" s="195">
        <v>1456</v>
      </c>
      <c r="Z232" s="195">
        <v>125</v>
      </c>
      <c r="AA232" s="195">
        <v>5</v>
      </c>
      <c r="AB232" s="195">
        <v>60433</v>
      </c>
      <c r="AC232" s="195">
        <v>1489</v>
      </c>
      <c r="AD232" s="195">
        <v>11425</v>
      </c>
      <c r="AE232" s="195">
        <v>1.027115415418109</v>
      </c>
      <c r="AF232" s="195">
        <v>72394818.55265693</v>
      </c>
      <c r="AG232" s="195">
        <v>61365459.20360147</v>
      </c>
      <c r="AH232" s="195">
        <v>15685621.28989394</v>
      </c>
      <c r="AI232" s="195">
        <v>5895551.936476041</v>
      </c>
      <c r="AJ232" s="195">
        <v>3343</v>
      </c>
      <c r="AK232" s="195">
        <v>30208</v>
      </c>
      <c r="AL232" s="195">
        <v>0.8334757558207718</v>
      </c>
      <c r="AM232" s="195">
        <v>1489</v>
      </c>
      <c r="AN232" s="195">
        <v>0.023996003352027333</v>
      </c>
      <c r="AO232" s="195">
        <v>0.020027749383773365</v>
      </c>
      <c r="AP232" s="195">
        <v>0</v>
      </c>
      <c r="AQ232" s="195">
        <v>125</v>
      </c>
      <c r="AR232" s="195">
        <v>5</v>
      </c>
      <c r="AS232" s="195">
        <v>0</v>
      </c>
      <c r="AT232" s="195">
        <v>0</v>
      </c>
      <c r="AU232" s="195">
        <v>1431.79</v>
      </c>
      <c r="AV232" s="195">
        <v>43.338757778724535</v>
      </c>
      <c r="AW232" s="195">
        <v>0.417762668737327</v>
      </c>
      <c r="AX232" s="195">
        <v>1814</v>
      </c>
      <c r="AY232" s="195">
        <v>18968</v>
      </c>
      <c r="AZ232" s="195">
        <v>0.09563475326866301</v>
      </c>
      <c r="BA232" s="195">
        <v>0.03061195306599454</v>
      </c>
      <c r="BB232" s="195">
        <v>0</v>
      </c>
      <c r="BC232" s="195">
        <v>29446</v>
      </c>
      <c r="BD232" s="195">
        <v>26438</v>
      </c>
      <c r="BE232" s="195">
        <v>1.113775625992889</v>
      </c>
      <c r="BF232" s="195">
        <v>0.682834107950583</v>
      </c>
      <c r="BG232" s="195">
        <v>0</v>
      </c>
      <c r="BH232" s="195">
        <v>5</v>
      </c>
      <c r="BI232" s="195">
        <v>0</v>
      </c>
      <c r="BJ232" s="195">
        <v>-14892.48</v>
      </c>
      <c r="BK232" s="195">
        <v>-254413.19999999998</v>
      </c>
      <c r="BL232" s="195">
        <v>-17374.56</v>
      </c>
      <c r="BM232" s="195">
        <v>-88734.36</v>
      </c>
      <c r="BN232" s="195">
        <v>-2482.08</v>
      </c>
      <c r="BO232" s="195">
        <v>461848</v>
      </c>
      <c r="BP232" s="195">
        <v>-3473459.3175853016</v>
      </c>
      <c r="BQ232" s="195">
        <v>-5303584.4399999995</v>
      </c>
      <c r="BR232" s="195">
        <v>89519.31668151915</v>
      </c>
      <c r="BS232" s="195">
        <v>3978804</v>
      </c>
      <c r="BT232" s="195">
        <v>1391477</v>
      </c>
      <c r="BU232" s="195">
        <v>3226519.989374259</v>
      </c>
      <c r="BV232" s="195">
        <v>102023.61029979105</v>
      </c>
      <c r="BW232" s="195">
        <v>237407.69299697477</v>
      </c>
      <c r="BX232" s="195">
        <v>1427481.3590565426</v>
      </c>
      <c r="BY232" s="195">
        <v>3172709.9227266847</v>
      </c>
      <c r="BZ232" s="195">
        <v>4787147.299027099</v>
      </c>
      <c r="CA232" s="195">
        <v>1652035.983240322</v>
      </c>
      <c r="CB232" s="195">
        <v>5584.679999999999</v>
      </c>
      <c r="CC232" s="195">
        <v>-35718.04460779624</v>
      </c>
      <c r="CD232" s="195">
        <v>20500563.928795397</v>
      </c>
      <c r="CE232" s="195">
        <v>9515089.491210096</v>
      </c>
      <c r="CF232" s="195">
        <v>0</v>
      </c>
      <c r="CG232" s="229">
        <v>15596084.614552343</v>
      </c>
      <c r="CH232" s="195">
        <v>-2449019</v>
      </c>
      <c r="CI232" s="195">
        <v>-102347.99129999988</v>
      </c>
      <c r="CJ232" s="195">
        <v>95020455.2041007</v>
      </c>
      <c r="CL232" s="195">
        <v>61530</v>
      </c>
    </row>
    <row r="233" spans="1:90" ht="9.75">
      <c r="A233" s="195">
        <v>746</v>
      </c>
      <c r="B233" s="195" t="s">
        <v>300</v>
      </c>
      <c r="C233" s="195">
        <v>5069</v>
      </c>
      <c r="D233" s="195">
        <v>21074407.61</v>
      </c>
      <c r="E233" s="195">
        <v>7750065.834823226</v>
      </c>
      <c r="F233" s="195">
        <v>1179815.8733451809</v>
      </c>
      <c r="G233" s="195">
        <v>30004289.318168405</v>
      </c>
      <c r="H233" s="195">
        <v>3540.31</v>
      </c>
      <c r="I233" s="195">
        <v>17945831.39</v>
      </c>
      <c r="J233" s="195">
        <v>12058457.928168405</v>
      </c>
      <c r="K233" s="195">
        <v>255428.87385525758</v>
      </c>
      <c r="L233" s="195">
        <v>931421.071504192</v>
      </c>
      <c r="M233" s="195">
        <v>0</v>
      </c>
      <c r="N233" s="195">
        <v>13245307.873527855</v>
      </c>
      <c r="O233" s="195">
        <v>4715484.903753564</v>
      </c>
      <c r="P233" s="195">
        <v>17960792.77728142</v>
      </c>
      <c r="Q233" s="195">
        <v>482</v>
      </c>
      <c r="R233" s="195">
        <v>94</v>
      </c>
      <c r="S233" s="195">
        <v>601</v>
      </c>
      <c r="T233" s="195">
        <v>261</v>
      </c>
      <c r="U233" s="195">
        <v>276</v>
      </c>
      <c r="V233" s="195">
        <v>2469</v>
      </c>
      <c r="W233" s="195">
        <v>474</v>
      </c>
      <c r="X233" s="195">
        <v>277</v>
      </c>
      <c r="Y233" s="195">
        <v>135</v>
      </c>
      <c r="Z233" s="195">
        <v>8</v>
      </c>
      <c r="AA233" s="195">
        <v>1</v>
      </c>
      <c r="AB233" s="195">
        <v>4981</v>
      </c>
      <c r="AC233" s="195">
        <v>79</v>
      </c>
      <c r="AD233" s="195">
        <v>886</v>
      </c>
      <c r="AE233" s="195">
        <v>1.3460173184417168</v>
      </c>
      <c r="AF233" s="195">
        <v>7750065.834823226</v>
      </c>
      <c r="AG233" s="195">
        <v>1955967.4320869686</v>
      </c>
      <c r="AH233" s="195">
        <v>411519.2986710101</v>
      </c>
      <c r="AI233" s="195">
        <v>160544.53079662437</v>
      </c>
      <c r="AJ233" s="195">
        <v>227</v>
      </c>
      <c r="AK233" s="195">
        <v>2000</v>
      </c>
      <c r="AL233" s="195">
        <v>0.8548195166656133</v>
      </c>
      <c r="AM233" s="195">
        <v>79</v>
      </c>
      <c r="AN233" s="195">
        <v>0.015584927993687117</v>
      </c>
      <c r="AO233" s="195">
        <v>0.011616674025433149</v>
      </c>
      <c r="AP233" s="195">
        <v>0</v>
      </c>
      <c r="AQ233" s="195">
        <v>8</v>
      </c>
      <c r="AR233" s="195">
        <v>1</v>
      </c>
      <c r="AS233" s="195">
        <v>0</v>
      </c>
      <c r="AT233" s="195">
        <v>0</v>
      </c>
      <c r="AU233" s="195">
        <v>787.33</v>
      </c>
      <c r="AV233" s="195">
        <v>6.4382152337647485</v>
      </c>
      <c r="AW233" s="195">
        <v>2.812163690093576</v>
      </c>
      <c r="AX233" s="195">
        <v>182</v>
      </c>
      <c r="AY233" s="195">
        <v>1358</v>
      </c>
      <c r="AZ233" s="195">
        <v>0.13402061855670103</v>
      </c>
      <c r="BA233" s="195">
        <v>0.06899781835403256</v>
      </c>
      <c r="BB233" s="195">
        <v>0</v>
      </c>
      <c r="BC233" s="195">
        <v>2133</v>
      </c>
      <c r="BD233" s="195">
        <v>1735</v>
      </c>
      <c r="BE233" s="195">
        <v>1.2293948126801153</v>
      </c>
      <c r="BF233" s="195">
        <v>0.7984532946378092</v>
      </c>
      <c r="BG233" s="195">
        <v>0</v>
      </c>
      <c r="BH233" s="195">
        <v>1</v>
      </c>
      <c r="BI233" s="195">
        <v>0</v>
      </c>
      <c r="BJ233" s="195">
        <v>-1216.56</v>
      </c>
      <c r="BK233" s="195">
        <v>-20782.899999999998</v>
      </c>
      <c r="BL233" s="195">
        <v>-1419.3200000000002</v>
      </c>
      <c r="BM233" s="195">
        <v>-7248.67</v>
      </c>
      <c r="BN233" s="195">
        <v>-202.76</v>
      </c>
      <c r="BO233" s="195">
        <v>-98522</v>
      </c>
      <c r="BP233" s="195">
        <v>-175573.76446895752</v>
      </c>
      <c r="BQ233" s="195">
        <v>-433247.43</v>
      </c>
      <c r="BR233" s="195">
        <v>-93567.0326451771</v>
      </c>
      <c r="BS233" s="195">
        <v>462947</v>
      </c>
      <c r="BT233" s="195">
        <v>137655</v>
      </c>
      <c r="BU233" s="195">
        <v>343284.8799799744</v>
      </c>
      <c r="BV233" s="195">
        <v>13713.831083321365</v>
      </c>
      <c r="BW233" s="195">
        <v>41211.212880320585</v>
      </c>
      <c r="BX233" s="195">
        <v>189663.91626609047</v>
      </c>
      <c r="BY233" s="195">
        <v>254083.69828550037</v>
      </c>
      <c r="BZ233" s="195">
        <v>421469.8857876907</v>
      </c>
      <c r="CA233" s="195">
        <v>90794.88184680417</v>
      </c>
      <c r="CB233" s="195">
        <v>456.21</v>
      </c>
      <c r="CC233" s="195">
        <v>-42847.64751137537</v>
      </c>
      <c r="CD233" s="195">
        <v>1720647.9759731495</v>
      </c>
      <c r="CE233" s="195">
        <v>931421.071504192</v>
      </c>
      <c r="CF233" s="195">
        <v>0</v>
      </c>
      <c r="CG233" s="229">
        <v>4715484.903753564</v>
      </c>
      <c r="CH233" s="195">
        <v>198838</v>
      </c>
      <c r="CI233" s="195">
        <v>-16321.4476</v>
      </c>
      <c r="CJ233" s="195">
        <v>18159630.77728142</v>
      </c>
      <c r="CL233" s="195">
        <v>5124</v>
      </c>
    </row>
    <row r="234" spans="1:90" ht="9.75">
      <c r="A234" s="195">
        <v>747</v>
      </c>
      <c r="B234" s="195" t="s">
        <v>301</v>
      </c>
      <c r="C234" s="195">
        <v>1494</v>
      </c>
      <c r="D234" s="195">
        <v>5479659.77</v>
      </c>
      <c r="E234" s="195">
        <v>1887046.6330883063</v>
      </c>
      <c r="F234" s="195">
        <v>596688.6496525018</v>
      </c>
      <c r="G234" s="195">
        <v>7963395.052740808</v>
      </c>
      <c r="H234" s="195">
        <v>3540.31</v>
      </c>
      <c r="I234" s="195">
        <v>5289223.14</v>
      </c>
      <c r="J234" s="195">
        <v>2674171.912740808</v>
      </c>
      <c r="K234" s="195">
        <v>114524.64875285959</v>
      </c>
      <c r="L234" s="195">
        <v>697779.1238685214</v>
      </c>
      <c r="M234" s="195">
        <v>0</v>
      </c>
      <c r="N234" s="195">
        <v>3486475.685362189</v>
      </c>
      <c r="O234" s="195">
        <v>1536412.0287466666</v>
      </c>
      <c r="P234" s="195">
        <v>5022887.714108855</v>
      </c>
      <c r="Q234" s="195">
        <v>68</v>
      </c>
      <c r="R234" s="195">
        <v>14</v>
      </c>
      <c r="S234" s="195">
        <v>68</v>
      </c>
      <c r="T234" s="195">
        <v>49</v>
      </c>
      <c r="U234" s="195">
        <v>50</v>
      </c>
      <c r="V234" s="195">
        <v>749</v>
      </c>
      <c r="W234" s="195">
        <v>245</v>
      </c>
      <c r="X234" s="195">
        <v>188</v>
      </c>
      <c r="Y234" s="195">
        <v>63</v>
      </c>
      <c r="Z234" s="195">
        <v>4</v>
      </c>
      <c r="AA234" s="195">
        <v>0</v>
      </c>
      <c r="AB234" s="195">
        <v>1471</v>
      </c>
      <c r="AC234" s="195">
        <v>19</v>
      </c>
      <c r="AD234" s="195">
        <v>496</v>
      </c>
      <c r="AE234" s="195">
        <v>1.111986673253511</v>
      </c>
      <c r="AF234" s="195">
        <v>1887046.6330883063</v>
      </c>
      <c r="AG234" s="195">
        <v>87958799.15030009</v>
      </c>
      <c r="AH234" s="195">
        <v>21684859.43987308</v>
      </c>
      <c r="AI234" s="195">
        <v>9204553.099006463</v>
      </c>
      <c r="AJ234" s="195">
        <v>103</v>
      </c>
      <c r="AK234" s="195">
        <v>613</v>
      </c>
      <c r="AL234" s="195">
        <v>1.2654800930867642</v>
      </c>
      <c r="AM234" s="195">
        <v>19</v>
      </c>
      <c r="AN234" s="195">
        <v>0.012717536813922356</v>
      </c>
      <c r="AO234" s="195">
        <v>0.008749282845668388</v>
      </c>
      <c r="AP234" s="195">
        <v>0</v>
      </c>
      <c r="AQ234" s="195">
        <v>4</v>
      </c>
      <c r="AR234" s="195">
        <v>0</v>
      </c>
      <c r="AS234" s="195">
        <v>0</v>
      </c>
      <c r="AT234" s="195">
        <v>0</v>
      </c>
      <c r="AU234" s="195">
        <v>463.19</v>
      </c>
      <c r="AV234" s="195">
        <v>3.225458235281418</v>
      </c>
      <c r="AW234" s="195">
        <v>5.613253618154779</v>
      </c>
      <c r="AX234" s="195">
        <v>81</v>
      </c>
      <c r="AY234" s="195">
        <v>393</v>
      </c>
      <c r="AZ234" s="195">
        <v>0.20610687022900764</v>
      </c>
      <c r="BA234" s="195">
        <v>0.14108407002633916</v>
      </c>
      <c r="BB234" s="195">
        <v>0.230933</v>
      </c>
      <c r="BC234" s="195">
        <v>445</v>
      </c>
      <c r="BD234" s="195">
        <v>503</v>
      </c>
      <c r="BE234" s="195">
        <v>0.8846918489065606</v>
      </c>
      <c r="BF234" s="195">
        <v>0.45375033086425454</v>
      </c>
      <c r="BG234" s="195">
        <v>0</v>
      </c>
      <c r="BH234" s="195">
        <v>0</v>
      </c>
      <c r="BI234" s="195">
        <v>0</v>
      </c>
      <c r="BJ234" s="195">
        <v>-358.56</v>
      </c>
      <c r="BK234" s="195">
        <v>-6125.4</v>
      </c>
      <c r="BL234" s="195">
        <v>-418.32000000000005</v>
      </c>
      <c r="BM234" s="195">
        <v>-2136.42</v>
      </c>
      <c r="BN234" s="195">
        <v>-59.76</v>
      </c>
      <c r="BO234" s="195">
        <v>47662</v>
      </c>
      <c r="BP234" s="195">
        <v>-26511.138224657403</v>
      </c>
      <c r="BQ234" s="195">
        <v>-127692.18</v>
      </c>
      <c r="BR234" s="195">
        <v>109608.27899000607</v>
      </c>
      <c r="BS234" s="195">
        <v>194214</v>
      </c>
      <c r="BT234" s="195">
        <v>52652</v>
      </c>
      <c r="BU234" s="195">
        <v>152870.6242828669</v>
      </c>
      <c r="BV234" s="195">
        <v>8275.73137988836</v>
      </c>
      <c r="BW234" s="195">
        <v>23177.556399739366</v>
      </c>
      <c r="BX234" s="195">
        <v>76240.89283177744</v>
      </c>
      <c r="BY234" s="195">
        <v>87562.76628336812</v>
      </c>
      <c r="BZ234" s="195">
        <v>132934.73593552804</v>
      </c>
      <c r="CA234" s="195">
        <v>33733.718091983086</v>
      </c>
      <c r="CB234" s="195">
        <v>134.46</v>
      </c>
      <c r="CC234" s="195">
        <v>-14002.502101978618</v>
      </c>
      <c r="CD234" s="195">
        <v>905153.9020931788</v>
      </c>
      <c r="CE234" s="195">
        <v>697779.1238685214</v>
      </c>
      <c r="CF234" s="195">
        <v>0</v>
      </c>
      <c r="CG234" s="229">
        <v>1536412.0287466666</v>
      </c>
      <c r="CH234" s="195">
        <v>-242055</v>
      </c>
      <c r="CI234" s="195">
        <v>-10494.221500000014</v>
      </c>
      <c r="CJ234" s="195">
        <v>4780832.714108855</v>
      </c>
      <c r="CL234" s="195">
        <v>1527</v>
      </c>
    </row>
    <row r="235" spans="1:90" ht="9.75">
      <c r="A235" s="195">
        <v>748</v>
      </c>
      <c r="B235" s="195" t="s">
        <v>302</v>
      </c>
      <c r="C235" s="195">
        <v>5366</v>
      </c>
      <c r="D235" s="195">
        <v>20738437.48</v>
      </c>
      <c r="E235" s="195">
        <v>8100301.365685251</v>
      </c>
      <c r="F235" s="195">
        <v>1388370.028792874</v>
      </c>
      <c r="G235" s="195">
        <v>30227108.874478124</v>
      </c>
      <c r="H235" s="195">
        <v>3540.31</v>
      </c>
      <c r="I235" s="195">
        <v>18997303.46</v>
      </c>
      <c r="J235" s="195">
        <v>11229805.414478123</v>
      </c>
      <c r="K235" s="195">
        <v>140503.12130779284</v>
      </c>
      <c r="L235" s="195">
        <v>1375319.4816910785</v>
      </c>
      <c r="M235" s="195">
        <v>0</v>
      </c>
      <c r="N235" s="195">
        <v>12745628.017476995</v>
      </c>
      <c r="O235" s="195">
        <v>4914686.913927271</v>
      </c>
      <c r="P235" s="195">
        <v>17660314.931404267</v>
      </c>
      <c r="Q235" s="195">
        <v>440</v>
      </c>
      <c r="R235" s="195">
        <v>91</v>
      </c>
      <c r="S235" s="195">
        <v>494</v>
      </c>
      <c r="T235" s="195">
        <v>258</v>
      </c>
      <c r="U235" s="195">
        <v>226</v>
      </c>
      <c r="V235" s="195">
        <v>2774</v>
      </c>
      <c r="W235" s="195">
        <v>630</v>
      </c>
      <c r="X235" s="195">
        <v>303</v>
      </c>
      <c r="Y235" s="195">
        <v>150</v>
      </c>
      <c r="Z235" s="195">
        <v>2</v>
      </c>
      <c r="AA235" s="195">
        <v>0</v>
      </c>
      <c r="AB235" s="195">
        <v>5297</v>
      </c>
      <c r="AC235" s="195">
        <v>67</v>
      </c>
      <c r="AD235" s="195">
        <v>1083</v>
      </c>
      <c r="AE235" s="195">
        <v>1.3289788079022644</v>
      </c>
      <c r="AF235" s="195">
        <v>8100301.365685251</v>
      </c>
      <c r="AG235" s="195">
        <v>8880867.24675679</v>
      </c>
      <c r="AH235" s="195">
        <v>2739537.3687593453</v>
      </c>
      <c r="AI235" s="195">
        <v>1105973.4343767457</v>
      </c>
      <c r="AJ235" s="195">
        <v>261</v>
      </c>
      <c r="AK235" s="195">
        <v>2250</v>
      </c>
      <c r="AL235" s="195">
        <v>0.8736481403807149</v>
      </c>
      <c r="AM235" s="195">
        <v>67</v>
      </c>
      <c r="AN235" s="195">
        <v>0.012486023108460679</v>
      </c>
      <c r="AO235" s="195">
        <v>0.00851776914020671</v>
      </c>
      <c r="AP235" s="195">
        <v>0</v>
      </c>
      <c r="AQ235" s="195">
        <v>2</v>
      </c>
      <c r="AR235" s="195">
        <v>0</v>
      </c>
      <c r="AS235" s="195">
        <v>0</v>
      </c>
      <c r="AT235" s="195">
        <v>0</v>
      </c>
      <c r="AU235" s="195">
        <v>1051.43</v>
      </c>
      <c r="AV235" s="195">
        <v>5.103525674557507</v>
      </c>
      <c r="AW235" s="195">
        <v>3.5476092928581853</v>
      </c>
      <c r="AX235" s="195">
        <v>209</v>
      </c>
      <c r="AY235" s="195">
        <v>1503</v>
      </c>
      <c r="AZ235" s="195">
        <v>0.13905522288755823</v>
      </c>
      <c r="BA235" s="195">
        <v>0.07403242268488976</v>
      </c>
      <c r="BB235" s="195">
        <v>0</v>
      </c>
      <c r="BC235" s="195">
        <v>1635</v>
      </c>
      <c r="BD235" s="195">
        <v>1933</v>
      </c>
      <c r="BE235" s="195">
        <v>0.8458354888773927</v>
      </c>
      <c r="BF235" s="195">
        <v>0.4148939708350866</v>
      </c>
      <c r="BG235" s="195">
        <v>0</v>
      </c>
      <c r="BH235" s="195">
        <v>0</v>
      </c>
      <c r="BI235" s="195">
        <v>0</v>
      </c>
      <c r="BJ235" s="195">
        <v>-1287.84</v>
      </c>
      <c r="BK235" s="195">
        <v>-22000.6</v>
      </c>
      <c r="BL235" s="195">
        <v>-1502.4800000000002</v>
      </c>
      <c r="BM235" s="195">
        <v>-7673.38</v>
      </c>
      <c r="BN235" s="195">
        <v>-214.64000000000001</v>
      </c>
      <c r="BO235" s="195">
        <v>70971</v>
      </c>
      <c r="BP235" s="195">
        <v>-75031.52327733226</v>
      </c>
      <c r="BQ235" s="195">
        <v>-458632.02</v>
      </c>
      <c r="BR235" s="195">
        <v>-83113.75313581899</v>
      </c>
      <c r="BS235" s="195">
        <v>465420</v>
      </c>
      <c r="BT235" s="195">
        <v>151091</v>
      </c>
      <c r="BU235" s="195">
        <v>374569.73627007403</v>
      </c>
      <c r="BV235" s="195">
        <v>18315.786693797167</v>
      </c>
      <c r="BW235" s="195">
        <v>52426.30817274111</v>
      </c>
      <c r="BX235" s="195">
        <v>175422.2095034288</v>
      </c>
      <c r="BY235" s="195">
        <v>273513.79267517006</v>
      </c>
      <c r="BZ235" s="195">
        <v>475831.0389942756</v>
      </c>
      <c r="CA235" s="195">
        <v>99293.32065290122</v>
      </c>
      <c r="CB235" s="195">
        <v>482.94</v>
      </c>
      <c r="CC235" s="195">
        <v>25413.62514184197</v>
      </c>
      <c r="CD235" s="195">
        <v>2099958.964968411</v>
      </c>
      <c r="CE235" s="195">
        <v>1375319.4816910785</v>
      </c>
      <c r="CF235" s="195">
        <v>0</v>
      </c>
      <c r="CG235" s="229">
        <v>4914686.913927271</v>
      </c>
      <c r="CH235" s="195">
        <v>174567</v>
      </c>
      <c r="CI235" s="195">
        <v>148679.00149999998</v>
      </c>
      <c r="CJ235" s="195">
        <v>17834881.931404267</v>
      </c>
      <c r="CL235" s="195">
        <v>5466</v>
      </c>
    </row>
    <row r="236" spans="1:90" ht="9.75">
      <c r="A236" s="195">
        <v>791</v>
      </c>
      <c r="B236" s="195" t="s">
        <v>303</v>
      </c>
      <c r="C236" s="195">
        <v>5583</v>
      </c>
      <c r="D236" s="195">
        <v>21055359.080000002</v>
      </c>
      <c r="E236" s="195">
        <v>9851988.697325626</v>
      </c>
      <c r="F236" s="195">
        <v>2119932.9892613837</v>
      </c>
      <c r="G236" s="195">
        <v>33027280.766587015</v>
      </c>
      <c r="H236" s="195">
        <v>3540.31</v>
      </c>
      <c r="I236" s="195">
        <v>19765550.73</v>
      </c>
      <c r="J236" s="195">
        <v>13261730.036587015</v>
      </c>
      <c r="K236" s="195">
        <v>2146541.298225942</v>
      </c>
      <c r="L236" s="195">
        <v>1722156.9161781094</v>
      </c>
      <c r="M236" s="195">
        <v>0</v>
      </c>
      <c r="N236" s="195">
        <v>17130428.25099107</v>
      </c>
      <c r="O236" s="195">
        <v>5759482.979822023</v>
      </c>
      <c r="P236" s="195">
        <v>22889911.230813093</v>
      </c>
      <c r="Q236" s="195">
        <v>301</v>
      </c>
      <c r="R236" s="195">
        <v>67</v>
      </c>
      <c r="S236" s="195">
        <v>379</v>
      </c>
      <c r="T236" s="195">
        <v>183</v>
      </c>
      <c r="U236" s="195">
        <v>204</v>
      </c>
      <c r="V236" s="195">
        <v>2873</v>
      </c>
      <c r="W236" s="195">
        <v>760</v>
      </c>
      <c r="X236" s="195">
        <v>580</v>
      </c>
      <c r="Y236" s="195">
        <v>236</v>
      </c>
      <c r="Z236" s="195">
        <v>3</v>
      </c>
      <c r="AA236" s="195">
        <v>0</v>
      </c>
      <c r="AB236" s="195">
        <v>5537</v>
      </c>
      <c r="AC236" s="195">
        <v>43</v>
      </c>
      <c r="AD236" s="195">
        <v>1576</v>
      </c>
      <c r="AE236" s="195">
        <v>1.5535449525947205</v>
      </c>
      <c r="AF236" s="195">
        <v>9851988.697325626</v>
      </c>
      <c r="AG236" s="195">
        <v>7772856.844863772</v>
      </c>
      <c r="AH236" s="195">
        <v>1732116.9930306617</v>
      </c>
      <c r="AI236" s="195">
        <v>802722.6539831219</v>
      </c>
      <c r="AJ236" s="195">
        <v>272</v>
      </c>
      <c r="AK236" s="195">
        <v>2411</v>
      </c>
      <c r="AL236" s="195">
        <v>0.8496699544599982</v>
      </c>
      <c r="AM236" s="195">
        <v>43</v>
      </c>
      <c r="AN236" s="195">
        <v>0.0077019523553645</v>
      </c>
      <c r="AO236" s="195">
        <v>0.0037336983871105317</v>
      </c>
      <c r="AP236" s="195">
        <v>0</v>
      </c>
      <c r="AQ236" s="195">
        <v>3</v>
      </c>
      <c r="AR236" s="195">
        <v>0</v>
      </c>
      <c r="AS236" s="195">
        <v>0</v>
      </c>
      <c r="AT236" s="195">
        <v>0</v>
      </c>
      <c r="AU236" s="195">
        <v>2172.55</v>
      </c>
      <c r="AV236" s="195">
        <v>2.5697912591194676</v>
      </c>
      <c r="AW236" s="195">
        <v>7.0454419381924005</v>
      </c>
      <c r="AX236" s="195">
        <v>211</v>
      </c>
      <c r="AY236" s="195">
        <v>1583</v>
      </c>
      <c r="AZ236" s="195">
        <v>0.13329121920404297</v>
      </c>
      <c r="BA236" s="195">
        <v>0.0682684190013745</v>
      </c>
      <c r="BB236" s="195">
        <v>1.119783</v>
      </c>
      <c r="BC236" s="195">
        <v>2031</v>
      </c>
      <c r="BD236" s="195">
        <v>2054</v>
      </c>
      <c r="BE236" s="195">
        <v>0.9888023369036028</v>
      </c>
      <c r="BF236" s="195">
        <v>0.5578608188612967</v>
      </c>
      <c r="BG236" s="195">
        <v>0</v>
      </c>
      <c r="BH236" s="195">
        <v>0</v>
      </c>
      <c r="BI236" s="195">
        <v>0</v>
      </c>
      <c r="BJ236" s="195">
        <v>-1339.9199999999998</v>
      </c>
      <c r="BK236" s="195">
        <v>-22890.3</v>
      </c>
      <c r="BL236" s="195">
        <v>-1563.2400000000002</v>
      </c>
      <c r="BM236" s="195">
        <v>-7983.69</v>
      </c>
      <c r="BN236" s="195">
        <v>-223.32</v>
      </c>
      <c r="BO236" s="195">
        <v>-21214</v>
      </c>
      <c r="BP236" s="195">
        <v>-156565.77857203333</v>
      </c>
      <c r="BQ236" s="195">
        <v>-477179.01</v>
      </c>
      <c r="BR236" s="195">
        <v>-166306.19408746436</v>
      </c>
      <c r="BS236" s="195">
        <v>624315</v>
      </c>
      <c r="BT236" s="195">
        <v>194814</v>
      </c>
      <c r="BU236" s="195">
        <v>524333.8768369056</v>
      </c>
      <c r="BV236" s="195">
        <v>27091.534205211276</v>
      </c>
      <c r="BW236" s="195">
        <v>67076.00854807171</v>
      </c>
      <c r="BX236" s="195">
        <v>250225.7736871039</v>
      </c>
      <c r="BY236" s="195">
        <v>339421.64570747496</v>
      </c>
      <c r="BZ236" s="195">
        <v>554868.6142696537</v>
      </c>
      <c r="CA236" s="195">
        <v>148409.12962072226</v>
      </c>
      <c r="CB236" s="195">
        <v>502.46999999999997</v>
      </c>
      <c r="CC236" s="195">
        <v>10727.83596246325</v>
      </c>
      <c r="CD236" s="195">
        <v>2554600.6747501427</v>
      </c>
      <c r="CE236" s="195">
        <v>1722156.9161781094</v>
      </c>
      <c r="CF236" s="195">
        <v>0</v>
      </c>
      <c r="CG236" s="229">
        <v>5759482.979822023</v>
      </c>
      <c r="CH236" s="195">
        <v>-555537</v>
      </c>
      <c r="CI236" s="195">
        <v>8995.04700000005</v>
      </c>
      <c r="CJ236" s="195">
        <v>22334374.230813093</v>
      </c>
      <c r="CL236" s="195">
        <v>5677</v>
      </c>
    </row>
    <row r="237" spans="1:90" ht="9.75">
      <c r="A237" s="195">
        <v>749</v>
      </c>
      <c r="B237" s="195" t="s">
        <v>304</v>
      </c>
      <c r="C237" s="195">
        <v>21768</v>
      </c>
      <c r="D237" s="195">
        <v>76034290.89</v>
      </c>
      <c r="E237" s="195">
        <v>25183043.205830667</v>
      </c>
      <c r="F237" s="195">
        <v>2200945.2479668483</v>
      </c>
      <c r="G237" s="195">
        <v>103418279.3437975</v>
      </c>
      <c r="H237" s="195">
        <v>3540.31</v>
      </c>
      <c r="I237" s="195">
        <v>77065468.08</v>
      </c>
      <c r="J237" s="195">
        <v>26352811.263797507</v>
      </c>
      <c r="K237" s="195">
        <v>463783.5991936819</v>
      </c>
      <c r="L237" s="195">
        <v>2864980.7064859383</v>
      </c>
      <c r="M237" s="195">
        <v>0</v>
      </c>
      <c r="N237" s="195">
        <v>29681575.569477126</v>
      </c>
      <c r="O237" s="195">
        <v>5213860.430223055</v>
      </c>
      <c r="P237" s="195">
        <v>34895435.99970018</v>
      </c>
      <c r="Q237" s="195">
        <v>1683</v>
      </c>
      <c r="R237" s="195">
        <v>288</v>
      </c>
      <c r="S237" s="195">
        <v>1834</v>
      </c>
      <c r="T237" s="195">
        <v>931</v>
      </c>
      <c r="U237" s="195">
        <v>864</v>
      </c>
      <c r="V237" s="195">
        <v>12169</v>
      </c>
      <c r="W237" s="195">
        <v>2322</v>
      </c>
      <c r="X237" s="195">
        <v>1309</v>
      </c>
      <c r="Y237" s="195">
        <v>368</v>
      </c>
      <c r="Z237" s="195">
        <v>14</v>
      </c>
      <c r="AA237" s="195">
        <v>1</v>
      </c>
      <c r="AB237" s="195">
        <v>21452</v>
      </c>
      <c r="AC237" s="195">
        <v>301</v>
      </c>
      <c r="AD237" s="195">
        <v>3999</v>
      </c>
      <c r="AE237" s="195">
        <v>1.0184910782708918</v>
      </c>
      <c r="AF237" s="195">
        <v>25183043.205830667</v>
      </c>
      <c r="AG237" s="195">
        <v>2569113.216865435</v>
      </c>
      <c r="AH237" s="195">
        <v>589863.196471945</v>
      </c>
      <c r="AI237" s="195">
        <v>222978.51499531162</v>
      </c>
      <c r="AJ237" s="195">
        <v>971</v>
      </c>
      <c r="AK237" s="195">
        <v>10293</v>
      </c>
      <c r="AL237" s="195">
        <v>0.7104864909108585</v>
      </c>
      <c r="AM237" s="195">
        <v>301</v>
      </c>
      <c r="AN237" s="195">
        <v>0.013827636898199191</v>
      </c>
      <c r="AO237" s="195">
        <v>0.009859382929945223</v>
      </c>
      <c r="AP237" s="195">
        <v>0</v>
      </c>
      <c r="AQ237" s="195">
        <v>14</v>
      </c>
      <c r="AR237" s="195">
        <v>1</v>
      </c>
      <c r="AS237" s="195">
        <v>0</v>
      </c>
      <c r="AT237" s="195">
        <v>0</v>
      </c>
      <c r="AU237" s="195">
        <v>400.96</v>
      </c>
      <c r="AV237" s="195">
        <v>54.28970470869913</v>
      </c>
      <c r="AW237" s="195">
        <v>0.33349444810112294</v>
      </c>
      <c r="AX237" s="195">
        <v>597</v>
      </c>
      <c r="AY237" s="195">
        <v>7260</v>
      </c>
      <c r="AZ237" s="195">
        <v>0.08223140495867769</v>
      </c>
      <c r="BA237" s="195">
        <v>0.017208604756009216</v>
      </c>
      <c r="BB237" s="195">
        <v>0</v>
      </c>
      <c r="BC237" s="195">
        <v>7089</v>
      </c>
      <c r="BD237" s="195">
        <v>9224</v>
      </c>
      <c r="BE237" s="195">
        <v>0.7685385949696444</v>
      </c>
      <c r="BF237" s="195">
        <v>0.3375970769273383</v>
      </c>
      <c r="BG237" s="195">
        <v>0</v>
      </c>
      <c r="BH237" s="195">
        <v>1</v>
      </c>
      <c r="BI237" s="195">
        <v>0</v>
      </c>
      <c r="BJ237" s="195">
        <v>-5224.32</v>
      </c>
      <c r="BK237" s="195">
        <v>-89248.79999999999</v>
      </c>
      <c r="BL237" s="195">
        <v>-6095.040000000001</v>
      </c>
      <c r="BM237" s="195">
        <v>-31128.239999999998</v>
      </c>
      <c r="BN237" s="195">
        <v>-870.72</v>
      </c>
      <c r="BO237" s="195">
        <v>5984</v>
      </c>
      <c r="BP237" s="195">
        <v>-744312.7109111362</v>
      </c>
      <c r="BQ237" s="195">
        <v>-1860510.96</v>
      </c>
      <c r="BR237" s="195">
        <v>-59214.694434806705</v>
      </c>
      <c r="BS237" s="195">
        <v>1402958</v>
      </c>
      <c r="BT237" s="195">
        <v>450760</v>
      </c>
      <c r="BU237" s="195">
        <v>925488.7753349461</v>
      </c>
      <c r="BV237" s="195">
        <v>16784.10139488702</v>
      </c>
      <c r="BW237" s="195">
        <v>5877.08950053069</v>
      </c>
      <c r="BX237" s="195">
        <v>448920.0188770383</v>
      </c>
      <c r="BY237" s="195">
        <v>987855.0647120406</v>
      </c>
      <c r="BZ237" s="195">
        <v>1641445.0655553432</v>
      </c>
      <c r="CA237" s="195">
        <v>532504.3064130876</v>
      </c>
      <c r="CB237" s="195">
        <v>1959.12</v>
      </c>
      <c r="CC237" s="195">
        <v>-118099.429955993</v>
      </c>
      <c r="CD237" s="195">
        <v>6244527.4973970745</v>
      </c>
      <c r="CE237" s="195">
        <v>2864980.7064859383</v>
      </c>
      <c r="CF237" s="195">
        <v>0</v>
      </c>
      <c r="CG237" s="229">
        <v>5213860.430223055</v>
      </c>
      <c r="CH237" s="195">
        <v>-2126366</v>
      </c>
      <c r="CI237" s="195">
        <v>85157.02248999994</v>
      </c>
      <c r="CJ237" s="195">
        <v>32769069.99970018</v>
      </c>
      <c r="CL237" s="195">
        <v>21794</v>
      </c>
    </row>
    <row r="238" spans="1:90" ht="9.75">
      <c r="A238" s="195">
        <v>751</v>
      </c>
      <c r="B238" s="195" t="s">
        <v>305</v>
      </c>
      <c r="C238" s="195">
        <v>3170</v>
      </c>
      <c r="D238" s="195">
        <v>11350412.86</v>
      </c>
      <c r="E238" s="195">
        <v>4163882.015676706</v>
      </c>
      <c r="F238" s="195">
        <v>1413765.1162341083</v>
      </c>
      <c r="G238" s="195">
        <v>16928059.991910815</v>
      </c>
      <c r="H238" s="195">
        <v>3540.31</v>
      </c>
      <c r="I238" s="195">
        <v>11222782.7</v>
      </c>
      <c r="J238" s="195">
        <v>5705277.291910816</v>
      </c>
      <c r="K238" s="195">
        <v>32745.237508474227</v>
      </c>
      <c r="L238" s="195">
        <v>750594.2006224378</v>
      </c>
      <c r="M238" s="195">
        <v>0</v>
      </c>
      <c r="N238" s="195">
        <v>6488616.730041727</v>
      </c>
      <c r="O238" s="195">
        <v>1711893.3397272709</v>
      </c>
      <c r="P238" s="195">
        <v>8200510.069768999</v>
      </c>
      <c r="Q238" s="195">
        <v>156</v>
      </c>
      <c r="R238" s="195">
        <v>32</v>
      </c>
      <c r="S238" s="195">
        <v>220</v>
      </c>
      <c r="T238" s="195">
        <v>134</v>
      </c>
      <c r="U238" s="195">
        <v>108</v>
      </c>
      <c r="V238" s="195">
        <v>1610</v>
      </c>
      <c r="W238" s="195">
        <v>520</v>
      </c>
      <c r="X238" s="195">
        <v>298</v>
      </c>
      <c r="Y238" s="195">
        <v>92</v>
      </c>
      <c r="Z238" s="195">
        <v>5</v>
      </c>
      <c r="AA238" s="195">
        <v>2</v>
      </c>
      <c r="AB238" s="195">
        <v>3136</v>
      </c>
      <c r="AC238" s="195">
        <v>27</v>
      </c>
      <c r="AD238" s="195">
        <v>910</v>
      </c>
      <c r="AE238" s="195">
        <v>1.156396318044411</v>
      </c>
      <c r="AF238" s="195">
        <v>4163882.015676706</v>
      </c>
      <c r="AG238" s="195">
        <v>9516645.042666478</v>
      </c>
      <c r="AH238" s="195">
        <v>2738103.372120234</v>
      </c>
      <c r="AI238" s="195">
        <v>1132730.856176183</v>
      </c>
      <c r="AJ238" s="195">
        <v>205</v>
      </c>
      <c r="AK238" s="195">
        <v>1341</v>
      </c>
      <c r="AL238" s="195">
        <v>1.1513401526012916</v>
      </c>
      <c r="AM238" s="195">
        <v>27</v>
      </c>
      <c r="AN238" s="195">
        <v>0.008517350157728707</v>
      </c>
      <c r="AO238" s="195">
        <v>0.004549096189474739</v>
      </c>
      <c r="AP238" s="195">
        <v>0</v>
      </c>
      <c r="AQ238" s="195">
        <v>5</v>
      </c>
      <c r="AR238" s="195">
        <v>2</v>
      </c>
      <c r="AS238" s="195">
        <v>0</v>
      </c>
      <c r="AT238" s="195">
        <v>0</v>
      </c>
      <c r="AU238" s="195">
        <v>1447.35</v>
      </c>
      <c r="AV238" s="195">
        <v>2.1902096935779185</v>
      </c>
      <c r="AW238" s="195">
        <v>8.266475654129616</v>
      </c>
      <c r="AX238" s="195">
        <v>97</v>
      </c>
      <c r="AY238" s="195">
        <v>877</v>
      </c>
      <c r="AZ238" s="195">
        <v>0.11060433295324971</v>
      </c>
      <c r="BA238" s="195">
        <v>0.045581532750581244</v>
      </c>
      <c r="BB238" s="195">
        <v>0</v>
      </c>
      <c r="BC238" s="195">
        <v>641</v>
      </c>
      <c r="BD238" s="195">
        <v>1078</v>
      </c>
      <c r="BE238" s="195">
        <v>0.5946196660482375</v>
      </c>
      <c r="BF238" s="195">
        <v>0.1636781480059314</v>
      </c>
      <c r="BG238" s="195">
        <v>0</v>
      </c>
      <c r="BH238" s="195">
        <v>2</v>
      </c>
      <c r="BI238" s="195">
        <v>0</v>
      </c>
      <c r="BJ238" s="195">
        <v>-760.8</v>
      </c>
      <c r="BK238" s="195">
        <v>-12996.999999999998</v>
      </c>
      <c r="BL238" s="195">
        <v>-887.6000000000001</v>
      </c>
      <c r="BM238" s="195">
        <v>-4533.099999999999</v>
      </c>
      <c r="BN238" s="195">
        <v>-126.8</v>
      </c>
      <c r="BO238" s="195">
        <v>76854</v>
      </c>
      <c r="BP238" s="195">
        <v>-47519.96474231044</v>
      </c>
      <c r="BQ238" s="195">
        <v>-270939.9</v>
      </c>
      <c r="BR238" s="195">
        <v>-78985.75758260861</v>
      </c>
      <c r="BS238" s="195">
        <v>281841</v>
      </c>
      <c r="BT238" s="195">
        <v>83216</v>
      </c>
      <c r="BU238" s="195">
        <v>185548.22637782278</v>
      </c>
      <c r="BV238" s="195">
        <v>9122.781979068071</v>
      </c>
      <c r="BW238" s="195">
        <v>27602.543467581676</v>
      </c>
      <c r="BX238" s="195">
        <v>93219.1741502555</v>
      </c>
      <c r="BY238" s="195">
        <v>151745.66252837007</v>
      </c>
      <c r="BZ238" s="195">
        <v>271138.6206094548</v>
      </c>
      <c r="CA238" s="195">
        <v>65586.29927265066</v>
      </c>
      <c r="CB238" s="195">
        <v>285.3</v>
      </c>
      <c r="CC238" s="195">
        <v>14510.314562153615</v>
      </c>
      <c r="CD238" s="195">
        <v>1181874.3653647483</v>
      </c>
      <c r="CE238" s="195">
        <v>750594.2006224378</v>
      </c>
      <c r="CF238" s="195">
        <v>0</v>
      </c>
      <c r="CG238" s="229">
        <v>1711893.3397272709</v>
      </c>
      <c r="CH238" s="195">
        <v>-75592</v>
      </c>
      <c r="CI238" s="195">
        <v>-62574.24000000002</v>
      </c>
      <c r="CJ238" s="195">
        <v>8124918.069768999</v>
      </c>
      <c r="CL238" s="195">
        <v>3238</v>
      </c>
    </row>
    <row r="239" spans="1:90" ht="9.75">
      <c r="A239" s="195">
        <v>753</v>
      </c>
      <c r="B239" s="195" t="s">
        <v>306</v>
      </c>
      <c r="C239" s="195">
        <v>19922</v>
      </c>
      <c r="D239" s="195">
        <v>68435320.65</v>
      </c>
      <c r="E239" s="195">
        <v>14879651.715447407</v>
      </c>
      <c r="F239" s="195">
        <v>5323830.528962957</v>
      </c>
      <c r="G239" s="195">
        <v>88638802.89441037</v>
      </c>
      <c r="H239" s="195">
        <v>3540.31</v>
      </c>
      <c r="I239" s="195">
        <v>70530055.82</v>
      </c>
      <c r="J239" s="195">
        <v>18108747.07441038</v>
      </c>
      <c r="K239" s="195">
        <v>246701.3415055416</v>
      </c>
      <c r="L239" s="195">
        <v>1985711.9161578356</v>
      </c>
      <c r="M239" s="195">
        <v>0</v>
      </c>
      <c r="N239" s="195">
        <v>20341160.332073756</v>
      </c>
      <c r="O239" s="195">
        <v>-5324533.9779225</v>
      </c>
      <c r="P239" s="195">
        <v>15016626.354151256</v>
      </c>
      <c r="Q239" s="195">
        <v>1354</v>
      </c>
      <c r="R239" s="195">
        <v>295</v>
      </c>
      <c r="S239" s="195">
        <v>1719</v>
      </c>
      <c r="T239" s="195">
        <v>842</v>
      </c>
      <c r="U239" s="195">
        <v>813</v>
      </c>
      <c r="V239" s="195">
        <v>11535</v>
      </c>
      <c r="W239" s="195">
        <v>1969</v>
      </c>
      <c r="X239" s="195">
        <v>1018</v>
      </c>
      <c r="Y239" s="195">
        <v>377</v>
      </c>
      <c r="Z239" s="195">
        <v>6616</v>
      </c>
      <c r="AA239" s="195">
        <v>0</v>
      </c>
      <c r="AB239" s="195">
        <v>12465</v>
      </c>
      <c r="AC239" s="195">
        <v>841</v>
      </c>
      <c r="AD239" s="195">
        <v>3364</v>
      </c>
      <c r="AE239" s="195">
        <v>0.6575478731354588</v>
      </c>
      <c r="AF239" s="195">
        <v>14879651.715447407</v>
      </c>
      <c r="AG239" s="195">
        <v>32361628.354549825</v>
      </c>
      <c r="AH239" s="195">
        <v>6468532.418504832</v>
      </c>
      <c r="AI239" s="195">
        <v>3300082.021930612</v>
      </c>
      <c r="AJ239" s="195">
        <v>692</v>
      </c>
      <c r="AK239" s="195">
        <v>9610</v>
      </c>
      <c r="AL239" s="195">
        <v>0.5423270597648415</v>
      </c>
      <c r="AM239" s="195">
        <v>841</v>
      </c>
      <c r="AN239" s="195">
        <v>0.04221463708463006</v>
      </c>
      <c r="AO239" s="195">
        <v>0.03824638311637609</v>
      </c>
      <c r="AP239" s="195">
        <v>1</v>
      </c>
      <c r="AQ239" s="195">
        <v>6616</v>
      </c>
      <c r="AR239" s="195">
        <v>0</v>
      </c>
      <c r="AS239" s="195">
        <v>3</v>
      </c>
      <c r="AT239" s="195">
        <v>222</v>
      </c>
      <c r="AU239" s="195">
        <v>339.63</v>
      </c>
      <c r="AV239" s="195">
        <v>58.65795129994406</v>
      </c>
      <c r="AW239" s="195">
        <v>0.30865917932967113</v>
      </c>
      <c r="AX239" s="195">
        <v>980</v>
      </c>
      <c r="AY239" s="195">
        <v>7140</v>
      </c>
      <c r="AZ239" s="195">
        <v>0.13725490196078433</v>
      </c>
      <c r="BA239" s="195">
        <v>0.07223210175811585</v>
      </c>
      <c r="BB239" s="195">
        <v>0</v>
      </c>
      <c r="BC239" s="195">
        <v>5625</v>
      </c>
      <c r="BD239" s="195">
        <v>8969</v>
      </c>
      <c r="BE239" s="195">
        <v>0.627160218530494</v>
      </c>
      <c r="BF239" s="195">
        <v>0.1962187004881879</v>
      </c>
      <c r="BG239" s="195">
        <v>0</v>
      </c>
      <c r="BH239" s="195">
        <v>0</v>
      </c>
      <c r="BI239" s="195">
        <v>0</v>
      </c>
      <c r="BJ239" s="195">
        <v>-4781.28</v>
      </c>
      <c r="BK239" s="195">
        <v>-81680.2</v>
      </c>
      <c r="BL239" s="195">
        <v>-5578.160000000001</v>
      </c>
      <c r="BM239" s="195">
        <v>-28488.46</v>
      </c>
      <c r="BN239" s="195">
        <v>-796.88</v>
      </c>
      <c r="BO239" s="195">
        <v>-139882</v>
      </c>
      <c r="BP239" s="195">
        <v>-499209.73487185076</v>
      </c>
      <c r="BQ239" s="195">
        <v>-1702733.34</v>
      </c>
      <c r="BR239" s="195">
        <v>338261.93236998096</v>
      </c>
      <c r="BS239" s="195">
        <v>1224672</v>
      </c>
      <c r="BT239" s="195">
        <v>413367</v>
      </c>
      <c r="BU239" s="195">
        <v>738996.3770171361</v>
      </c>
      <c r="BV239" s="195">
        <v>4966.691090181297</v>
      </c>
      <c r="BW239" s="195">
        <v>-246469.34371148542</v>
      </c>
      <c r="BX239" s="195">
        <v>217092.7317241785</v>
      </c>
      <c r="BY239" s="195">
        <v>777019.1322790805</v>
      </c>
      <c r="BZ239" s="195">
        <v>1260306.423448747</v>
      </c>
      <c r="CA239" s="195">
        <v>356211.23912242625</v>
      </c>
      <c r="CB239" s="195">
        <v>1792.98</v>
      </c>
      <c r="CC239" s="195">
        <v>-50851.512310558566</v>
      </c>
      <c r="CD239" s="195">
        <v>4896678.971029687</v>
      </c>
      <c r="CE239" s="195">
        <v>1985711.9161578356</v>
      </c>
      <c r="CF239" s="195">
        <v>0</v>
      </c>
      <c r="CG239" s="229">
        <v>-5324533.9779225</v>
      </c>
      <c r="CH239" s="195">
        <v>-1477821</v>
      </c>
      <c r="CI239" s="195">
        <v>-229948.59932999965</v>
      </c>
      <c r="CJ239" s="195">
        <v>13538805.354151256</v>
      </c>
      <c r="CL239" s="195">
        <v>19399</v>
      </c>
    </row>
    <row r="240" spans="1:90" ht="9.75">
      <c r="A240" s="195">
        <v>755</v>
      </c>
      <c r="B240" s="195" t="s">
        <v>307</v>
      </c>
      <c r="C240" s="195">
        <v>6178</v>
      </c>
      <c r="D240" s="195">
        <v>20575116.91</v>
      </c>
      <c r="E240" s="195">
        <v>4695402.684767775</v>
      </c>
      <c r="F240" s="195">
        <v>1773198.5616692402</v>
      </c>
      <c r="G240" s="195">
        <v>27043718.156437017</v>
      </c>
      <c r="H240" s="195">
        <v>3540.31</v>
      </c>
      <c r="I240" s="195">
        <v>21872035.18</v>
      </c>
      <c r="J240" s="195">
        <v>5171682.976437017</v>
      </c>
      <c r="K240" s="195">
        <v>29464.17638150936</v>
      </c>
      <c r="L240" s="195">
        <v>1048621.2233339357</v>
      </c>
      <c r="M240" s="195">
        <v>0</v>
      </c>
      <c r="N240" s="195">
        <v>6249768.376152463</v>
      </c>
      <c r="O240" s="195">
        <v>-557548.4197872697</v>
      </c>
      <c r="P240" s="195">
        <v>5692219.956365193</v>
      </c>
      <c r="Q240" s="195">
        <v>422</v>
      </c>
      <c r="R240" s="195">
        <v>95</v>
      </c>
      <c r="S240" s="195">
        <v>554</v>
      </c>
      <c r="T240" s="195">
        <v>263</v>
      </c>
      <c r="U240" s="195">
        <v>248</v>
      </c>
      <c r="V240" s="195">
        <v>3543</v>
      </c>
      <c r="W240" s="195">
        <v>715</v>
      </c>
      <c r="X240" s="195">
        <v>259</v>
      </c>
      <c r="Y240" s="195">
        <v>79</v>
      </c>
      <c r="Z240" s="195">
        <v>1797</v>
      </c>
      <c r="AA240" s="195">
        <v>0</v>
      </c>
      <c r="AB240" s="195">
        <v>4067</v>
      </c>
      <c r="AC240" s="195">
        <v>314</v>
      </c>
      <c r="AD240" s="195">
        <v>1053</v>
      </c>
      <c r="AE240" s="195">
        <v>0.6691022452466941</v>
      </c>
      <c r="AF240" s="195">
        <v>4695402.684767775</v>
      </c>
      <c r="AG240" s="195">
        <v>5089922.783696052</v>
      </c>
      <c r="AH240" s="195">
        <v>1289578.082850475</v>
      </c>
      <c r="AI240" s="195">
        <v>579744.1389878102</v>
      </c>
      <c r="AJ240" s="195">
        <v>207</v>
      </c>
      <c r="AK240" s="195">
        <v>3197</v>
      </c>
      <c r="AL240" s="195">
        <v>0.48764780844867484</v>
      </c>
      <c r="AM240" s="195">
        <v>314</v>
      </c>
      <c r="AN240" s="195">
        <v>0.050825509873745546</v>
      </c>
      <c r="AO240" s="195">
        <v>0.04685725590549158</v>
      </c>
      <c r="AP240" s="195">
        <v>1</v>
      </c>
      <c r="AQ240" s="195">
        <v>1797</v>
      </c>
      <c r="AR240" s="195">
        <v>0</v>
      </c>
      <c r="AS240" s="195">
        <v>0</v>
      </c>
      <c r="AT240" s="195">
        <v>0</v>
      </c>
      <c r="AU240" s="195">
        <v>241.08</v>
      </c>
      <c r="AV240" s="195">
        <v>25.626348100215694</v>
      </c>
      <c r="AW240" s="195">
        <v>0.7065117135924709</v>
      </c>
      <c r="AX240" s="195">
        <v>355</v>
      </c>
      <c r="AY240" s="195">
        <v>2313</v>
      </c>
      <c r="AZ240" s="195">
        <v>0.15348032857760485</v>
      </c>
      <c r="BA240" s="195">
        <v>0.08845752837493638</v>
      </c>
      <c r="BB240" s="195">
        <v>0</v>
      </c>
      <c r="BC240" s="195">
        <v>1478</v>
      </c>
      <c r="BD240" s="195">
        <v>2918</v>
      </c>
      <c r="BE240" s="195">
        <v>0.5065113091158328</v>
      </c>
      <c r="BF240" s="195">
        <v>0.07556979107352668</v>
      </c>
      <c r="BG240" s="195">
        <v>0</v>
      </c>
      <c r="BH240" s="195">
        <v>0</v>
      </c>
      <c r="BI240" s="195">
        <v>0</v>
      </c>
      <c r="BJ240" s="195">
        <v>-1482.72</v>
      </c>
      <c r="BK240" s="195">
        <v>-25329.8</v>
      </c>
      <c r="BL240" s="195">
        <v>-1729.8400000000001</v>
      </c>
      <c r="BM240" s="195">
        <v>-8834.539999999999</v>
      </c>
      <c r="BN240" s="195">
        <v>-247.12</v>
      </c>
      <c r="BO240" s="195">
        <v>25135</v>
      </c>
      <c r="BP240" s="195">
        <v>-167570.4019860421</v>
      </c>
      <c r="BQ240" s="195">
        <v>-528033.66</v>
      </c>
      <c r="BR240" s="195">
        <v>113029.24575293995</v>
      </c>
      <c r="BS240" s="195">
        <v>469181</v>
      </c>
      <c r="BT240" s="195">
        <v>150862</v>
      </c>
      <c r="BU240" s="195">
        <v>268572.64857911115</v>
      </c>
      <c r="BV240" s="195">
        <v>-1211.545421818339</v>
      </c>
      <c r="BW240" s="195">
        <v>-61896.04433055531</v>
      </c>
      <c r="BX240" s="195">
        <v>43681.11176883208</v>
      </c>
      <c r="BY240" s="195">
        <v>308848.1520468308</v>
      </c>
      <c r="BZ240" s="195">
        <v>486273.20829363336</v>
      </c>
      <c r="CA240" s="195">
        <v>141985.97472980185</v>
      </c>
      <c r="CB240" s="195">
        <v>556.02</v>
      </c>
      <c r="CC240" s="195">
        <v>18712.85390120282</v>
      </c>
      <c r="CD240" s="195">
        <v>1964100.305319978</v>
      </c>
      <c r="CE240" s="195">
        <v>1048621.2233339357</v>
      </c>
      <c r="CF240" s="195">
        <v>0</v>
      </c>
      <c r="CG240" s="229">
        <v>-557548.4197872697</v>
      </c>
      <c r="CH240" s="195">
        <v>-1185698</v>
      </c>
      <c r="CI240" s="195">
        <v>-892487.2597100001</v>
      </c>
      <c r="CJ240" s="195">
        <v>4506521.956365193</v>
      </c>
      <c r="CL240" s="195">
        <v>6182</v>
      </c>
    </row>
    <row r="241" spans="1:90" ht="9.75">
      <c r="A241" s="195">
        <v>758</v>
      </c>
      <c r="B241" s="195" t="s">
        <v>308</v>
      </c>
      <c r="C241" s="195">
        <v>8653</v>
      </c>
      <c r="D241" s="195">
        <v>28124215.2</v>
      </c>
      <c r="E241" s="195">
        <v>12131469.048203554</v>
      </c>
      <c r="F241" s="195">
        <v>7757032.368791397</v>
      </c>
      <c r="G241" s="195">
        <v>48012716.61699495</v>
      </c>
      <c r="H241" s="195">
        <v>3540.31</v>
      </c>
      <c r="I241" s="195">
        <v>30634302.43</v>
      </c>
      <c r="J241" s="195">
        <v>17378414.186994947</v>
      </c>
      <c r="K241" s="195">
        <v>4382815.689856031</v>
      </c>
      <c r="L241" s="195">
        <v>1900009.7368720947</v>
      </c>
      <c r="M241" s="195">
        <v>0</v>
      </c>
      <c r="N241" s="195">
        <v>23661239.613723073</v>
      </c>
      <c r="O241" s="195">
        <v>2706641.3656239975</v>
      </c>
      <c r="P241" s="195">
        <v>26367880.979347073</v>
      </c>
      <c r="Q241" s="195">
        <v>489</v>
      </c>
      <c r="R241" s="195">
        <v>90</v>
      </c>
      <c r="S241" s="195">
        <v>449</v>
      </c>
      <c r="T241" s="195">
        <v>231</v>
      </c>
      <c r="U241" s="195">
        <v>290</v>
      </c>
      <c r="V241" s="195">
        <v>4912</v>
      </c>
      <c r="W241" s="195">
        <v>1194</v>
      </c>
      <c r="X241" s="195">
        <v>768</v>
      </c>
      <c r="Y241" s="195">
        <v>230</v>
      </c>
      <c r="Z241" s="195">
        <v>12</v>
      </c>
      <c r="AA241" s="195">
        <v>135</v>
      </c>
      <c r="AB241" s="195">
        <v>8394</v>
      </c>
      <c r="AC241" s="195">
        <v>112</v>
      </c>
      <c r="AD241" s="195">
        <v>2192</v>
      </c>
      <c r="AE241" s="195">
        <v>1.2342815522740802</v>
      </c>
      <c r="AF241" s="195">
        <v>12131469.048203554</v>
      </c>
      <c r="AG241" s="195">
        <v>18225046.452773653</v>
      </c>
      <c r="AH241" s="195">
        <v>4150703.2719049132</v>
      </c>
      <c r="AI241" s="195">
        <v>1935453.5101593046</v>
      </c>
      <c r="AJ241" s="195">
        <v>566</v>
      </c>
      <c r="AK241" s="195">
        <v>4096</v>
      </c>
      <c r="AL241" s="195">
        <v>1.0407227561276868</v>
      </c>
      <c r="AM241" s="195">
        <v>112</v>
      </c>
      <c r="AN241" s="195">
        <v>0.012943487807696753</v>
      </c>
      <c r="AO241" s="195">
        <v>0.008975233839442785</v>
      </c>
      <c r="AP241" s="195">
        <v>0</v>
      </c>
      <c r="AQ241" s="195">
        <v>12</v>
      </c>
      <c r="AR241" s="195">
        <v>135</v>
      </c>
      <c r="AS241" s="195">
        <v>0</v>
      </c>
      <c r="AT241" s="195">
        <v>0</v>
      </c>
      <c r="AU241" s="195">
        <v>11691.73</v>
      </c>
      <c r="AV241" s="195">
        <v>0.740095777100566</v>
      </c>
      <c r="AW241" s="195">
        <v>24.463475768407683</v>
      </c>
      <c r="AX241" s="195">
        <v>287</v>
      </c>
      <c r="AY241" s="195">
        <v>2558</v>
      </c>
      <c r="AZ241" s="195">
        <v>0.11219702892885067</v>
      </c>
      <c r="BA241" s="195">
        <v>0.047174228726182196</v>
      </c>
      <c r="BB241" s="195">
        <v>1.374116</v>
      </c>
      <c r="BC241" s="195">
        <v>3561</v>
      </c>
      <c r="BD241" s="195">
        <v>3517</v>
      </c>
      <c r="BE241" s="195">
        <v>1.0125106624964457</v>
      </c>
      <c r="BF241" s="195">
        <v>0.5815691444541397</v>
      </c>
      <c r="BG241" s="195">
        <v>1</v>
      </c>
      <c r="BH241" s="195">
        <v>135</v>
      </c>
      <c r="BI241" s="195">
        <v>0</v>
      </c>
      <c r="BJ241" s="195">
        <v>-2076.72</v>
      </c>
      <c r="BK241" s="195">
        <v>-35477.299999999996</v>
      </c>
      <c r="BL241" s="195">
        <v>-2422.84</v>
      </c>
      <c r="BM241" s="195">
        <v>-12373.789999999999</v>
      </c>
      <c r="BN241" s="195">
        <v>-346.12</v>
      </c>
      <c r="BO241" s="195">
        <v>420189</v>
      </c>
      <c r="BP241" s="195">
        <v>-456691.87168136245</v>
      </c>
      <c r="BQ241" s="195">
        <v>-739571.91</v>
      </c>
      <c r="BR241" s="195">
        <v>-287297.2251544371</v>
      </c>
      <c r="BS241" s="195">
        <v>693231</v>
      </c>
      <c r="BT241" s="195">
        <v>237883</v>
      </c>
      <c r="BU241" s="195">
        <v>592945.920689107</v>
      </c>
      <c r="BV241" s="195">
        <v>31524.228177903762</v>
      </c>
      <c r="BW241" s="195">
        <v>91412.20974928621</v>
      </c>
      <c r="BX241" s="195">
        <v>255352.7917019284</v>
      </c>
      <c r="BY241" s="195">
        <v>455936.6736646317</v>
      </c>
      <c r="BZ241" s="195">
        <v>690645.5411653761</v>
      </c>
      <c r="CA241" s="195">
        <v>241375.15275029506</v>
      </c>
      <c r="CB241" s="195">
        <v>778.77</v>
      </c>
      <c r="CC241" s="195">
        <v>-20262.454190634002</v>
      </c>
      <c r="CD241" s="195">
        <v>3404233.7885534572</v>
      </c>
      <c r="CE241" s="195">
        <v>1900009.7368720947</v>
      </c>
      <c r="CF241" s="195">
        <v>0</v>
      </c>
      <c r="CG241" s="229">
        <v>2706641.3656239975</v>
      </c>
      <c r="CH241" s="195">
        <v>-621667</v>
      </c>
      <c r="CI241" s="195">
        <v>-15708.741500000004</v>
      </c>
      <c r="CJ241" s="195">
        <v>25746213.979347073</v>
      </c>
      <c r="CL241" s="195">
        <v>8782</v>
      </c>
    </row>
    <row r="242" spans="1:90" ht="9.75">
      <c r="A242" s="195">
        <v>759</v>
      </c>
      <c r="B242" s="195" t="s">
        <v>309</v>
      </c>
      <c r="C242" s="195">
        <v>2186</v>
      </c>
      <c r="D242" s="195">
        <v>8315104.28</v>
      </c>
      <c r="E242" s="195">
        <v>3707481.498710962</v>
      </c>
      <c r="F242" s="195">
        <v>683922.7239209983</v>
      </c>
      <c r="G242" s="195">
        <v>12706508.50263196</v>
      </c>
      <c r="H242" s="195">
        <v>3540.31</v>
      </c>
      <c r="I242" s="195">
        <v>7739117.66</v>
      </c>
      <c r="J242" s="195">
        <v>4967390.84263196</v>
      </c>
      <c r="K242" s="195">
        <v>318265.5090463467</v>
      </c>
      <c r="L242" s="195">
        <v>759182.1647560416</v>
      </c>
      <c r="M242" s="195">
        <v>0</v>
      </c>
      <c r="N242" s="195">
        <v>6044838.516434349</v>
      </c>
      <c r="O242" s="195">
        <v>2538526.580310804</v>
      </c>
      <c r="P242" s="195">
        <v>8583365.096745152</v>
      </c>
      <c r="Q242" s="195">
        <v>154</v>
      </c>
      <c r="R242" s="195">
        <v>20</v>
      </c>
      <c r="S242" s="195">
        <v>132</v>
      </c>
      <c r="T242" s="195">
        <v>79</v>
      </c>
      <c r="U242" s="195">
        <v>76</v>
      </c>
      <c r="V242" s="195">
        <v>1108</v>
      </c>
      <c r="W242" s="195">
        <v>316</v>
      </c>
      <c r="X242" s="195">
        <v>212</v>
      </c>
      <c r="Y242" s="195">
        <v>89</v>
      </c>
      <c r="Z242" s="195">
        <v>5</v>
      </c>
      <c r="AA242" s="195">
        <v>0</v>
      </c>
      <c r="AB242" s="195">
        <v>2168</v>
      </c>
      <c r="AC242" s="195">
        <v>13</v>
      </c>
      <c r="AD242" s="195">
        <v>617</v>
      </c>
      <c r="AE242" s="195">
        <v>1.4931257391204462</v>
      </c>
      <c r="AF242" s="195">
        <v>3707481.498710962</v>
      </c>
      <c r="AG242" s="195">
        <v>6104894.144208743</v>
      </c>
      <c r="AH242" s="195">
        <v>1196443.7748156234</v>
      </c>
      <c r="AI242" s="195">
        <v>633258.982586685</v>
      </c>
      <c r="AJ242" s="195">
        <v>124</v>
      </c>
      <c r="AK242" s="195">
        <v>911</v>
      </c>
      <c r="AL242" s="195">
        <v>1.02513692235899</v>
      </c>
      <c r="AM242" s="195">
        <v>13</v>
      </c>
      <c r="AN242" s="195">
        <v>0.005946935041171089</v>
      </c>
      <c r="AO242" s="195">
        <v>0.0019786810729171206</v>
      </c>
      <c r="AP242" s="195">
        <v>0</v>
      </c>
      <c r="AQ242" s="195">
        <v>5</v>
      </c>
      <c r="AR242" s="195">
        <v>0</v>
      </c>
      <c r="AS242" s="195">
        <v>0</v>
      </c>
      <c r="AT242" s="195">
        <v>0</v>
      </c>
      <c r="AU242" s="195">
        <v>551.95</v>
      </c>
      <c r="AV242" s="195">
        <v>3.9605036688105804</v>
      </c>
      <c r="AW242" s="195">
        <v>4.571467829201113</v>
      </c>
      <c r="AX242" s="195">
        <v>99</v>
      </c>
      <c r="AY242" s="195">
        <v>567</v>
      </c>
      <c r="AZ242" s="195">
        <v>0.1746031746031746</v>
      </c>
      <c r="BA242" s="195">
        <v>0.10958037440050612</v>
      </c>
      <c r="BB242" s="195">
        <v>0.520632</v>
      </c>
      <c r="BC242" s="195">
        <v>773</v>
      </c>
      <c r="BD242" s="195">
        <v>756</v>
      </c>
      <c r="BE242" s="195">
        <v>1.0224867724867726</v>
      </c>
      <c r="BF242" s="195">
        <v>0.5915452544444665</v>
      </c>
      <c r="BG242" s="195">
        <v>0</v>
      </c>
      <c r="BH242" s="195">
        <v>0</v>
      </c>
      <c r="BI242" s="195">
        <v>0</v>
      </c>
      <c r="BJ242" s="195">
        <v>-524.64</v>
      </c>
      <c r="BK242" s="195">
        <v>-8962.599999999999</v>
      </c>
      <c r="BL242" s="195">
        <v>-612.08</v>
      </c>
      <c r="BM242" s="195">
        <v>-3125.98</v>
      </c>
      <c r="BN242" s="195">
        <v>-87.44</v>
      </c>
      <c r="BO242" s="195">
        <v>12453</v>
      </c>
      <c r="BP242" s="195">
        <v>-43018.0733456705</v>
      </c>
      <c r="BQ242" s="195">
        <v>-186837.41999999998</v>
      </c>
      <c r="BR242" s="195">
        <v>-12221.49818348512</v>
      </c>
      <c r="BS242" s="195">
        <v>262591</v>
      </c>
      <c r="BT242" s="195">
        <v>74315</v>
      </c>
      <c r="BU242" s="195">
        <v>200718.70552327146</v>
      </c>
      <c r="BV242" s="195">
        <v>11886.434532257832</v>
      </c>
      <c r="BW242" s="195">
        <v>31400.727928979493</v>
      </c>
      <c r="BX242" s="195">
        <v>102409.69369838842</v>
      </c>
      <c r="BY242" s="195">
        <v>132599.5516883108</v>
      </c>
      <c r="BZ242" s="195">
        <v>196220.17433588332</v>
      </c>
      <c r="CA242" s="195">
        <v>55851.36282465958</v>
      </c>
      <c r="CB242" s="195">
        <v>196.73999999999998</v>
      </c>
      <c r="CC242" s="195">
        <v>-1714.6542465534949</v>
      </c>
      <c r="CD242" s="195">
        <v>1066837.398101712</v>
      </c>
      <c r="CE242" s="195">
        <v>759182.1647560416</v>
      </c>
      <c r="CF242" s="195">
        <v>0</v>
      </c>
      <c r="CG242" s="229">
        <v>2538526.580310804</v>
      </c>
      <c r="CH242" s="195">
        <v>-554648</v>
      </c>
      <c r="CI242" s="195">
        <v>358498.25000000006</v>
      </c>
      <c r="CJ242" s="195">
        <v>8028717.096745152</v>
      </c>
      <c r="CL242" s="195">
        <v>2224</v>
      </c>
    </row>
    <row r="243" spans="1:90" ht="9.75">
      <c r="A243" s="195">
        <v>761</v>
      </c>
      <c r="B243" s="195" t="s">
        <v>310</v>
      </c>
      <c r="C243" s="195">
        <v>9027</v>
      </c>
      <c r="D243" s="195">
        <v>34141666.71</v>
      </c>
      <c r="E243" s="195">
        <v>11201608.03314014</v>
      </c>
      <c r="F243" s="195">
        <v>2040630.420613703</v>
      </c>
      <c r="G243" s="195">
        <v>47383905.163753845</v>
      </c>
      <c r="H243" s="195">
        <v>3540.31</v>
      </c>
      <c r="I243" s="195">
        <v>31958378.37</v>
      </c>
      <c r="J243" s="195">
        <v>15425526.793753844</v>
      </c>
      <c r="K243" s="195">
        <v>226536.82017631034</v>
      </c>
      <c r="L243" s="195">
        <v>2893596.689138059</v>
      </c>
      <c r="M243" s="195">
        <v>0</v>
      </c>
      <c r="N243" s="195">
        <v>18545660.303068213</v>
      </c>
      <c r="O243" s="195">
        <v>6639971.290330255</v>
      </c>
      <c r="P243" s="195">
        <v>25185631.593398467</v>
      </c>
      <c r="Q243" s="195">
        <v>468</v>
      </c>
      <c r="R243" s="195">
        <v>76</v>
      </c>
      <c r="S243" s="195">
        <v>545</v>
      </c>
      <c r="T243" s="195">
        <v>317</v>
      </c>
      <c r="U243" s="195">
        <v>297</v>
      </c>
      <c r="V243" s="195">
        <v>4624</v>
      </c>
      <c r="W243" s="195">
        <v>1369</v>
      </c>
      <c r="X243" s="195">
        <v>907</v>
      </c>
      <c r="Y243" s="195">
        <v>424</v>
      </c>
      <c r="Z243" s="195">
        <v>46</v>
      </c>
      <c r="AA243" s="195">
        <v>0</v>
      </c>
      <c r="AB243" s="195">
        <v>8714</v>
      </c>
      <c r="AC243" s="195">
        <v>267</v>
      </c>
      <c r="AD243" s="195">
        <v>2700</v>
      </c>
      <c r="AE243" s="195">
        <v>1.0924573137591036</v>
      </c>
      <c r="AF243" s="195">
        <v>11201608.03314014</v>
      </c>
      <c r="AG243" s="195">
        <v>14540455.922313515</v>
      </c>
      <c r="AH243" s="195">
        <v>4194628.853166084</v>
      </c>
      <c r="AI243" s="195">
        <v>1435981.6365698068</v>
      </c>
      <c r="AJ243" s="195">
        <v>460</v>
      </c>
      <c r="AK243" s="195">
        <v>3986</v>
      </c>
      <c r="AL243" s="195">
        <v>0.8691587465074503</v>
      </c>
      <c r="AM243" s="195">
        <v>267</v>
      </c>
      <c r="AN243" s="195">
        <v>0.02957793286806248</v>
      </c>
      <c r="AO243" s="195">
        <v>0.025609678899808513</v>
      </c>
      <c r="AP243" s="195">
        <v>0</v>
      </c>
      <c r="AQ243" s="195">
        <v>46</v>
      </c>
      <c r="AR243" s="195">
        <v>0</v>
      </c>
      <c r="AS243" s="195">
        <v>0</v>
      </c>
      <c r="AT243" s="195">
        <v>0</v>
      </c>
      <c r="AU243" s="195">
        <v>667.79</v>
      </c>
      <c r="AV243" s="195">
        <v>13.517722637356055</v>
      </c>
      <c r="AW243" s="195">
        <v>1.3393761356936515</v>
      </c>
      <c r="AX243" s="195">
        <v>481</v>
      </c>
      <c r="AY243" s="195">
        <v>2530</v>
      </c>
      <c r="AZ243" s="195">
        <v>0.19011857707509883</v>
      </c>
      <c r="BA243" s="195">
        <v>0.12509577687243034</v>
      </c>
      <c r="BB243" s="195">
        <v>0</v>
      </c>
      <c r="BC243" s="195">
        <v>2852</v>
      </c>
      <c r="BD243" s="195">
        <v>3442</v>
      </c>
      <c r="BE243" s="195">
        <v>0.8285880302149913</v>
      </c>
      <c r="BF243" s="195">
        <v>0.3976465121726852</v>
      </c>
      <c r="BG243" s="195">
        <v>0</v>
      </c>
      <c r="BH243" s="195">
        <v>0</v>
      </c>
      <c r="BI243" s="195">
        <v>0</v>
      </c>
      <c r="BJ243" s="195">
        <v>-2166.48</v>
      </c>
      <c r="BK243" s="195">
        <v>-37010.7</v>
      </c>
      <c r="BL243" s="195">
        <v>-2527.5600000000004</v>
      </c>
      <c r="BM243" s="195">
        <v>-12908.609999999999</v>
      </c>
      <c r="BN243" s="195">
        <v>-361.08</v>
      </c>
      <c r="BO243" s="195">
        <v>-61765</v>
      </c>
      <c r="BP243" s="195">
        <v>-188079.01834851288</v>
      </c>
      <c r="BQ243" s="195">
        <v>-771537.69</v>
      </c>
      <c r="BR243" s="195">
        <v>273763.0343242958</v>
      </c>
      <c r="BS243" s="195">
        <v>887508</v>
      </c>
      <c r="BT243" s="195">
        <v>278652</v>
      </c>
      <c r="BU243" s="195">
        <v>659966.2377995836</v>
      </c>
      <c r="BV243" s="195">
        <v>34333.41140619083</v>
      </c>
      <c r="BW243" s="195">
        <v>121275.90096974367</v>
      </c>
      <c r="BX243" s="195">
        <v>306245.2735996983</v>
      </c>
      <c r="BY243" s="195">
        <v>520045.1105944065</v>
      </c>
      <c r="BZ243" s="195">
        <v>867204.306433908</v>
      </c>
      <c r="CA243" s="195">
        <v>247332.5036880364</v>
      </c>
      <c r="CB243" s="195">
        <v>812.43</v>
      </c>
      <c r="CC243" s="195">
        <v>38569.49867070903</v>
      </c>
      <c r="CD243" s="195">
        <v>4174484.327486572</v>
      </c>
      <c r="CE243" s="195">
        <v>2893596.689138059</v>
      </c>
      <c r="CF243" s="195">
        <v>0</v>
      </c>
      <c r="CG243" s="229">
        <v>6639971.290330255</v>
      </c>
      <c r="CH243" s="195">
        <v>-269167</v>
      </c>
      <c r="CI243" s="195">
        <v>114054.58870000008</v>
      </c>
      <c r="CJ243" s="195">
        <v>24916464.593398467</v>
      </c>
      <c r="CL243" s="195">
        <v>9093</v>
      </c>
    </row>
    <row r="244" spans="1:90" ht="9.75">
      <c r="A244" s="195">
        <v>762</v>
      </c>
      <c r="B244" s="195" t="s">
        <v>311</v>
      </c>
      <c r="C244" s="195">
        <v>4199</v>
      </c>
      <c r="D244" s="195">
        <v>15022767.05</v>
      </c>
      <c r="E244" s="195">
        <v>8720716.399126347</v>
      </c>
      <c r="F244" s="195">
        <v>1700002.642270807</v>
      </c>
      <c r="G244" s="195">
        <v>25443486.091397155</v>
      </c>
      <c r="H244" s="195">
        <v>3540.31</v>
      </c>
      <c r="I244" s="195">
        <v>14865761.69</v>
      </c>
      <c r="J244" s="195">
        <v>10577724.401397156</v>
      </c>
      <c r="K244" s="195">
        <v>270997.99030935665</v>
      </c>
      <c r="L244" s="195">
        <v>1497191.5785613726</v>
      </c>
      <c r="M244" s="195">
        <v>0</v>
      </c>
      <c r="N244" s="195">
        <v>12345913.970267884</v>
      </c>
      <c r="O244" s="195">
        <v>3344122.0506497556</v>
      </c>
      <c r="P244" s="195">
        <v>15690036.02091764</v>
      </c>
      <c r="Q244" s="195">
        <v>188</v>
      </c>
      <c r="R244" s="195">
        <v>39</v>
      </c>
      <c r="S244" s="195">
        <v>242</v>
      </c>
      <c r="T244" s="195">
        <v>133</v>
      </c>
      <c r="U244" s="195">
        <v>117</v>
      </c>
      <c r="V244" s="195">
        <v>2224</v>
      </c>
      <c r="W244" s="195">
        <v>673</v>
      </c>
      <c r="X244" s="195">
        <v>404</v>
      </c>
      <c r="Y244" s="195">
        <v>179</v>
      </c>
      <c r="Z244" s="195">
        <v>2</v>
      </c>
      <c r="AA244" s="195">
        <v>0</v>
      </c>
      <c r="AB244" s="195">
        <v>4147</v>
      </c>
      <c r="AC244" s="195">
        <v>50</v>
      </c>
      <c r="AD244" s="195">
        <v>1256</v>
      </c>
      <c r="AE244" s="195">
        <v>1.8284110441460053</v>
      </c>
      <c r="AF244" s="195">
        <v>8720716.399126347</v>
      </c>
      <c r="AG244" s="195">
        <v>4391997.815614347</v>
      </c>
      <c r="AH244" s="195">
        <v>1117762.6434328584</v>
      </c>
      <c r="AI244" s="195">
        <v>437037.88939081086</v>
      </c>
      <c r="AJ244" s="195">
        <v>281</v>
      </c>
      <c r="AK244" s="195">
        <v>1820</v>
      </c>
      <c r="AL244" s="195">
        <v>1.1628226953722096</v>
      </c>
      <c r="AM244" s="195">
        <v>50</v>
      </c>
      <c r="AN244" s="195">
        <v>0.011907597046915932</v>
      </c>
      <c r="AO244" s="195">
        <v>0.007939343078661964</v>
      </c>
      <c r="AP244" s="195">
        <v>0</v>
      </c>
      <c r="AQ244" s="195">
        <v>2</v>
      </c>
      <c r="AR244" s="195">
        <v>0</v>
      </c>
      <c r="AS244" s="195">
        <v>0</v>
      </c>
      <c r="AT244" s="195">
        <v>0</v>
      </c>
      <c r="AU244" s="195">
        <v>1465.82</v>
      </c>
      <c r="AV244" s="195">
        <v>2.8646082056459865</v>
      </c>
      <c r="AW244" s="195">
        <v>6.320346033260661</v>
      </c>
      <c r="AX244" s="195">
        <v>199</v>
      </c>
      <c r="AY244" s="195">
        <v>1120</v>
      </c>
      <c r="AZ244" s="195">
        <v>0.17767857142857144</v>
      </c>
      <c r="BA244" s="195">
        <v>0.11265577122590296</v>
      </c>
      <c r="BB244" s="195">
        <v>0.18685</v>
      </c>
      <c r="BC244" s="195">
        <v>1215</v>
      </c>
      <c r="BD244" s="195">
        <v>1450</v>
      </c>
      <c r="BE244" s="195">
        <v>0.8379310344827586</v>
      </c>
      <c r="BF244" s="195">
        <v>0.40698951644045256</v>
      </c>
      <c r="BG244" s="195">
        <v>0</v>
      </c>
      <c r="BH244" s="195">
        <v>0</v>
      </c>
      <c r="BI244" s="195">
        <v>0</v>
      </c>
      <c r="BJ244" s="195">
        <v>-1007.76</v>
      </c>
      <c r="BK244" s="195">
        <v>-17215.899999999998</v>
      </c>
      <c r="BL244" s="195">
        <v>-1175.72</v>
      </c>
      <c r="BM244" s="195">
        <v>-6004.57</v>
      </c>
      <c r="BN244" s="195">
        <v>-167.96</v>
      </c>
      <c r="BO244" s="195">
        <v>204685</v>
      </c>
      <c r="BP244" s="195">
        <v>-138058.00283029137</v>
      </c>
      <c r="BQ244" s="195">
        <v>-358888.52999999997</v>
      </c>
      <c r="BR244" s="195">
        <v>17535.917514123023</v>
      </c>
      <c r="BS244" s="195">
        <v>462495</v>
      </c>
      <c r="BT244" s="195">
        <v>137719</v>
      </c>
      <c r="BU244" s="195">
        <v>362954.3737061537</v>
      </c>
      <c r="BV244" s="195">
        <v>19428.27120983442</v>
      </c>
      <c r="BW244" s="195">
        <v>53100.47284489389</v>
      </c>
      <c r="BX244" s="195">
        <v>169435.35904417702</v>
      </c>
      <c r="BY244" s="195">
        <v>237698.85287035187</v>
      </c>
      <c r="BZ244" s="195">
        <v>367781.046506204</v>
      </c>
      <c r="CA244" s="195">
        <v>107182.99527345145</v>
      </c>
      <c r="CB244" s="195">
        <v>377.90999999999997</v>
      </c>
      <c r="CC244" s="195">
        <v>2934.382422474824</v>
      </c>
      <c r="CD244" s="195">
        <v>2143580.5213916637</v>
      </c>
      <c r="CE244" s="195">
        <v>1497191.5785613726</v>
      </c>
      <c r="CF244" s="195">
        <v>0</v>
      </c>
      <c r="CG244" s="229">
        <v>3344122.0506497556</v>
      </c>
      <c r="CH244" s="195">
        <v>-103824</v>
      </c>
      <c r="CI244" s="195">
        <v>59784.471800000014</v>
      </c>
      <c r="CJ244" s="195">
        <v>15586212.02091764</v>
      </c>
      <c r="CL244" s="195">
        <v>4278</v>
      </c>
    </row>
    <row r="245" spans="1:90" ht="9.75">
      <c r="A245" s="195">
        <v>765</v>
      </c>
      <c r="B245" s="195" t="s">
        <v>312</v>
      </c>
      <c r="C245" s="195">
        <v>10471</v>
      </c>
      <c r="D245" s="195">
        <v>36741417.300000004</v>
      </c>
      <c r="E245" s="195">
        <v>13737313.91838307</v>
      </c>
      <c r="F245" s="195">
        <v>3296085.978887642</v>
      </c>
      <c r="G245" s="195">
        <v>53774817.197270714</v>
      </c>
      <c r="H245" s="195">
        <v>3540.31</v>
      </c>
      <c r="I245" s="195">
        <v>37070586.01</v>
      </c>
      <c r="J245" s="195">
        <v>16704231.187270716</v>
      </c>
      <c r="K245" s="195">
        <v>1242181.6144137813</v>
      </c>
      <c r="L245" s="195">
        <v>2625714.934367921</v>
      </c>
      <c r="M245" s="195">
        <v>0</v>
      </c>
      <c r="N245" s="195">
        <v>20572127.73605242</v>
      </c>
      <c r="O245" s="195">
        <v>5065054.7166494075</v>
      </c>
      <c r="P245" s="195">
        <v>25637182.45270183</v>
      </c>
      <c r="Q245" s="195">
        <v>624</v>
      </c>
      <c r="R245" s="195">
        <v>120</v>
      </c>
      <c r="S245" s="195">
        <v>683</v>
      </c>
      <c r="T245" s="195">
        <v>347</v>
      </c>
      <c r="U245" s="195">
        <v>359</v>
      </c>
      <c r="V245" s="195">
        <v>5789</v>
      </c>
      <c r="W245" s="195">
        <v>1388</v>
      </c>
      <c r="X245" s="195">
        <v>809</v>
      </c>
      <c r="Y245" s="195">
        <v>352</v>
      </c>
      <c r="Z245" s="195">
        <v>13</v>
      </c>
      <c r="AA245" s="195">
        <v>0</v>
      </c>
      <c r="AB245" s="195">
        <v>10204</v>
      </c>
      <c r="AC245" s="195">
        <v>254</v>
      </c>
      <c r="AD245" s="195">
        <v>2549</v>
      </c>
      <c r="AE245" s="195">
        <v>1.1549979416992044</v>
      </c>
      <c r="AF245" s="195">
        <v>13737313.91838307</v>
      </c>
      <c r="AG245" s="195">
        <v>13575770.577774143</v>
      </c>
      <c r="AH245" s="195">
        <v>3581859.447222033</v>
      </c>
      <c r="AI245" s="195">
        <v>1328951.9493720573</v>
      </c>
      <c r="AJ245" s="195">
        <v>602</v>
      </c>
      <c r="AK245" s="195">
        <v>4834</v>
      </c>
      <c r="AL245" s="195">
        <v>0.9379256496889674</v>
      </c>
      <c r="AM245" s="195">
        <v>254</v>
      </c>
      <c r="AN245" s="195">
        <v>0.024257473020723903</v>
      </c>
      <c r="AO245" s="195">
        <v>0.020289219052469935</v>
      </c>
      <c r="AP245" s="195">
        <v>0</v>
      </c>
      <c r="AQ245" s="195">
        <v>13</v>
      </c>
      <c r="AR245" s="195">
        <v>0</v>
      </c>
      <c r="AS245" s="195">
        <v>0</v>
      </c>
      <c r="AT245" s="195">
        <v>0</v>
      </c>
      <c r="AU245" s="195">
        <v>2649.15</v>
      </c>
      <c r="AV245" s="195">
        <v>3.952588566143857</v>
      </c>
      <c r="AW245" s="195">
        <v>4.580622244491306</v>
      </c>
      <c r="AX245" s="195">
        <v>346</v>
      </c>
      <c r="AY245" s="195">
        <v>3182</v>
      </c>
      <c r="AZ245" s="195">
        <v>0.10873664362036455</v>
      </c>
      <c r="BA245" s="195">
        <v>0.043713843417696074</v>
      </c>
      <c r="BB245" s="195">
        <v>0.41915</v>
      </c>
      <c r="BC245" s="195">
        <v>3805</v>
      </c>
      <c r="BD245" s="195">
        <v>4093</v>
      </c>
      <c r="BE245" s="195">
        <v>0.9296359638407037</v>
      </c>
      <c r="BF245" s="195">
        <v>0.4986944457983976</v>
      </c>
      <c r="BG245" s="195">
        <v>0</v>
      </c>
      <c r="BH245" s="195">
        <v>0</v>
      </c>
      <c r="BI245" s="195">
        <v>0</v>
      </c>
      <c r="BJ245" s="195">
        <v>-2513.04</v>
      </c>
      <c r="BK245" s="195">
        <v>-42931.1</v>
      </c>
      <c r="BL245" s="195">
        <v>-2931.88</v>
      </c>
      <c r="BM245" s="195">
        <v>-14973.529999999999</v>
      </c>
      <c r="BN245" s="195">
        <v>-418.84000000000003</v>
      </c>
      <c r="BO245" s="195">
        <v>96374</v>
      </c>
      <c r="BP245" s="195">
        <v>-399167.7038354077</v>
      </c>
      <c r="BQ245" s="195">
        <v>-894956.37</v>
      </c>
      <c r="BR245" s="195">
        <v>231609.68106403947</v>
      </c>
      <c r="BS245" s="195">
        <v>912888</v>
      </c>
      <c r="BT245" s="195">
        <v>295616</v>
      </c>
      <c r="BU245" s="195">
        <v>660849.7534606402</v>
      </c>
      <c r="BV245" s="195">
        <v>27703.440061382953</v>
      </c>
      <c r="BW245" s="195">
        <v>87037.29789209824</v>
      </c>
      <c r="BX245" s="195">
        <v>309699.4777221213</v>
      </c>
      <c r="BY245" s="195">
        <v>562001.1400410109</v>
      </c>
      <c r="BZ245" s="195">
        <v>866031.8469819147</v>
      </c>
      <c r="CA245" s="195">
        <v>281770.4265671333</v>
      </c>
      <c r="CB245" s="195">
        <v>942.39</v>
      </c>
      <c r="CC245" s="195">
        <v>-40649.81558701109</v>
      </c>
      <c r="CD245" s="195">
        <v>4292501.898203329</v>
      </c>
      <c r="CE245" s="195">
        <v>2625714.934367921</v>
      </c>
      <c r="CF245" s="195">
        <v>0</v>
      </c>
      <c r="CG245" s="229">
        <v>5065054.7166494075</v>
      </c>
      <c r="CH245" s="195">
        <v>588822</v>
      </c>
      <c r="CI245" s="195">
        <v>-17990.094000000012</v>
      </c>
      <c r="CJ245" s="195">
        <v>26226004.45270183</v>
      </c>
      <c r="CL245" s="195">
        <v>10523</v>
      </c>
    </row>
    <row r="246" spans="1:90" ht="9.75">
      <c r="A246" s="195">
        <v>768</v>
      </c>
      <c r="B246" s="195" t="s">
        <v>313</v>
      </c>
      <c r="C246" s="195">
        <v>2661</v>
      </c>
      <c r="D246" s="195">
        <v>9834065.67</v>
      </c>
      <c r="E246" s="195">
        <v>4807695.014792341</v>
      </c>
      <c r="F246" s="195">
        <v>1900719.3485428472</v>
      </c>
      <c r="G246" s="195">
        <v>16542480.033335187</v>
      </c>
      <c r="H246" s="195">
        <v>3540.31</v>
      </c>
      <c r="I246" s="195">
        <v>9420764.91</v>
      </c>
      <c r="J246" s="195">
        <v>7121715.123335186</v>
      </c>
      <c r="K246" s="195">
        <v>303712.35498769005</v>
      </c>
      <c r="L246" s="195">
        <v>1182285.000203086</v>
      </c>
      <c r="M246" s="195">
        <v>0</v>
      </c>
      <c r="N246" s="195">
        <v>8607712.478525963</v>
      </c>
      <c r="O246" s="195">
        <v>2203078.1278065112</v>
      </c>
      <c r="P246" s="195">
        <v>10810790.606332473</v>
      </c>
      <c r="Q246" s="195">
        <v>86</v>
      </c>
      <c r="R246" s="195">
        <v>16</v>
      </c>
      <c r="S246" s="195">
        <v>103</v>
      </c>
      <c r="T246" s="195">
        <v>78</v>
      </c>
      <c r="U246" s="195">
        <v>76</v>
      </c>
      <c r="V246" s="195">
        <v>1338</v>
      </c>
      <c r="W246" s="195">
        <v>490</v>
      </c>
      <c r="X246" s="195">
        <v>326</v>
      </c>
      <c r="Y246" s="195">
        <v>148</v>
      </c>
      <c r="Z246" s="195">
        <v>3</v>
      </c>
      <c r="AA246" s="195">
        <v>0</v>
      </c>
      <c r="AB246" s="195">
        <v>2594</v>
      </c>
      <c r="AC246" s="195">
        <v>64</v>
      </c>
      <c r="AD246" s="195">
        <v>964</v>
      </c>
      <c r="AE246" s="195">
        <v>1.5905948876679419</v>
      </c>
      <c r="AF246" s="195">
        <v>4807695.014792341</v>
      </c>
      <c r="AG246" s="195">
        <v>9005458.9459916</v>
      </c>
      <c r="AH246" s="195">
        <v>3313098.2876498247</v>
      </c>
      <c r="AI246" s="195">
        <v>865156.6381818091</v>
      </c>
      <c r="AJ246" s="195">
        <v>162</v>
      </c>
      <c r="AK246" s="195">
        <v>1106</v>
      </c>
      <c r="AL246" s="195">
        <v>1.1031598704688828</v>
      </c>
      <c r="AM246" s="195">
        <v>64</v>
      </c>
      <c r="AN246" s="195">
        <v>0.024051108605787297</v>
      </c>
      <c r="AO246" s="195">
        <v>0.02008285463753333</v>
      </c>
      <c r="AP246" s="195">
        <v>0</v>
      </c>
      <c r="AQ246" s="195">
        <v>3</v>
      </c>
      <c r="AR246" s="195">
        <v>0</v>
      </c>
      <c r="AS246" s="195">
        <v>1</v>
      </c>
      <c r="AT246" s="195">
        <v>0</v>
      </c>
      <c r="AU246" s="195">
        <v>584.63</v>
      </c>
      <c r="AV246" s="195">
        <v>4.5515967363973795</v>
      </c>
      <c r="AW246" s="195">
        <v>3.9777942023332744</v>
      </c>
      <c r="AX246" s="195">
        <v>131</v>
      </c>
      <c r="AY246" s="195">
        <v>670</v>
      </c>
      <c r="AZ246" s="195">
        <v>0.19552238805970149</v>
      </c>
      <c r="BA246" s="195">
        <v>0.13049958785703303</v>
      </c>
      <c r="BB246" s="195">
        <v>0.39875</v>
      </c>
      <c r="BC246" s="195">
        <v>871</v>
      </c>
      <c r="BD246" s="195">
        <v>941</v>
      </c>
      <c r="BE246" s="195">
        <v>0.9256110520722636</v>
      </c>
      <c r="BF246" s="195">
        <v>0.4946695340299575</v>
      </c>
      <c r="BG246" s="195">
        <v>0</v>
      </c>
      <c r="BH246" s="195">
        <v>0</v>
      </c>
      <c r="BI246" s="195">
        <v>0</v>
      </c>
      <c r="BJ246" s="195">
        <v>-638.64</v>
      </c>
      <c r="BK246" s="195">
        <v>-10910.099999999999</v>
      </c>
      <c r="BL246" s="195">
        <v>-745.08</v>
      </c>
      <c r="BM246" s="195">
        <v>-3805.23</v>
      </c>
      <c r="BN246" s="195">
        <v>-106.44</v>
      </c>
      <c r="BO246" s="195">
        <v>41103</v>
      </c>
      <c r="BP246" s="195">
        <v>-112547.2849159984</v>
      </c>
      <c r="BQ246" s="195">
        <v>-227435.66999999998</v>
      </c>
      <c r="BR246" s="195">
        <v>295311.2232803684</v>
      </c>
      <c r="BS246" s="195">
        <v>318438</v>
      </c>
      <c r="BT246" s="195">
        <v>93179</v>
      </c>
      <c r="BU246" s="195">
        <v>245802.51333843436</v>
      </c>
      <c r="BV246" s="195">
        <v>13843.474499437989</v>
      </c>
      <c r="BW246" s="195">
        <v>41836.60849986856</v>
      </c>
      <c r="BX246" s="195">
        <v>124518.57130691377</v>
      </c>
      <c r="BY246" s="195">
        <v>153944.94648687728</v>
      </c>
      <c r="BZ246" s="195">
        <v>236716.76625517706</v>
      </c>
      <c r="CA246" s="195">
        <v>65871.98608176643</v>
      </c>
      <c r="CB246" s="195">
        <v>239.48999999999998</v>
      </c>
      <c r="CC246" s="195">
        <v>-13992.294629759628</v>
      </c>
      <c r="CD246" s="195">
        <v>1616972.9451190843</v>
      </c>
      <c r="CE246" s="195">
        <v>1182285.000203086</v>
      </c>
      <c r="CF246" s="195">
        <v>0</v>
      </c>
      <c r="CG246" s="229">
        <v>2203078.1278065112</v>
      </c>
      <c r="CH246" s="195">
        <v>182743</v>
      </c>
      <c r="CI246" s="195">
        <v>148066.2954</v>
      </c>
      <c r="CJ246" s="195">
        <v>10993533.606332473</v>
      </c>
      <c r="CL246" s="195">
        <v>2724</v>
      </c>
    </row>
    <row r="247" spans="1:90" ht="9.75">
      <c r="A247" s="195">
        <v>777</v>
      </c>
      <c r="B247" s="195" t="s">
        <v>314</v>
      </c>
      <c r="C247" s="195">
        <v>8187</v>
      </c>
      <c r="D247" s="195">
        <v>28850706.99</v>
      </c>
      <c r="E247" s="195">
        <v>13732758.859209953</v>
      </c>
      <c r="F247" s="195">
        <v>5139112.136987814</v>
      </c>
      <c r="G247" s="195">
        <v>47722577.98619776</v>
      </c>
      <c r="H247" s="195">
        <v>3540.31</v>
      </c>
      <c r="I247" s="195">
        <v>28984517.97</v>
      </c>
      <c r="J247" s="195">
        <v>18738060.016197763</v>
      </c>
      <c r="K247" s="195">
        <v>3726903.6835885877</v>
      </c>
      <c r="L247" s="195">
        <v>2805618.24652982</v>
      </c>
      <c r="M247" s="195">
        <v>0</v>
      </c>
      <c r="N247" s="195">
        <v>25270581.94631617</v>
      </c>
      <c r="O247" s="195">
        <v>6193898.402025364</v>
      </c>
      <c r="P247" s="195">
        <v>31464480.348341536</v>
      </c>
      <c r="Q247" s="195">
        <v>324</v>
      </c>
      <c r="R247" s="195">
        <v>54</v>
      </c>
      <c r="S247" s="195">
        <v>386</v>
      </c>
      <c r="T247" s="195">
        <v>244</v>
      </c>
      <c r="U247" s="195">
        <v>222</v>
      </c>
      <c r="V247" s="195">
        <v>4346</v>
      </c>
      <c r="W247" s="195">
        <v>1394</v>
      </c>
      <c r="X247" s="195">
        <v>844</v>
      </c>
      <c r="Y247" s="195">
        <v>373</v>
      </c>
      <c r="Z247" s="195">
        <v>4</v>
      </c>
      <c r="AA247" s="195">
        <v>0</v>
      </c>
      <c r="AB247" s="195">
        <v>7995</v>
      </c>
      <c r="AC247" s="195">
        <v>188</v>
      </c>
      <c r="AD247" s="195">
        <v>2611</v>
      </c>
      <c r="AE247" s="195">
        <v>1.476728140800836</v>
      </c>
      <c r="AF247" s="195">
        <v>13732758.859209953</v>
      </c>
      <c r="AG247" s="195">
        <v>17705897.85291246</v>
      </c>
      <c r="AH247" s="195">
        <v>3704843.527402576</v>
      </c>
      <c r="AI247" s="195">
        <v>1783828.1199624932</v>
      </c>
      <c r="AJ247" s="195">
        <v>633</v>
      </c>
      <c r="AK247" s="195">
        <v>3576</v>
      </c>
      <c r="AL247" s="195">
        <v>1.333167652310886</v>
      </c>
      <c r="AM247" s="195">
        <v>188</v>
      </c>
      <c r="AN247" s="195">
        <v>0.02296323439599365</v>
      </c>
      <c r="AO247" s="195">
        <v>0.018994980427739682</v>
      </c>
      <c r="AP247" s="195">
        <v>0</v>
      </c>
      <c r="AQ247" s="195">
        <v>4</v>
      </c>
      <c r="AR247" s="195">
        <v>0</v>
      </c>
      <c r="AS247" s="195">
        <v>0</v>
      </c>
      <c r="AT247" s="195">
        <v>0</v>
      </c>
      <c r="AU247" s="195">
        <v>5270.79</v>
      </c>
      <c r="AV247" s="195">
        <v>1.5532775921636035</v>
      </c>
      <c r="AW247" s="195">
        <v>11.656200540549326</v>
      </c>
      <c r="AX247" s="195">
        <v>293</v>
      </c>
      <c r="AY247" s="195">
        <v>2247</v>
      </c>
      <c r="AZ247" s="195">
        <v>0.1303960836671117</v>
      </c>
      <c r="BA247" s="195">
        <v>0.06537328346444322</v>
      </c>
      <c r="BB247" s="195">
        <v>1.355882</v>
      </c>
      <c r="BC247" s="195">
        <v>2559</v>
      </c>
      <c r="BD247" s="195">
        <v>2714</v>
      </c>
      <c r="BE247" s="195">
        <v>0.9428887251289609</v>
      </c>
      <c r="BF247" s="195">
        <v>0.5119472070866549</v>
      </c>
      <c r="BG247" s="195">
        <v>0</v>
      </c>
      <c r="BH247" s="195">
        <v>0</v>
      </c>
      <c r="BI247" s="195">
        <v>0</v>
      </c>
      <c r="BJ247" s="195">
        <v>-1964.8799999999999</v>
      </c>
      <c r="BK247" s="195">
        <v>-33566.7</v>
      </c>
      <c r="BL247" s="195">
        <v>-2292.36</v>
      </c>
      <c r="BM247" s="195">
        <v>-11707.41</v>
      </c>
      <c r="BN247" s="195">
        <v>-327.48</v>
      </c>
      <c r="BO247" s="195">
        <v>441756</v>
      </c>
      <c r="BP247" s="195">
        <v>-292622.9407815959</v>
      </c>
      <c r="BQ247" s="195">
        <v>-699742.89</v>
      </c>
      <c r="BR247" s="195">
        <v>227788.47878620028</v>
      </c>
      <c r="BS247" s="195">
        <v>806106</v>
      </c>
      <c r="BT247" s="195">
        <v>248854</v>
      </c>
      <c r="BU247" s="195">
        <v>595489.9535003655</v>
      </c>
      <c r="BV247" s="195">
        <v>36314.84846337842</v>
      </c>
      <c r="BW247" s="195">
        <v>101867.12397049421</v>
      </c>
      <c r="BX247" s="195">
        <v>342837.98978718405</v>
      </c>
      <c r="BY247" s="195">
        <v>442690.38575004897</v>
      </c>
      <c r="BZ247" s="195">
        <v>683870.585123963</v>
      </c>
      <c r="CA247" s="195">
        <v>237347.23161594116</v>
      </c>
      <c r="CB247" s="195">
        <v>736.8299999999999</v>
      </c>
      <c r="CC247" s="195">
        <v>-76791.2396861595</v>
      </c>
      <c r="CD247" s="195">
        <v>4089359.4073114158</v>
      </c>
      <c r="CE247" s="195">
        <v>2805618.24652982</v>
      </c>
      <c r="CF247" s="195">
        <v>0</v>
      </c>
      <c r="CG247" s="229">
        <v>6193898.402025364</v>
      </c>
      <c r="CH247" s="195">
        <v>-348020</v>
      </c>
      <c r="CI247" s="195">
        <v>102869.44330000001</v>
      </c>
      <c r="CJ247" s="195">
        <v>31116460.348341536</v>
      </c>
      <c r="CL247" s="195">
        <v>8336</v>
      </c>
    </row>
    <row r="248" spans="1:90" ht="9.75">
      <c r="A248" s="195">
        <v>778</v>
      </c>
      <c r="B248" s="195" t="s">
        <v>315</v>
      </c>
      <c r="C248" s="195">
        <v>7312</v>
      </c>
      <c r="D248" s="195">
        <v>26861502.65</v>
      </c>
      <c r="E248" s="195">
        <v>14341892.244706511</v>
      </c>
      <c r="F248" s="195">
        <v>1523330.368098171</v>
      </c>
      <c r="G248" s="195">
        <v>42726725.26280468</v>
      </c>
      <c r="H248" s="195">
        <v>3540.31</v>
      </c>
      <c r="I248" s="195">
        <v>25886746.72</v>
      </c>
      <c r="J248" s="195">
        <v>16839978.54280468</v>
      </c>
      <c r="K248" s="195">
        <v>292402.0978584152</v>
      </c>
      <c r="L248" s="195">
        <v>1955934.390695145</v>
      </c>
      <c r="M248" s="195">
        <v>0</v>
      </c>
      <c r="N248" s="195">
        <v>19088315.03135824</v>
      </c>
      <c r="O248" s="195">
        <v>5624179.518109086</v>
      </c>
      <c r="P248" s="195">
        <v>24712494.549467325</v>
      </c>
      <c r="Q248" s="195">
        <v>403</v>
      </c>
      <c r="R248" s="195">
        <v>68</v>
      </c>
      <c r="S248" s="195">
        <v>424</v>
      </c>
      <c r="T248" s="195">
        <v>227</v>
      </c>
      <c r="U248" s="195">
        <v>224</v>
      </c>
      <c r="V248" s="195">
        <v>3831</v>
      </c>
      <c r="W248" s="195">
        <v>1106</v>
      </c>
      <c r="X248" s="195">
        <v>707</v>
      </c>
      <c r="Y248" s="195">
        <v>322</v>
      </c>
      <c r="Z248" s="195">
        <v>3</v>
      </c>
      <c r="AA248" s="195">
        <v>0</v>
      </c>
      <c r="AB248" s="195">
        <v>7144</v>
      </c>
      <c r="AC248" s="195">
        <v>165</v>
      </c>
      <c r="AD248" s="195">
        <v>2135</v>
      </c>
      <c r="AE248" s="195">
        <v>1.7267832197235617</v>
      </c>
      <c r="AF248" s="195">
        <v>14341892.244706511</v>
      </c>
      <c r="AG248" s="195">
        <v>5755403.029250955</v>
      </c>
      <c r="AH248" s="195">
        <v>1594340.1054150856</v>
      </c>
      <c r="AI248" s="195">
        <v>517310.154789123</v>
      </c>
      <c r="AJ248" s="195">
        <v>342</v>
      </c>
      <c r="AK248" s="195">
        <v>3108</v>
      </c>
      <c r="AL248" s="195">
        <v>0.8287502330199166</v>
      </c>
      <c r="AM248" s="195">
        <v>165</v>
      </c>
      <c r="AN248" s="195">
        <v>0.022565645514223194</v>
      </c>
      <c r="AO248" s="195">
        <v>0.018597391545969226</v>
      </c>
      <c r="AP248" s="195">
        <v>0</v>
      </c>
      <c r="AQ248" s="195">
        <v>3</v>
      </c>
      <c r="AR248" s="195">
        <v>0</v>
      </c>
      <c r="AS248" s="195">
        <v>0</v>
      </c>
      <c r="AT248" s="195">
        <v>0</v>
      </c>
      <c r="AU248" s="195">
        <v>713.54</v>
      </c>
      <c r="AV248" s="195">
        <v>10.247498388317403</v>
      </c>
      <c r="AW248" s="195">
        <v>1.7668034112639044</v>
      </c>
      <c r="AX248" s="195">
        <v>306</v>
      </c>
      <c r="AY248" s="195">
        <v>2094</v>
      </c>
      <c r="AZ248" s="195">
        <v>0.14613180515759314</v>
      </c>
      <c r="BA248" s="195">
        <v>0.08110900495492467</v>
      </c>
      <c r="BB248" s="195">
        <v>0.0468</v>
      </c>
      <c r="BC248" s="195">
        <v>2428</v>
      </c>
      <c r="BD248" s="195">
        <v>2667</v>
      </c>
      <c r="BE248" s="195">
        <v>0.9103862017247843</v>
      </c>
      <c r="BF248" s="195">
        <v>0.4794446836824783</v>
      </c>
      <c r="BG248" s="195">
        <v>0</v>
      </c>
      <c r="BH248" s="195">
        <v>0</v>
      </c>
      <c r="BI248" s="195">
        <v>0</v>
      </c>
      <c r="BJ248" s="195">
        <v>-1754.8799999999999</v>
      </c>
      <c r="BK248" s="195">
        <v>-29979.199999999997</v>
      </c>
      <c r="BL248" s="195">
        <v>-2047.3600000000001</v>
      </c>
      <c r="BM248" s="195">
        <v>-10456.16</v>
      </c>
      <c r="BN248" s="195">
        <v>-292.48</v>
      </c>
      <c r="BO248" s="195">
        <v>162668</v>
      </c>
      <c r="BP248" s="195">
        <v>-382660.7687143946</v>
      </c>
      <c r="BQ248" s="195">
        <v>-624956.64</v>
      </c>
      <c r="BR248" s="195">
        <v>90136.78364054114</v>
      </c>
      <c r="BS248" s="195">
        <v>704270</v>
      </c>
      <c r="BT248" s="195">
        <v>209751</v>
      </c>
      <c r="BU248" s="195">
        <v>485287.2878394426</v>
      </c>
      <c r="BV248" s="195">
        <v>25695.22304491622</v>
      </c>
      <c r="BW248" s="195">
        <v>43720.77733674577</v>
      </c>
      <c r="BX248" s="195">
        <v>273033.9694706407</v>
      </c>
      <c r="BY248" s="195">
        <v>378602.8976657321</v>
      </c>
      <c r="BZ248" s="195">
        <v>648137.3381879628</v>
      </c>
      <c r="CA248" s="195">
        <v>210598.48865163984</v>
      </c>
      <c r="CB248" s="195">
        <v>658.0799999999999</v>
      </c>
      <c r="CC248" s="195">
        <v>-9212.686428081506</v>
      </c>
      <c r="CD248" s="195">
        <v>3223785.8794095395</v>
      </c>
      <c r="CE248" s="195">
        <v>1955934.390695145</v>
      </c>
      <c r="CF248" s="195">
        <v>0</v>
      </c>
      <c r="CG248" s="229">
        <v>5624179.518109086</v>
      </c>
      <c r="CH248" s="195">
        <v>-89331</v>
      </c>
      <c r="CI248" s="195">
        <v>81111.85860000004</v>
      </c>
      <c r="CJ248" s="195">
        <v>24623163.549467325</v>
      </c>
      <c r="CL248" s="195">
        <v>7390</v>
      </c>
    </row>
    <row r="249" spans="1:90" ht="9.75">
      <c r="A249" s="195">
        <v>781</v>
      </c>
      <c r="B249" s="195" t="s">
        <v>316</v>
      </c>
      <c r="C249" s="195">
        <v>3953</v>
      </c>
      <c r="D249" s="195">
        <v>14950396.14</v>
      </c>
      <c r="E249" s="195">
        <v>6554526.960549193</v>
      </c>
      <c r="F249" s="195">
        <v>1081147.229508842</v>
      </c>
      <c r="G249" s="195">
        <v>22586070.33005804</v>
      </c>
      <c r="H249" s="195">
        <v>3540.31</v>
      </c>
      <c r="I249" s="195">
        <v>13994845.43</v>
      </c>
      <c r="J249" s="195">
        <v>8591224.900058039</v>
      </c>
      <c r="K249" s="195">
        <v>503879.34176748135</v>
      </c>
      <c r="L249" s="195">
        <v>1341518.5804335296</v>
      </c>
      <c r="M249" s="195">
        <v>0</v>
      </c>
      <c r="N249" s="195">
        <v>10436622.822259048</v>
      </c>
      <c r="O249" s="195">
        <v>3344482.7424547337</v>
      </c>
      <c r="P249" s="195">
        <v>13781105.564713782</v>
      </c>
      <c r="Q249" s="195">
        <v>135</v>
      </c>
      <c r="R249" s="195">
        <v>18</v>
      </c>
      <c r="S249" s="195">
        <v>172</v>
      </c>
      <c r="T249" s="195">
        <v>102</v>
      </c>
      <c r="U249" s="195">
        <v>118</v>
      </c>
      <c r="V249" s="195">
        <v>1901</v>
      </c>
      <c r="W249" s="195">
        <v>765</v>
      </c>
      <c r="X249" s="195">
        <v>511</v>
      </c>
      <c r="Y249" s="195">
        <v>231</v>
      </c>
      <c r="Z249" s="195">
        <v>9</v>
      </c>
      <c r="AA249" s="195">
        <v>1</v>
      </c>
      <c r="AB249" s="195">
        <v>3874</v>
      </c>
      <c r="AC249" s="195">
        <v>69</v>
      </c>
      <c r="AD249" s="195">
        <v>1507</v>
      </c>
      <c r="AE249" s="195">
        <v>1.4597621108999315</v>
      </c>
      <c r="AF249" s="195">
        <v>6554526.960549193</v>
      </c>
      <c r="AG249" s="195">
        <v>17077289.613813687</v>
      </c>
      <c r="AH249" s="195">
        <v>4277385.553944214</v>
      </c>
      <c r="AI249" s="195">
        <v>1971130.0725585548</v>
      </c>
      <c r="AJ249" s="195">
        <v>178</v>
      </c>
      <c r="AK249" s="195">
        <v>1552</v>
      </c>
      <c r="AL249" s="195">
        <v>0.863787376620641</v>
      </c>
      <c r="AM249" s="195">
        <v>69</v>
      </c>
      <c r="AN249" s="195">
        <v>0.01745509739438401</v>
      </c>
      <c r="AO249" s="195">
        <v>0.013486843426130043</v>
      </c>
      <c r="AP249" s="195">
        <v>0</v>
      </c>
      <c r="AQ249" s="195">
        <v>9</v>
      </c>
      <c r="AR249" s="195">
        <v>1</v>
      </c>
      <c r="AS249" s="195">
        <v>0</v>
      </c>
      <c r="AT249" s="195">
        <v>0</v>
      </c>
      <c r="AU249" s="195">
        <v>666.89</v>
      </c>
      <c r="AV249" s="195">
        <v>5.927514282715291</v>
      </c>
      <c r="AW249" s="195">
        <v>3.0544532237055737</v>
      </c>
      <c r="AX249" s="195">
        <v>198</v>
      </c>
      <c r="AY249" s="195">
        <v>974</v>
      </c>
      <c r="AZ249" s="195">
        <v>0.2032854209445585</v>
      </c>
      <c r="BA249" s="195">
        <v>0.13826262074189005</v>
      </c>
      <c r="BB249" s="195">
        <v>0.491066</v>
      </c>
      <c r="BC249" s="195">
        <v>1105</v>
      </c>
      <c r="BD249" s="195">
        <v>1327</v>
      </c>
      <c r="BE249" s="195">
        <v>0.8327053504144687</v>
      </c>
      <c r="BF249" s="195">
        <v>0.4017638323721626</v>
      </c>
      <c r="BG249" s="195">
        <v>0</v>
      </c>
      <c r="BH249" s="195">
        <v>1</v>
      </c>
      <c r="BI249" s="195">
        <v>0</v>
      </c>
      <c r="BJ249" s="195">
        <v>-948.7199999999999</v>
      </c>
      <c r="BK249" s="195">
        <v>-16207.3</v>
      </c>
      <c r="BL249" s="195">
        <v>-1106.8400000000001</v>
      </c>
      <c r="BM249" s="195">
        <v>-5652.79</v>
      </c>
      <c r="BN249" s="195">
        <v>-158.12</v>
      </c>
      <c r="BO249" s="195">
        <v>-24046</v>
      </c>
      <c r="BP249" s="195">
        <v>-105044.13258826517</v>
      </c>
      <c r="BQ249" s="195">
        <v>-337862.91</v>
      </c>
      <c r="BR249" s="195">
        <v>145472.55402242765</v>
      </c>
      <c r="BS249" s="195">
        <v>463075</v>
      </c>
      <c r="BT249" s="195">
        <v>135088</v>
      </c>
      <c r="BU249" s="195">
        <v>329559.86847875454</v>
      </c>
      <c r="BV249" s="195">
        <v>18974.214570919707</v>
      </c>
      <c r="BW249" s="195">
        <v>37232.07945562535</v>
      </c>
      <c r="BX249" s="195">
        <v>167524.88728627606</v>
      </c>
      <c r="BY249" s="195">
        <v>215960.8521776721</v>
      </c>
      <c r="BZ249" s="195">
        <v>346788.1419258695</v>
      </c>
      <c r="CA249" s="195">
        <v>99222.45797915918</v>
      </c>
      <c r="CB249" s="195">
        <v>355.77</v>
      </c>
      <c r="CC249" s="195">
        <v>-10332.11287490934</v>
      </c>
      <c r="CD249" s="195">
        <v>1925112.8930217947</v>
      </c>
      <c r="CE249" s="195">
        <v>1341518.5804335296</v>
      </c>
      <c r="CF249" s="195">
        <v>0</v>
      </c>
      <c r="CG249" s="229">
        <v>3344482.7424547337</v>
      </c>
      <c r="CH249" s="195">
        <v>-287655</v>
      </c>
      <c r="CI249" s="195">
        <v>8616.994299999991</v>
      </c>
      <c r="CJ249" s="195">
        <v>13493450.564713782</v>
      </c>
      <c r="CL249" s="195">
        <v>4040</v>
      </c>
    </row>
    <row r="250" spans="1:90" ht="9.75">
      <c r="A250" s="195">
        <v>783</v>
      </c>
      <c r="B250" s="195" t="s">
        <v>317</v>
      </c>
      <c r="C250" s="195">
        <v>6988</v>
      </c>
      <c r="D250" s="195">
        <v>24558437.519999996</v>
      </c>
      <c r="E250" s="195">
        <v>7771790.395294942</v>
      </c>
      <c r="F250" s="195">
        <v>1102965.973074128</v>
      </c>
      <c r="G250" s="195">
        <v>33433193.888369065</v>
      </c>
      <c r="H250" s="195">
        <v>3540.31</v>
      </c>
      <c r="I250" s="195">
        <v>24739686.28</v>
      </c>
      <c r="J250" s="195">
        <v>8693507.608369064</v>
      </c>
      <c r="K250" s="195">
        <v>258249.06304560805</v>
      </c>
      <c r="L250" s="195">
        <v>1436465.87751895</v>
      </c>
      <c r="M250" s="195">
        <v>0</v>
      </c>
      <c r="N250" s="195">
        <v>10388222.548933621</v>
      </c>
      <c r="O250" s="195">
        <v>1367821.8459572115</v>
      </c>
      <c r="P250" s="195">
        <v>11756044.394890834</v>
      </c>
      <c r="Q250" s="195">
        <v>350</v>
      </c>
      <c r="R250" s="195">
        <v>70</v>
      </c>
      <c r="S250" s="195">
        <v>413</v>
      </c>
      <c r="T250" s="195">
        <v>214</v>
      </c>
      <c r="U250" s="195">
        <v>222</v>
      </c>
      <c r="V250" s="195">
        <v>3755</v>
      </c>
      <c r="W250" s="195">
        <v>1070</v>
      </c>
      <c r="X250" s="195">
        <v>627</v>
      </c>
      <c r="Y250" s="195">
        <v>267</v>
      </c>
      <c r="Z250" s="195">
        <v>11</v>
      </c>
      <c r="AA250" s="195">
        <v>0</v>
      </c>
      <c r="AB250" s="195">
        <v>6855</v>
      </c>
      <c r="AC250" s="195">
        <v>122</v>
      </c>
      <c r="AD250" s="195">
        <v>1964</v>
      </c>
      <c r="AE250" s="195">
        <v>0.9791195678758883</v>
      </c>
      <c r="AF250" s="195">
        <v>7771790.395294942</v>
      </c>
      <c r="AG250" s="195">
        <v>15921603.31109971</v>
      </c>
      <c r="AH250" s="195">
        <v>5002044.434492532</v>
      </c>
      <c r="AI250" s="195">
        <v>1971130.0725585548</v>
      </c>
      <c r="AJ250" s="195">
        <v>280</v>
      </c>
      <c r="AK250" s="195">
        <v>3332</v>
      </c>
      <c r="AL250" s="195">
        <v>0.6328949147933316</v>
      </c>
      <c r="AM250" s="195">
        <v>122</v>
      </c>
      <c r="AN250" s="195">
        <v>0.017458500286204923</v>
      </c>
      <c r="AO250" s="195">
        <v>0.013490246317950955</v>
      </c>
      <c r="AP250" s="195">
        <v>0</v>
      </c>
      <c r="AQ250" s="195">
        <v>11</v>
      </c>
      <c r="AR250" s="195">
        <v>0</v>
      </c>
      <c r="AS250" s="195">
        <v>0</v>
      </c>
      <c r="AT250" s="195">
        <v>0</v>
      </c>
      <c r="AU250" s="195">
        <v>406.65</v>
      </c>
      <c r="AV250" s="195">
        <v>17.184310832411164</v>
      </c>
      <c r="AW250" s="195">
        <v>1.053595648145068</v>
      </c>
      <c r="AX250" s="195">
        <v>317</v>
      </c>
      <c r="AY250" s="195">
        <v>2028</v>
      </c>
      <c r="AZ250" s="195">
        <v>0.15631163708086784</v>
      </c>
      <c r="BA250" s="195">
        <v>0.09128883687819937</v>
      </c>
      <c r="BB250" s="195">
        <v>0</v>
      </c>
      <c r="BC250" s="195">
        <v>3076</v>
      </c>
      <c r="BD250" s="195">
        <v>3026</v>
      </c>
      <c r="BE250" s="195">
        <v>1.0165234633179114</v>
      </c>
      <c r="BF250" s="195">
        <v>0.5855819452756054</v>
      </c>
      <c r="BG250" s="195">
        <v>0</v>
      </c>
      <c r="BH250" s="195">
        <v>0</v>
      </c>
      <c r="BI250" s="195">
        <v>0</v>
      </c>
      <c r="BJ250" s="195">
        <v>-1677.12</v>
      </c>
      <c r="BK250" s="195">
        <v>-28650.8</v>
      </c>
      <c r="BL250" s="195">
        <v>-1956.64</v>
      </c>
      <c r="BM250" s="195">
        <v>-9992.84</v>
      </c>
      <c r="BN250" s="195">
        <v>-279.52</v>
      </c>
      <c r="BO250" s="195">
        <v>47465</v>
      </c>
      <c r="BP250" s="195">
        <v>-266612.01271212066</v>
      </c>
      <c r="BQ250" s="195">
        <v>-597264.36</v>
      </c>
      <c r="BR250" s="195">
        <v>-178525.3878174806</v>
      </c>
      <c r="BS250" s="195">
        <v>571140</v>
      </c>
      <c r="BT250" s="195">
        <v>198708</v>
      </c>
      <c r="BU250" s="195">
        <v>465544.3272727316</v>
      </c>
      <c r="BV250" s="195">
        <v>22979.34661993128</v>
      </c>
      <c r="BW250" s="195">
        <v>42267.12753764469</v>
      </c>
      <c r="BX250" s="195">
        <v>197526.7378012822</v>
      </c>
      <c r="BY250" s="195">
        <v>364442.3635822092</v>
      </c>
      <c r="BZ250" s="195">
        <v>669948.5572310707</v>
      </c>
      <c r="CA250" s="195">
        <v>199442.85192905337</v>
      </c>
      <c r="CB250" s="195">
        <v>628.92</v>
      </c>
      <c r="CC250" s="195">
        <v>-52941.95392537101</v>
      </c>
      <c r="CD250" s="195">
        <v>2549045.170231071</v>
      </c>
      <c r="CE250" s="195">
        <v>1436465.87751895</v>
      </c>
      <c r="CF250" s="195">
        <v>0</v>
      </c>
      <c r="CG250" s="229">
        <v>1367821.8459572115</v>
      </c>
      <c r="CH250" s="195">
        <v>-608449</v>
      </c>
      <c r="CI250" s="195">
        <v>-114224.06059999998</v>
      </c>
      <c r="CJ250" s="195">
        <v>11147595.394890834</v>
      </c>
      <c r="CL250" s="195">
        <v>7070</v>
      </c>
    </row>
    <row r="251" spans="1:90" ht="9.75">
      <c r="A251" s="195">
        <v>831</v>
      </c>
      <c r="B251" s="195" t="s">
        <v>318</v>
      </c>
      <c r="C251" s="195">
        <v>4832</v>
      </c>
      <c r="D251" s="195">
        <v>16549372.62</v>
      </c>
      <c r="E251" s="195">
        <v>4382174.158155419</v>
      </c>
      <c r="F251" s="195">
        <v>1531185.3657865159</v>
      </c>
      <c r="G251" s="195">
        <v>22462732.14394193</v>
      </c>
      <c r="H251" s="195">
        <v>3540.31</v>
      </c>
      <c r="I251" s="195">
        <v>17106777.919999998</v>
      </c>
      <c r="J251" s="195">
        <v>5355954.223941933</v>
      </c>
      <c r="K251" s="195">
        <v>4151.082694607178</v>
      </c>
      <c r="L251" s="195">
        <v>732501.1467026948</v>
      </c>
      <c r="M251" s="195">
        <v>0</v>
      </c>
      <c r="N251" s="195">
        <v>6092606.453339235</v>
      </c>
      <c r="O251" s="195">
        <v>906524.9234519978</v>
      </c>
      <c r="P251" s="195">
        <v>6999131.376791233</v>
      </c>
      <c r="Q251" s="195">
        <v>279</v>
      </c>
      <c r="R251" s="195">
        <v>57</v>
      </c>
      <c r="S251" s="195">
        <v>382</v>
      </c>
      <c r="T251" s="195">
        <v>185</v>
      </c>
      <c r="U251" s="195">
        <v>184</v>
      </c>
      <c r="V251" s="195">
        <v>2666</v>
      </c>
      <c r="W251" s="195">
        <v>625</v>
      </c>
      <c r="X251" s="195">
        <v>346</v>
      </c>
      <c r="Y251" s="195">
        <v>108</v>
      </c>
      <c r="Z251" s="195">
        <v>6</v>
      </c>
      <c r="AA251" s="195">
        <v>0</v>
      </c>
      <c r="AB251" s="195">
        <v>4650</v>
      </c>
      <c r="AC251" s="195">
        <v>176</v>
      </c>
      <c r="AD251" s="195">
        <v>1079</v>
      </c>
      <c r="AE251" s="195">
        <v>0.798417881811254</v>
      </c>
      <c r="AF251" s="195">
        <v>4382174.158155419</v>
      </c>
      <c r="AG251" s="195">
        <v>40557389.93296056</v>
      </c>
      <c r="AH251" s="195">
        <v>10285454.10427998</v>
      </c>
      <c r="AI251" s="195">
        <v>4646872.252502294</v>
      </c>
      <c r="AJ251" s="195">
        <v>265</v>
      </c>
      <c r="AK251" s="195">
        <v>2313</v>
      </c>
      <c r="AL251" s="195">
        <v>0.8628768325986904</v>
      </c>
      <c r="AM251" s="195">
        <v>176</v>
      </c>
      <c r="AN251" s="195">
        <v>0.03642384105960265</v>
      </c>
      <c r="AO251" s="195">
        <v>0.03245558709134868</v>
      </c>
      <c r="AP251" s="195">
        <v>0</v>
      </c>
      <c r="AQ251" s="195">
        <v>6</v>
      </c>
      <c r="AR251" s="195">
        <v>0</v>
      </c>
      <c r="AS251" s="195">
        <v>3</v>
      </c>
      <c r="AT251" s="195">
        <v>2084</v>
      </c>
      <c r="AU251" s="195">
        <v>344.88</v>
      </c>
      <c r="AV251" s="195">
        <v>14.010670378102528</v>
      </c>
      <c r="AW251" s="195">
        <v>1.2922518780898307</v>
      </c>
      <c r="AX251" s="195">
        <v>142</v>
      </c>
      <c r="AY251" s="195">
        <v>1532</v>
      </c>
      <c r="AZ251" s="195">
        <v>0.0926892950391645</v>
      </c>
      <c r="BA251" s="195">
        <v>0.027666494836496025</v>
      </c>
      <c r="BB251" s="195">
        <v>0</v>
      </c>
      <c r="BC251" s="195">
        <v>902</v>
      </c>
      <c r="BD251" s="195">
        <v>2029</v>
      </c>
      <c r="BE251" s="195">
        <v>0.4445539674716609</v>
      </c>
      <c r="BF251" s="195">
        <v>0.013612449429354856</v>
      </c>
      <c r="BG251" s="195">
        <v>0</v>
      </c>
      <c r="BH251" s="195">
        <v>0</v>
      </c>
      <c r="BI251" s="195">
        <v>0</v>
      </c>
      <c r="BJ251" s="195">
        <v>-1159.68</v>
      </c>
      <c r="BK251" s="195">
        <v>-19811.199999999997</v>
      </c>
      <c r="BL251" s="195">
        <v>-1352.96</v>
      </c>
      <c r="BM251" s="195">
        <v>-6909.759999999999</v>
      </c>
      <c r="BN251" s="195">
        <v>-193.28</v>
      </c>
      <c r="BO251" s="195">
        <v>-95390</v>
      </c>
      <c r="BP251" s="195">
        <v>-142559.89422693133</v>
      </c>
      <c r="BQ251" s="195">
        <v>-412991.04</v>
      </c>
      <c r="BR251" s="195">
        <v>49043.06950616464</v>
      </c>
      <c r="BS251" s="195">
        <v>361432</v>
      </c>
      <c r="BT251" s="195">
        <v>117092</v>
      </c>
      <c r="BU251" s="195">
        <v>229111.4160647514</v>
      </c>
      <c r="BV251" s="195">
        <v>6495.438585251213</v>
      </c>
      <c r="BW251" s="195">
        <v>6379.841051341545</v>
      </c>
      <c r="BX251" s="195">
        <v>104989.19278325992</v>
      </c>
      <c r="BY251" s="195">
        <v>209440.9620708233</v>
      </c>
      <c r="BZ251" s="195">
        <v>352663.03044384293</v>
      </c>
      <c r="CA251" s="195">
        <v>104284.6023342709</v>
      </c>
      <c r="CB251" s="195">
        <v>434.88</v>
      </c>
      <c r="CC251" s="195">
        <v>13756.608089920519</v>
      </c>
      <c r="CD251" s="195">
        <v>1460022.9609296261</v>
      </c>
      <c r="CE251" s="195">
        <v>732501.1467026948</v>
      </c>
      <c r="CF251" s="195">
        <v>0</v>
      </c>
      <c r="CG251" s="229">
        <v>906524.9234519978</v>
      </c>
      <c r="CH251" s="195">
        <v>-831822</v>
      </c>
      <c r="CI251" s="195">
        <v>-248654.3862</v>
      </c>
      <c r="CJ251" s="195">
        <v>6167309.376791233</v>
      </c>
      <c r="CL251" s="195">
        <v>4815</v>
      </c>
    </row>
    <row r="252" spans="1:90" ht="9.75">
      <c r="A252" s="195">
        <v>832</v>
      </c>
      <c r="B252" s="195" t="s">
        <v>319</v>
      </c>
      <c r="C252" s="195">
        <v>4133</v>
      </c>
      <c r="D252" s="195">
        <v>14275985.579999998</v>
      </c>
      <c r="E252" s="195">
        <v>6880668.692148384</v>
      </c>
      <c r="F252" s="195">
        <v>2340076.6876783385</v>
      </c>
      <c r="G252" s="195">
        <v>23496730.95982672</v>
      </c>
      <c r="H252" s="195">
        <v>3540.31</v>
      </c>
      <c r="I252" s="195">
        <v>14632101.23</v>
      </c>
      <c r="J252" s="195">
        <v>8864629.729826719</v>
      </c>
      <c r="K252" s="195">
        <v>4292788.1344428975</v>
      </c>
      <c r="L252" s="195">
        <v>986201.0294993871</v>
      </c>
      <c r="M252" s="195">
        <v>0</v>
      </c>
      <c r="N252" s="195">
        <v>14143618.893769003</v>
      </c>
      <c r="O252" s="195">
        <v>3809836.36148683</v>
      </c>
      <c r="P252" s="195">
        <v>17953455.255255833</v>
      </c>
      <c r="Q252" s="195">
        <v>203</v>
      </c>
      <c r="R252" s="195">
        <v>54</v>
      </c>
      <c r="S252" s="195">
        <v>296</v>
      </c>
      <c r="T252" s="195">
        <v>142</v>
      </c>
      <c r="U252" s="195">
        <v>155</v>
      </c>
      <c r="V252" s="195">
        <v>2195</v>
      </c>
      <c r="W252" s="195">
        <v>594</v>
      </c>
      <c r="X252" s="195">
        <v>388</v>
      </c>
      <c r="Y252" s="195">
        <v>106</v>
      </c>
      <c r="Z252" s="195">
        <v>1</v>
      </c>
      <c r="AA252" s="195">
        <v>0</v>
      </c>
      <c r="AB252" s="195">
        <v>4085</v>
      </c>
      <c r="AC252" s="195">
        <v>47</v>
      </c>
      <c r="AD252" s="195">
        <v>1088</v>
      </c>
      <c r="AE252" s="195">
        <v>1.465658492478589</v>
      </c>
      <c r="AF252" s="195">
        <v>6880668.692148384</v>
      </c>
      <c r="AG252" s="195">
        <v>12413839.82235389</v>
      </c>
      <c r="AH252" s="195">
        <v>2877918.0444334936</v>
      </c>
      <c r="AI252" s="195">
        <v>1204083.9809746828</v>
      </c>
      <c r="AJ252" s="195">
        <v>305</v>
      </c>
      <c r="AK252" s="195">
        <v>1748</v>
      </c>
      <c r="AL252" s="195">
        <v>1.314125911465902</v>
      </c>
      <c r="AM252" s="195">
        <v>47</v>
      </c>
      <c r="AN252" s="195">
        <v>0.011371884829421728</v>
      </c>
      <c r="AO252" s="195">
        <v>0.00740363086116776</v>
      </c>
      <c r="AP252" s="195">
        <v>0</v>
      </c>
      <c r="AQ252" s="195">
        <v>1</v>
      </c>
      <c r="AR252" s="195">
        <v>0</v>
      </c>
      <c r="AS252" s="195">
        <v>0</v>
      </c>
      <c r="AT252" s="195">
        <v>0</v>
      </c>
      <c r="AU252" s="195">
        <v>2437.95</v>
      </c>
      <c r="AV252" s="195">
        <v>1.6952767694169282</v>
      </c>
      <c r="AW252" s="195">
        <v>10.6798579653915</v>
      </c>
      <c r="AX252" s="195">
        <v>139</v>
      </c>
      <c r="AY252" s="195">
        <v>1069</v>
      </c>
      <c r="AZ252" s="195">
        <v>0.13002806361085126</v>
      </c>
      <c r="BA252" s="195">
        <v>0.06500526340818279</v>
      </c>
      <c r="BB252" s="195">
        <v>1.613899</v>
      </c>
      <c r="BC252" s="195">
        <v>1274</v>
      </c>
      <c r="BD252" s="195">
        <v>1361</v>
      </c>
      <c r="BE252" s="195">
        <v>0.9360764144011756</v>
      </c>
      <c r="BF252" s="195">
        <v>0.5051348963588695</v>
      </c>
      <c r="BG252" s="195">
        <v>0</v>
      </c>
      <c r="BH252" s="195">
        <v>0</v>
      </c>
      <c r="BI252" s="195">
        <v>0</v>
      </c>
      <c r="BJ252" s="195">
        <v>-991.92</v>
      </c>
      <c r="BK252" s="195">
        <v>-16945.3</v>
      </c>
      <c r="BL252" s="195">
        <v>-1157.24</v>
      </c>
      <c r="BM252" s="195">
        <v>-5910.19</v>
      </c>
      <c r="BN252" s="195">
        <v>-165.32</v>
      </c>
      <c r="BO252" s="195">
        <v>37331</v>
      </c>
      <c r="BP252" s="195">
        <v>-181076.07617596188</v>
      </c>
      <c r="BQ252" s="195">
        <v>-353247.51</v>
      </c>
      <c r="BR252" s="195">
        <v>-89296.5146976132</v>
      </c>
      <c r="BS252" s="195">
        <v>361995</v>
      </c>
      <c r="BT252" s="195">
        <v>112886</v>
      </c>
      <c r="BU252" s="195">
        <v>324994.3413430885</v>
      </c>
      <c r="BV252" s="195">
        <v>18626.552320533414</v>
      </c>
      <c r="BW252" s="195">
        <v>62107.23800001433</v>
      </c>
      <c r="BX252" s="195">
        <v>165073.91156183698</v>
      </c>
      <c r="BY252" s="195">
        <v>235712.06253475058</v>
      </c>
      <c r="BZ252" s="195">
        <v>331160.83617917163</v>
      </c>
      <c r="CA252" s="195">
        <v>108824.48832209146</v>
      </c>
      <c r="CB252" s="195">
        <v>371.96999999999997</v>
      </c>
      <c r="CC252" s="195">
        <v>-2416.779888525016</v>
      </c>
      <c r="CD252" s="195">
        <v>1667618.085675349</v>
      </c>
      <c r="CE252" s="195">
        <v>986201.0294993871</v>
      </c>
      <c r="CF252" s="195">
        <v>0</v>
      </c>
      <c r="CG252" s="229">
        <v>3809836.36148683</v>
      </c>
      <c r="CH252" s="195">
        <v>14720</v>
      </c>
      <c r="CI252" s="195">
        <v>-20923.2615</v>
      </c>
      <c r="CJ252" s="195">
        <v>17968175.255255833</v>
      </c>
      <c r="CL252" s="195">
        <v>4199</v>
      </c>
    </row>
    <row r="253" spans="1:90" ht="9.75">
      <c r="A253" s="195">
        <v>833</v>
      </c>
      <c r="B253" s="195" t="s">
        <v>320</v>
      </c>
      <c r="C253" s="195">
        <v>1622</v>
      </c>
      <c r="D253" s="195">
        <v>6206551.3</v>
      </c>
      <c r="E253" s="195">
        <v>2140738.2926390013</v>
      </c>
      <c r="F253" s="195">
        <v>468488.5188201205</v>
      </c>
      <c r="G253" s="195">
        <v>8815778.111459121</v>
      </c>
      <c r="H253" s="195">
        <v>3540.31</v>
      </c>
      <c r="I253" s="195">
        <v>5742382.82</v>
      </c>
      <c r="J253" s="195">
        <v>3073395.291459121</v>
      </c>
      <c r="K253" s="195">
        <v>37714.27913193058</v>
      </c>
      <c r="L253" s="195">
        <v>519611.9548095617</v>
      </c>
      <c r="M253" s="195">
        <v>86251.06234424938</v>
      </c>
      <c r="N253" s="195">
        <v>3716972.587744863</v>
      </c>
      <c r="O253" s="195">
        <v>950482.5092472283</v>
      </c>
      <c r="P253" s="195">
        <v>4667455.096992091</v>
      </c>
      <c r="Q253" s="195">
        <v>92</v>
      </c>
      <c r="R253" s="195">
        <v>16</v>
      </c>
      <c r="S253" s="195">
        <v>88</v>
      </c>
      <c r="T253" s="195">
        <v>47</v>
      </c>
      <c r="U253" s="195">
        <v>28</v>
      </c>
      <c r="V253" s="195">
        <v>827</v>
      </c>
      <c r="W253" s="195">
        <v>285</v>
      </c>
      <c r="X253" s="195">
        <v>147</v>
      </c>
      <c r="Y253" s="195">
        <v>92</v>
      </c>
      <c r="Z253" s="195">
        <v>12</v>
      </c>
      <c r="AA253" s="195">
        <v>0</v>
      </c>
      <c r="AB253" s="195">
        <v>1545</v>
      </c>
      <c r="AC253" s="195">
        <v>65</v>
      </c>
      <c r="AD253" s="195">
        <v>524</v>
      </c>
      <c r="AE253" s="195">
        <v>1.1619308294270467</v>
      </c>
      <c r="AF253" s="195">
        <v>2140738.2926390013</v>
      </c>
      <c r="AG253" s="195">
        <v>5570712.602647246</v>
      </c>
      <c r="AH253" s="195">
        <v>1311955.977771329</v>
      </c>
      <c r="AI253" s="195">
        <v>472714.4517900607</v>
      </c>
      <c r="AJ253" s="195">
        <v>74</v>
      </c>
      <c r="AK253" s="195">
        <v>722</v>
      </c>
      <c r="AL253" s="195">
        <v>0.7719214154667697</v>
      </c>
      <c r="AM253" s="195">
        <v>65</v>
      </c>
      <c r="AN253" s="195">
        <v>0.040073982737361284</v>
      </c>
      <c r="AO253" s="195">
        <v>0.036105728769107316</v>
      </c>
      <c r="AP253" s="195">
        <v>0</v>
      </c>
      <c r="AQ253" s="195">
        <v>12</v>
      </c>
      <c r="AR253" s="195">
        <v>0</v>
      </c>
      <c r="AS253" s="195">
        <v>3</v>
      </c>
      <c r="AT253" s="195">
        <v>156</v>
      </c>
      <c r="AU253" s="195">
        <v>140.31</v>
      </c>
      <c r="AV253" s="195">
        <v>11.560116884042477</v>
      </c>
      <c r="AW253" s="195">
        <v>1.5661878933415483</v>
      </c>
      <c r="AX253" s="195">
        <v>104</v>
      </c>
      <c r="AY253" s="195">
        <v>449</v>
      </c>
      <c r="AZ253" s="195">
        <v>0.23162583518930957</v>
      </c>
      <c r="BA253" s="195">
        <v>0.16660303498664109</v>
      </c>
      <c r="BB253" s="195">
        <v>0</v>
      </c>
      <c r="BC253" s="195">
        <v>510</v>
      </c>
      <c r="BD253" s="195">
        <v>638</v>
      </c>
      <c r="BE253" s="195">
        <v>0.799373040752351</v>
      </c>
      <c r="BF253" s="195">
        <v>0.368431522710045</v>
      </c>
      <c r="BG253" s="195">
        <v>0</v>
      </c>
      <c r="BH253" s="195">
        <v>0</v>
      </c>
      <c r="BI253" s="195">
        <v>0</v>
      </c>
      <c r="BJ253" s="195">
        <v>-389.28</v>
      </c>
      <c r="BK253" s="195">
        <v>-6650.2</v>
      </c>
      <c r="BL253" s="195">
        <v>-454.16</v>
      </c>
      <c r="BM253" s="195">
        <v>-2319.46</v>
      </c>
      <c r="BN253" s="195">
        <v>-64.88</v>
      </c>
      <c r="BO253" s="195">
        <v>-6620</v>
      </c>
      <c r="BP253" s="195">
        <v>-41517.44288012386</v>
      </c>
      <c r="BQ253" s="195">
        <v>-138632.34</v>
      </c>
      <c r="BR253" s="195">
        <v>52289.58244882431</v>
      </c>
      <c r="BS253" s="195">
        <v>179163</v>
      </c>
      <c r="BT253" s="195">
        <v>58959</v>
      </c>
      <c r="BU253" s="195">
        <v>133706.72651570296</v>
      </c>
      <c r="BV253" s="195">
        <v>7469.867713464751</v>
      </c>
      <c r="BW253" s="195">
        <v>-41419.51178332987</v>
      </c>
      <c r="BX253" s="195">
        <v>51137.76790523142</v>
      </c>
      <c r="BY253" s="195">
        <v>93433.40022518885</v>
      </c>
      <c r="BZ253" s="195">
        <v>177756.64269015155</v>
      </c>
      <c r="CA253" s="195">
        <v>51577.186866390264</v>
      </c>
      <c r="CB253" s="195">
        <v>145.98</v>
      </c>
      <c r="CC253" s="195">
        <v>-208.244891938617</v>
      </c>
      <c r="CD253" s="195">
        <v>757488.7176896855</v>
      </c>
      <c r="CE253" s="195">
        <v>519611.9548095617</v>
      </c>
      <c r="CF253" s="195">
        <v>86251.06234424938</v>
      </c>
      <c r="CG253" s="229">
        <v>950482.5092472283</v>
      </c>
      <c r="CH253" s="195">
        <v>-357179</v>
      </c>
      <c r="CI253" s="195">
        <v>73003.28000000001</v>
      </c>
      <c r="CJ253" s="195">
        <v>4310276.096992091</v>
      </c>
      <c r="CL253" s="195">
        <v>1633</v>
      </c>
    </row>
    <row r="254" spans="1:90" ht="9.75">
      <c r="A254" s="195">
        <v>834</v>
      </c>
      <c r="B254" s="195" t="s">
        <v>321</v>
      </c>
      <c r="C254" s="195">
        <v>6241</v>
      </c>
      <c r="D254" s="195">
        <v>22566795.959999997</v>
      </c>
      <c r="E254" s="195">
        <v>6911546.175918303</v>
      </c>
      <c r="F254" s="195">
        <v>1095990.410056383</v>
      </c>
      <c r="G254" s="195">
        <v>30574332.545974683</v>
      </c>
      <c r="H254" s="195">
        <v>3540.31</v>
      </c>
      <c r="I254" s="195">
        <v>22095074.71</v>
      </c>
      <c r="J254" s="195">
        <v>8479257.835974682</v>
      </c>
      <c r="K254" s="195">
        <v>79199.23400561877</v>
      </c>
      <c r="L254" s="195">
        <v>1465655.779699831</v>
      </c>
      <c r="M254" s="195">
        <v>0</v>
      </c>
      <c r="N254" s="195">
        <v>10024112.849680131</v>
      </c>
      <c r="O254" s="195">
        <v>2868939.7229169207</v>
      </c>
      <c r="P254" s="195">
        <v>12893052.572597053</v>
      </c>
      <c r="Q254" s="195">
        <v>312</v>
      </c>
      <c r="R254" s="195">
        <v>64</v>
      </c>
      <c r="S254" s="195">
        <v>471</v>
      </c>
      <c r="T254" s="195">
        <v>242</v>
      </c>
      <c r="U254" s="195">
        <v>230</v>
      </c>
      <c r="V254" s="195">
        <v>3403</v>
      </c>
      <c r="W254" s="195">
        <v>814</v>
      </c>
      <c r="X254" s="195">
        <v>476</v>
      </c>
      <c r="Y254" s="195">
        <v>229</v>
      </c>
      <c r="Z254" s="195">
        <v>13</v>
      </c>
      <c r="AA254" s="195">
        <v>0</v>
      </c>
      <c r="AB254" s="195">
        <v>6160</v>
      </c>
      <c r="AC254" s="195">
        <v>68</v>
      </c>
      <c r="AD254" s="195">
        <v>1519</v>
      </c>
      <c r="AE254" s="195">
        <v>0.9749639968815442</v>
      </c>
      <c r="AF254" s="195">
        <v>6911546.175918303</v>
      </c>
      <c r="AG254" s="195">
        <v>8284538.533023279</v>
      </c>
      <c r="AH254" s="195">
        <v>1879705.436598046</v>
      </c>
      <c r="AI254" s="195">
        <v>1177326.5591752455</v>
      </c>
      <c r="AJ254" s="195">
        <v>297</v>
      </c>
      <c r="AK254" s="195">
        <v>2962</v>
      </c>
      <c r="AL254" s="195">
        <v>0.7551791010648453</v>
      </c>
      <c r="AM254" s="195">
        <v>68</v>
      </c>
      <c r="AN254" s="195">
        <v>0.010895689793302356</v>
      </c>
      <c r="AO254" s="195">
        <v>0.006927435825048388</v>
      </c>
      <c r="AP254" s="195">
        <v>0</v>
      </c>
      <c r="AQ254" s="195">
        <v>13</v>
      </c>
      <c r="AR254" s="195">
        <v>0</v>
      </c>
      <c r="AS254" s="195">
        <v>0</v>
      </c>
      <c r="AT254" s="195">
        <v>0</v>
      </c>
      <c r="AU254" s="195">
        <v>640.39</v>
      </c>
      <c r="AV254" s="195">
        <v>9.745623760520933</v>
      </c>
      <c r="AW254" s="195">
        <v>1.857789255393209</v>
      </c>
      <c r="AX254" s="195">
        <v>244</v>
      </c>
      <c r="AY254" s="195">
        <v>1919</v>
      </c>
      <c r="AZ254" s="195">
        <v>0.12714955706096925</v>
      </c>
      <c r="BA254" s="195">
        <v>0.06212675685830078</v>
      </c>
      <c r="BB254" s="195">
        <v>0</v>
      </c>
      <c r="BC254" s="195">
        <v>1654</v>
      </c>
      <c r="BD254" s="195">
        <v>2617</v>
      </c>
      <c r="BE254" s="195">
        <v>0.6320213985479557</v>
      </c>
      <c r="BF254" s="195">
        <v>0.20107988050564962</v>
      </c>
      <c r="BG254" s="195">
        <v>0</v>
      </c>
      <c r="BH254" s="195">
        <v>0</v>
      </c>
      <c r="BI254" s="195">
        <v>0</v>
      </c>
      <c r="BJ254" s="195">
        <v>-1497.84</v>
      </c>
      <c r="BK254" s="195">
        <v>-25588.1</v>
      </c>
      <c r="BL254" s="195">
        <v>-1747.4800000000002</v>
      </c>
      <c r="BM254" s="195">
        <v>-8924.63</v>
      </c>
      <c r="BN254" s="195">
        <v>-249.64000000000001</v>
      </c>
      <c r="BO254" s="195">
        <v>13353</v>
      </c>
      <c r="BP254" s="195">
        <v>-135056.74189919807</v>
      </c>
      <c r="BQ254" s="195">
        <v>-533418.27</v>
      </c>
      <c r="BR254" s="195">
        <v>-58251.34680543095</v>
      </c>
      <c r="BS254" s="195">
        <v>558257</v>
      </c>
      <c r="BT254" s="195">
        <v>177901</v>
      </c>
      <c r="BU254" s="195">
        <v>413684.24193292833</v>
      </c>
      <c r="BV254" s="195">
        <v>17550.324334889014</v>
      </c>
      <c r="BW254" s="195">
        <v>43093.9583576853</v>
      </c>
      <c r="BX254" s="195">
        <v>174923.7953146916</v>
      </c>
      <c r="BY254" s="195">
        <v>338841.11797299766</v>
      </c>
      <c r="BZ254" s="195">
        <v>514769.599567066</v>
      </c>
      <c r="CA254" s="195">
        <v>159918.8465889621</v>
      </c>
      <c r="CB254" s="195">
        <v>561.6899999999999</v>
      </c>
      <c r="CC254" s="195">
        <v>1270.2943352398797</v>
      </c>
      <c r="CD254" s="195">
        <v>2356247.981599029</v>
      </c>
      <c r="CE254" s="195">
        <v>1465655.779699831</v>
      </c>
      <c r="CF254" s="195">
        <v>0</v>
      </c>
      <c r="CG254" s="229">
        <v>2868939.7229169207</v>
      </c>
      <c r="CH254" s="195">
        <v>-1416906</v>
      </c>
      <c r="CI254" s="195">
        <v>-60579.68609999999</v>
      </c>
      <c r="CJ254" s="195">
        <v>11476146.572597053</v>
      </c>
      <c r="CL254" s="195">
        <v>6280</v>
      </c>
    </row>
    <row r="255" spans="1:90" ht="9.75">
      <c r="A255" s="195">
        <v>837</v>
      </c>
      <c r="B255" s="195" t="s">
        <v>322</v>
      </c>
      <c r="C255" s="195">
        <v>228274</v>
      </c>
      <c r="D255" s="195">
        <v>684325868.81</v>
      </c>
      <c r="E255" s="195">
        <v>239691101.54929718</v>
      </c>
      <c r="F255" s="195">
        <v>62263916.39029631</v>
      </c>
      <c r="G255" s="195">
        <v>986280886.7495935</v>
      </c>
      <c r="H255" s="195">
        <v>3540.31</v>
      </c>
      <c r="I255" s="195">
        <v>808160724.9399999</v>
      </c>
      <c r="J255" s="195">
        <v>178120161.80959356</v>
      </c>
      <c r="K255" s="195">
        <v>11553112.562657444</v>
      </c>
      <c r="L255" s="195">
        <v>30383210.483898044</v>
      </c>
      <c r="M255" s="195">
        <v>0</v>
      </c>
      <c r="N255" s="195">
        <v>220056484.85614905</v>
      </c>
      <c r="O255" s="195">
        <v>7673943.389419734</v>
      </c>
      <c r="P255" s="195">
        <v>227730428.24556878</v>
      </c>
      <c r="Q255" s="195">
        <v>13661</v>
      </c>
      <c r="R255" s="195">
        <v>2209</v>
      </c>
      <c r="S255" s="195">
        <v>11919</v>
      </c>
      <c r="T255" s="195">
        <v>5279</v>
      </c>
      <c r="U255" s="195">
        <v>6028</v>
      </c>
      <c r="V255" s="195">
        <v>146590</v>
      </c>
      <c r="W255" s="195">
        <v>23631</v>
      </c>
      <c r="X255" s="195">
        <v>13371</v>
      </c>
      <c r="Y255" s="195">
        <v>5586</v>
      </c>
      <c r="Z255" s="195">
        <v>1233</v>
      </c>
      <c r="AA255" s="195">
        <v>17</v>
      </c>
      <c r="AB255" s="195">
        <v>210676</v>
      </c>
      <c r="AC255" s="195">
        <v>16348</v>
      </c>
      <c r="AD255" s="195">
        <v>42588</v>
      </c>
      <c r="AE255" s="195">
        <v>0.9244065404517381</v>
      </c>
      <c r="AF255" s="195">
        <v>239691101.54929718</v>
      </c>
      <c r="AG255" s="195">
        <v>2474223.967275837</v>
      </c>
      <c r="AH255" s="195">
        <v>816208.2449294159</v>
      </c>
      <c r="AI255" s="195">
        <v>231897.6555951241</v>
      </c>
      <c r="AJ255" s="195">
        <v>20804</v>
      </c>
      <c r="AK255" s="195">
        <v>114468</v>
      </c>
      <c r="AL255" s="195">
        <v>1.3688041645489533</v>
      </c>
      <c r="AM255" s="195">
        <v>16348</v>
      </c>
      <c r="AN255" s="195">
        <v>0.07161568991650386</v>
      </c>
      <c r="AO255" s="195">
        <v>0.06764743594824989</v>
      </c>
      <c r="AP255" s="195">
        <v>0</v>
      </c>
      <c r="AQ255" s="195">
        <v>1233</v>
      </c>
      <c r="AR255" s="195">
        <v>17</v>
      </c>
      <c r="AS255" s="195">
        <v>0</v>
      </c>
      <c r="AT255" s="195">
        <v>0</v>
      </c>
      <c r="AU255" s="195">
        <v>524.89</v>
      </c>
      <c r="AV255" s="195">
        <v>434.8987406885252</v>
      </c>
      <c r="AW255" s="195">
        <v>0.041631104934303755</v>
      </c>
      <c r="AX255" s="195">
        <v>8558</v>
      </c>
      <c r="AY255" s="195">
        <v>72028</v>
      </c>
      <c r="AZ255" s="195">
        <v>0.11881490531459987</v>
      </c>
      <c r="BA255" s="195">
        <v>0.0537921051119314</v>
      </c>
      <c r="BB255" s="195">
        <v>0</v>
      </c>
      <c r="BC255" s="195">
        <v>116525</v>
      </c>
      <c r="BD255" s="195">
        <v>94514</v>
      </c>
      <c r="BE255" s="195">
        <v>1.2328861332712615</v>
      </c>
      <c r="BF255" s="195">
        <v>0.8019446152289554</v>
      </c>
      <c r="BG255" s="195">
        <v>0</v>
      </c>
      <c r="BH255" s="195">
        <v>17</v>
      </c>
      <c r="BI255" s="195">
        <v>0</v>
      </c>
      <c r="BJ255" s="195">
        <v>-54785.759999999995</v>
      </c>
      <c r="BK255" s="195">
        <v>-935923.3999999999</v>
      </c>
      <c r="BL255" s="195">
        <v>-63916.72000000001</v>
      </c>
      <c r="BM255" s="195">
        <v>-326431.82</v>
      </c>
      <c r="BN255" s="195">
        <v>-9130.960000000001</v>
      </c>
      <c r="BO255" s="195">
        <v>4140309</v>
      </c>
      <c r="BP255" s="195">
        <v>-19502693.740399387</v>
      </c>
      <c r="BQ255" s="195">
        <v>-19510578.78</v>
      </c>
      <c r="BR255" s="195">
        <v>-219126.7658828497</v>
      </c>
      <c r="BS255" s="195">
        <v>13723734</v>
      </c>
      <c r="BT255" s="195">
        <v>5251644</v>
      </c>
      <c r="BU255" s="195">
        <v>13128326.768248945</v>
      </c>
      <c r="BV255" s="195">
        <v>597364.1453218474</v>
      </c>
      <c r="BW255" s="195">
        <v>244723.63482833534</v>
      </c>
      <c r="BX255" s="195">
        <v>5254837.725761974</v>
      </c>
      <c r="BY255" s="195">
        <v>11750199.094894685</v>
      </c>
      <c r="BZ255" s="195">
        <v>15523180.842289694</v>
      </c>
      <c r="CA255" s="195">
        <v>5799279.984110406</v>
      </c>
      <c r="CB255" s="195">
        <v>20544.66</v>
      </c>
      <c r="CC255" s="195">
        <v>2292041.1347244014</v>
      </c>
      <c r="CD255" s="195">
        <v>77520754.66429743</v>
      </c>
      <c r="CE255" s="195">
        <v>30383210.483898044</v>
      </c>
      <c r="CF255" s="195">
        <v>0</v>
      </c>
      <c r="CG255" s="229">
        <v>7673943.389419734</v>
      </c>
      <c r="CH255" s="195">
        <v>63739343</v>
      </c>
      <c r="CI255" s="195">
        <v>-9443584.366840001</v>
      </c>
      <c r="CJ255" s="195">
        <v>291469771.24556875</v>
      </c>
      <c r="CL255" s="195">
        <v>225118</v>
      </c>
    </row>
    <row r="256" spans="1:90" ht="9.75">
      <c r="A256" s="195">
        <v>844</v>
      </c>
      <c r="B256" s="195" t="s">
        <v>323</v>
      </c>
      <c r="C256" s="195">
        <v>1611</v>
      </c>
      <c r="D256" s="195">
        <v>5863845.85</v>
      </c>
      <c r="E256" s="195">
        <v>3566363.6404499793</v>
      </c>
      <c r="F256" s="195">
        <v>495485.4039326163</v>
      </c>
      <c r="G256" s="195">
        <v>9925694.894382596</v>
      </c>
      <c r="H256" s="195">
        <v>3540.31</v>
      </c>
      <c r="I256" s="195">
        <v>5703439.41</v>
      </c>
      <c r="J256" s="195">
        <v>4222255.484382596</v>
      </c>
      <c r="K256" s="195">
        <v>201861.5182266391</v>
      </c>
      <c r="L256" s="195">
        <v>584862.131654884</v>
      </c>
      <c r="M256" s="195">
        <v>58748.87083248976</v>
      </c>
      <c r="N256" s="195">
        <v>5067728.005096609</v>
      </c>
      <c r="O256" s="195">
        <v>1675085.9211180725</v>
      </c>
      <c r="P256" s="195">
        <v>6742813.926214681</v>
      </c>
      <c r="Q256" s="195">
        <v>61</v>
      </c>
      <c r="R256" s="195">
        <v>8</v>
      </c>
      <c r="S256" s="195">
        <v>58</v>
      </c>
      <c r="T256" s="195">
        <v>51</v>
      </c>
      <c r="U256" s="195">
        <v>37</v>
      </c>
      <c r="V256" s="195">
        <v>856</v>
      </c>
      <c r="W256" s="195">
        <v>275</v>
      </c>
      <c r="X256" s="195">
        <v>176</v>
      </c>
      <c r="Y256" s="195">
        <v>89</v>
      </c>
      <c r="Z256" s="195">
        <v>1</v>
      </c>
      <c r="AA256" s="195">
        <v>0</v>
      </c>
      <c r="AB256" s="195">
        <v>1587</v>
      </c>
      <c r="AC256" s="195">
        <v>23</v>
      </c>
      <c r="AD256" s="195">
        <v>540</v>
      </c>
      <c r="AE256" s="195">
        <v>1.9489362354778228</v>
      </c>
      <c r="AF256" s="195">
        <v>3566363.6404499793</v>
      </c>
      <c r="AG256" s="195">
        <v>8613247.84505911</v>
      </c>
      <c r="AH256" s="195">
        <v>2181108.888086845</v>
      </c>
      <c r="AI256" s="195">
        <v>758126.9509840596</v>
      </c>
      <c r="AJ256" s="195">
        <v>82</v>
      </c>
      <c r="AK256" s="195">
        <v>694</v>
      </c>
      <c r="AL256" s="195">
        <v>0.8898830804831886</v>
      </c>
      <c r="AM256" s="195">
        <v>23</v>
      </c>
      <c r="AN256" s="195">
        <v>0.014276846679081317</v>
      </c>
      <c r="AO256" s="195">
        <v>0.010308592710827348</v>
      </c>
      <c r="AP256" s="195">
        <v>0</v>
      </c>
      <c r="AQ256" s="195">
        <v>1</v>
      </c>
      <c r="AR256" s="195">
        <v>0</v>
      </c>
      <c r="AS256" s="195">
        <v>3</v>
      </c>
      <c r="AT256" s="195">
        <v>189</v>
      </c>
      <c r="AU256" s="195">
        <v>347.75</v>
      </c>
      <c r="AV256" s="195">
        <v>4.632638389647735</v>
      </c>
      <c r="AW256" s="195">
        <v>3.908208149779045</v>
      </c>
      <c r="AX256" s="195">
        <v>53</v>
      </c>
      <c r="AY256" s="195">
        <v>396</v>
      </c>
      <c r="AZ256" s="195">
        <v>0.13383838383838384</v>
      </c>
      <c r="BA256" s="195">
        <v>0.06881558363571537</v>
      </c>
      <c r="BB256" s="195">
        <v>0.517533</v>
      </c>
      <c r="BC256" s="195">
        <v>426</v>
      </c>
      <c r="BD256" s="195">
        <v>599</v>
      </c>
      <c r="BE256" s="195">
        <v>0.7111853088480802</v>
      </c>
      <c r="BF256" s="195">
        <v>0.2802437908057741</v>
      </c>
      <c r="BG256" s="195">
        <v>0</v>
      </c>
      <c r="BH256" s="195">
        <v>0</v>
      </c>
      <c r="BI256" s="195">
        <v>0</v>
      </c>
      <c r="BJ256" s="195">
        <v>-386.64</v>
      </c>
      <c r="BK256" s="195">
        <v>-6605.099999999999</v>
      </c>
      <c r="BL256" s="195">
        <v>-451.08000000000004</v>
      </c>
      <c r="BM256" s="195">
        <v>-2303.73</v>
      </c>
      <c r="BN256" s="195">
        <v>-64.44</v>
      </c>
      <c r="BO256" s="195">
        <v>-222</v>
      </c>
      <c r="BP256" s="195">
        <v>-42517.863190488286</v>
      </c>
      <c r="BQ256" s="195">
        <v>-137692.16999999998</v>
      </c>
      <c r="BR256" s="195">
        <v>18330.843079575337</v>
      </c>
      <c r="BS256" s="195">
        <v>196111</v>
      </c>
      <c r="BT256" s="195">
        <v>61656</v>
      </c>
      <c r="BU256" s="195">
        <v>159282.21211564902</v>
      </c>
      <c r="BV256" s="195">
        <v>9219.493380649346</v>
      </c>
      <c r="BW256" s="195">
        <v>30583.410181686584</v>
      </c>
      <c r="BX256" s="195">
        <v>62866.85584053083</v>
      </c>
      <c r="BY256" s="195">
        <v>102437.71402169217</v>
      </c>
      <c r="BZ256" s="195">
        <v>138290.7594471471</v>
      </c>
      <c r="CA256" s="195">
        <v>46416.457692003416</v>
      </c>
      <c r="CB256" s="195">
        <v>144.98999999999998</v>
      </c>
      <c r="CC256" s="195">
        <v>-2806.740913561651</v>
      </c>
      <c r="CD256" s="195">
        <v>822407.6548453723</v>
      </c>
      <c r="CE256" s="195">
        <v>584862.131654884</v>
      </c>
      <c r="CF256" s="195">
        <v>58748.87083248976</v>
      </c>
      <c r="CG256" s="229">
        <v>1675085.9211180725</v>
      </c>
      <c r="CH256" s="195">
        <v>-334731</v>
      </c>
      <c r="CI256" s="195">
        <v>-19554.449999999997</v>
      </c>
      <c r="CJ256" s="195">
        <v>6408082.926214681</v>
      </c>
      <c r="CL256" s="195">
        <v>1608</v>
      </c>
    </row>
    <row r="257" spans="1:90" ht="9.75">
      <c r="A257" s="195">
        <v>845</v>
      </c>
      <c r="B257" s="195" t="s">
        <v>324</v>
      </c>
      <c r="C257" s="195">
        <v>3099</v>
      </c>
      <c r="D257" s="195">
        <v>11848743.900000002</v>
      </c>
      <c r="E257" s="195">
        <v>4020992.142746496</v>
      </c>
      <c r="F257" s="195">
        <v>1542817.1144805346</v>
      </c>
      <c r="G257" s="195">
        <v>17412553.157227032</v>
      </c>
      <c r="H257" s="195">
        <v>3540.31</v>
      </c>
      <c r="I257" s="195">
        <v>10971420.69</v>
      </c>
      <c r="J257" s="195">
        <v>6441132.467227032</v>
      </c>
      <c r="K257" s="195">
        <v>549702.5040996381</v>
      </c>
      <c r="L257" s="195">
        <v>1036712.5032261709</v>
      </c>
      <c r="M257" s="195">
        <v>0</v>
      </c>
      <c r="N257" s="195">
        <v>8027547.474552842</v>
      </c>
      <c r="O257" s="195">
        <v>2341163.2877825648</v>
      </c>
      <c r="P257" s="195">
        <v>10368710.762335407</v>
      </c>
      <c r="Q257" s="195">
        <v>182</v>
      </c>
      <c r="R257" s="195">
        <v>34</v>
      </c>
      <c r="S257" s="195">
        <v>182</v>
      </c>
      <c r="T257" s="195">
        <v>108</v>
      </c>
      <c r="U257" s="195">
        <v>121</v>
      </c>
      <c r="V257" s="195">
        <v>1581</v>
      </c>
      <c r="W257" s="195">
        <v>424</v>
      </c>
      <c r="X257" s="195">
        <v>329</v>
      </c>
      <c r="Y257" s="195">
        <v>138</v>
      </c>
      <c r="Z257" s="195">
        <v>3</v>
      </c>
      <c r="AA257" s="195">
        <v>1</v>
      </c>
      <c r="AB257" s="195">
        <v>3063</v>
      </c>
      <c r="AC257" s="195">
        <v>32</v>
      </c>
      <c r="AD257" s="195">
        <v>891</v>
      </c>
      <c r="AE257" s="195">
        <v>1.1422974188375774</v>
      </c>
      <c r="AF257" s="195">
        <v>4020992.142746496</v>
      </c>
      <c r="AG257" s="195">
        <v>299299558.72143924</v>
      </c>
      <c r="AH257" s="195">
        <v>64414713.92454672</v>
      </c>
      <c r="AI257" s="195">
        <v>33473534.671096187</v>
      </c>
      <c r="AJ257" s="195">
        <v>212</v>
      </c>
      <c r="AK257" s="195">
        <v>1317</v>
      </c>
      <c r="AL257" s="195">
        <v>1.2123517775555177</v>
      </c>
      <c r="AM257" s="195">
        <v>32</v>
      </c>
      <c r="AN257" s="195">
        <v>0.010325911584382058</v>
      </c>
      <c r="AO257" s="195">
        <v>0.0063576576161280905</v>
      </c>
      <c r="AP257" s="195">
        <v>0</v>
      </c>
      <c r="AQ257" s="195">
        <v>3</v>
      </c>
      <c r="AR257" s="195">
        <v>1</v>
      </c>
      <c r="AS257" s="195">
        <v>0</v>
      </c>
      <c r="AT257" s="195">
        <v>0</v>
      </c>
      <c r="AU257" s="195">
        <v>1559.7</v>
      </c>
      <c r="AV257" s="195">
        <v>1.9869205616464705</v>
      </c>
      <c r="AW257" s="195">
        <v>9.112249104915147</v>
      </c>
      <c r="AX257" s="195">
        <v>113</v>
      </c>
      <c r="AY257" s="195">
        <v>822</v>
      </c>
      <c r="AZ257" s="195">
        <v>0.13746958637469586</v>
      </c>
      <c r="BA257" s="195">
        <v>0.07244678617202739</v>
      </c>
      <c r="BB257" s="195">
        <v>0.705133</v>
      </c>
      <c r="BC257" s="195">
        <v>955</v>
      </c>
      <c r="BD257" s="195">
        <v>1040</v>
      </c>
      <c r="BE257" s="195">
        <v>0.9182692307692307</v>
      </c>
      <c r="BF257" s="195">
        <v>0.48732771272692466</v>
      </c>
      <c r="BG257" s="195">
        <v>0</v>
      </c>
      <c r="BH257" s="195">
        <v>1</v>
      </c>
      <c r="BI257" s="195">
        <v>0</v>
      </c>
      <c r="BJ257" s="195">
        <v>-743.76</v>
      </c>
      <c r="BK257" s="195">
        <v>-12705.9</v>
      </c>
      <c r="BL257" s="195">
        <v>-867.72</v>
      </c>
      <c r="BM257" s="195">
        <v>-4431.57</v>
      </c>
      <c r="BN257" s="195">
        <v>-123.96000000000001</v>
      </c>
      <c r="BO257" s="195">
        <v>111673</v>
      </c>
      <c r="BP257" s="195">
        <v>-61025.63893223024</v>
      </c>
      <c r="BQ257" s="195">
        <v>-264871.52999999997</v>
      </c>
      <c r="BR257" s="195">
        <v>88313.80101642758</v>
      </c>
      <c r="BS257" s="195">
        <v>301511</v>
      </c>
      <c r="BT257" s="195">
        <v>94788</v>
      </c>
      <c r="BU257" s="195">
        <v>235943.08993165064</v>
      </c>
      <c r="BV257" s="195">
        <v>13005.778783737596</v>
      </c>
      <c r="BW257" s="195">
        <v>42326.72978797646</v>
      </c>
      <c r="BX257" s="195">
        <v>107710.18747200553</v>
      </c>
      <c r="BY257" s="195">
        <v>159813.91595180737</v>
      </c>
      <c r="BZ257" s="195">
        <v>251861.8474837622</v>
      </c>
      <c r="CA257" s="195">
        <v>69660.65980868918</v>
      </c>
      <c r="CB257" s="195">
        <v>278.90999999999997</v>
      </c>
      <c r="CC257" s="195">
        <v>-4169.778077655308</v>
      </c>
      <c r="CD257" s="195">
        <v>1472903.0821584011</v>
      </c>
      <c r="CE257" s="195">
        <v>1036712.5032261709</v>
      </c>
      <c r="CF257" s="195">
        <v>0</v>
      </c>
      <c r="CG257" s="229">
        <v>2341163.2877825648</v>
      </c>
      <c r="CH257" s="195">
        <v>-26398</v>
      </c>
      <c r="CI257" s="195">
        <v>23530.521500000003</v>
      </c>
      <c r="CJ257" s="195">
        <v>10342312.762335407</v>
      </c>
      <c r="CL257" s="195">
        <v>3195</v>
      </c>
    </row>
    <row r="258" spans="1:90" ht="9.75">
      <c r="A258" s="195">
        <v>846</v>
      </c>
      <c r="B258" s="195" t="s">
        <v>325</v>
      </c>
      <c r="C258" s="195">
        <v>5363</v>
      </c>
      <c r="D258" s="195">
        <v>20587404.47</v>
      </c>
      <c r="E258" s="195">
        <v>8854846.999495342</v>
      </c>
      <c r="F258" s="195">
        <v>1009388.8583437804</v>
      </c>
      <c r="G258" s="195">
        <v>30451640.32783912</v>
      </c>
      <c r="H258" s="195">
        <v>3540.31</v>
      </c>
      <c r="I258" s="195">
        <v>18986682.53</v>
      </c>
      <c r="J258" s="195">
        <v>11464957.79783912</v>
      </c>
      <c r="K258" s="195">
        <v>167167.63458016407</v>
      </c>
      <c r="L258" s="195">
        <v>1684642.7603635504</v>
      </c>
      <c r="M258" s="195">
        <v>0</v>
      </c>
      <c r="N258" s="195">
        <v>13316768.192782834</v>
      </c>
      <c r="O258" s="195">
        <v>4962784.379938181</v>
      </c>
      <c r="P258" s="195">
        <v>18279552.572721016</v>
      </c>
      <c r="Q258" s="195">
        <v>295</v>
      </c>
      <c r="R258" s="195">
        <v>53</v>
      </c>
      <c r="S258" s="195">
        <v>327</v>
      </c>
      <c r="T258" s="195">
        <v>193</v>
      </c>
      <c r="U258" s="195">
        <v>178</v>
      </c>
      <c r="V258" s="195">
        <v>2662</v>
      </c>
      <c r="W258" s="195">
        <v>837</v>
      </c>
      <c r="X258" s="195">
        <v>574</v>
      </c>
      <c r="Y258" s="195">
        <v>244</v>
      </c>
      <c r="Z258" s="195">
        <v>43</v>
      </c>
      <c r="AA258" s="195">
        <v>0</v>
      </c>
      <c r="AB258" s="195">
        <v>5255</v>
      </c>
      <c r="AC258" s="195">
        <v>65</v>
      </c>
      <c r="AD258" s="195">
        <v>1655</v>
      </c>
      <c r="AE258" s="195">
        <v>1.4535862688324985</v>
      </c>
      <c r="AF258" s="195">
        <v>8854846.999495342</v>
      </c>
      <c r="AG258" s="195">
        <v>4128541.3823875184</v>
      </c>
      <c r="AH258" s="195">
        <v>1263237.8287952375</v>
      </c>
      <c r="AI258" s="195">
        <v>294331.63979381137</v>
      </c>
      <c r="AJ258" s="195">
        <v>242</v>
      </c>
      <c r="AK258" s="195">
        <v>2307</v>
      </c>
      <c r="AL258" s="195">
        <v>0.7900350132734444</v>
      </c>
      <c r="AM258" s="195">
        <v>65</v>
      </c>
      <c r="AN258" s="195">
        <v>0.012120082043632295</v>
      </c>
      <c r="AO258" s="195">
        <v>0.008151828075378327</v>
      </c>
      <c r="AP258" s="195">
        <v>0</v>
      </c>
      <c r="AQ258" s="195">
        <v>43</v>
      </c>
      <c r="AR258" s="195">
        <v>0</v>
      </c>
      <c r="AS258" s="195">
        <v>0</v>
      </c>
      <c r="AT258" s="195">
        <v>0</v>
      </c>
      <c r="AU258" s="195">
        <v>554.7</v>
      </c>
      <c r="AV258" s="195">
        <v>9.668289165314583</v>
      </c>
      <c r="AW258" s="195">
        <v>1.8726493177670123</v>
      </c>
      <c r="AX258" s="195">
        <v>203</v>
      </c>
      <c r="AY258" s="195">
        <v>1409</v>
      </c>
      <c r="AZ258" s="195">
        <v>0.1440738112136267</v>
      </c>
      <c r="BA258" s="195">
        <v>0.07905101101095822</v>
      </c>
      <c r="BB258" s="195">
        <v>0</v>
      </c>
      <c r="BC258" s="195">
        <v>1846</v>
      </c>
      <c r="BD258" s="195">
        <v>1996</v>
      </c>
      <c r="BE258" s="195">
        <v>0.9248496993987976</v>
      </c>
      <c r="BF258" s="195">
        <v>0.4939081813564915</v>
      </c>
      <c r="BG258" s="195">
        <v>0</v>
      </c>
      <c r="BH258" s="195">
        <v>0</v>
      </c>
      <c r="BI258" s="195">
        <v>0</v>
      </c>
      <c r="BJ258" s="195">
        <v>-1287.12</v>
      </c>
      <c r="BK258" s="195">
        <v>-21988.3</v>
      </c>
      <c r="BL258" s="195">
        <v>-1501.64</v>
      </c>
      <c r="BM258" s="195">
        <v>-7669.089999999999</v>
      </c>
      <c r="BN258" s="195">
        <v>-214.52</v>
      </c>
      <c r="BO258" s="195">
        <v>-115215</v>
      </c>
      <c r="BP258" s="195">
        <v>-123551.90833000714</v>
      </c>
      <c r="BQ258" s="195">
        <v>-458375.61</v>
      </c>
      <c r="BR258" s="195">
        <v>62084.1270564124</v>
      </c>
      <c r="BS258" s="195">
        <v>576996</v>
      </c>
      <c r="BT258" s="195">
        <v>180373</v>
      </c>
      <c r="BU258" s="195">
        <v>473410.9224047523</v>
      </c>
      <c r="BV258" s="195">
        <v>25183.388047769105</v>
      </c>
      <c r="BW258" s="195">
        <v>43857.31872270107</v>
      </c>
      <c r="BX258" s="195">
        <v>222955.8629928093</v>
      </c>
      <c r="BY258" s="195">
        <v>317312.53966913937</v>
      </c>
      <c r="BZ258" s="195">
        <v>515527.2529931522</v>
      </c>
      <c r="CA258" s="195">
        <v>151256.6754044197</v>
      </c>
      <c r="CB258" s="195">
        <v>482.66999999999996</v>
      </c>
      <c r="CC258" s="195">
        <v>2892.911402402562</v>
      </c>
      <c r="CD258" s="195">
        <v>2457439.4486935576</v>
      </c>
      <c r="CE258" s="195">
        <v>1684642.7603635504</v>
      </c>
      <c r="CF258" s="195">
        <v>0</v>
      </c>
      <c r="CG258" s="229">
        <v>4962784.379938181</v>
      </c>
      <c r="CH258" s="195">
        <v>-347477</v>
      </c>
      <c r="CI258" s="195">
        <v>75675.72150000001</v>
      </c>
      <c r="CJ258" s="195">
        <v>17932075.572721016</v>
      </c>
      <c r="CL258" s="195">
        <v>5482</v>
      </c>
    </row>
    <row r="259" spans="1:90" ht="9.75">
      <c r="A259" s="195">
        <v>848</v>
      </c>
      <c r="B259" s="195" t="s">
        <v>326</v>
      </c>
      <c r="C259" s="195">
        <v>4653</v>
      </c>
      <c r="D259" s="195">
        <v>16058329.700000001</v>
      </c>
      <c r="E259" s="195">
        <v>8131635.241121955</v>
      </c>
      <c r="F259" s="195">
        <v>1730047.835948096</v>
      </c>
      <c r="G259" s="195">
        <v>25920012.777070053</v>
      </c>
      <c r="H259" s="195">
        <v>3540.31</v>
      </c>
      <c r="I259" s="195">
        <v>16473062.43</v>
      </c>
      <c r="J259" s="195">
        <v>9446950.347070053</v>
      </c>
      <c r="K259" s="195">
        <v>305663.0976847986</v>
      </c>
      <c r="L259" s="195">
        <v>1868337.3768839948</v>
      </c>
      <c r="M259" s="195">
        <v>0</v>
      </c>
      <c r="N259" s="195">
        <v>11620950.821638847</v>
      </c>
      <c r="O259" s="195">
        <v>4546370.804505747</v>
      </c>
      <c r="P259" s="195">
        <v>16167321.626144594</v>
      </c>
      <c r="Q259" s="195">
        <v>232</v>
      </c>
      <c r="R259" s="195">
        <v>43</v>
      </c>
      <c r="S259" s="195">
        <v>251</v>
      </c>
      <c r="T259" s="195">
        <v>138</v>
      </c>
      <c r="U259" s="195">
        <v>144</v>
      </c>
      <c r="V259" s="195">
        <v>2503</v>
      </c>
      <c r="W259" s="195">
        <v>755</v>
      </c>
      <c r="X259" s="195">
        <v>413</v>
      </c>
      <c r="Y259" s="195">
        <v>174</v>
      </c>
      <c r="Z259" s="195">
        <v>8</v>
      </c>
      <c r="AA259" s="195">
        <v>1</v>
      </c>
      <c r="AB259" s="195">
        <v>4433</v>
      </c>
      <c r="AC259" s="195">
        <v>211</v>
      </c>
      <c r="AD259" s="195">
        <v>1342</v>
      </c>
      <c r="AE259" s="195">
        <v>1.5385527259828646</v>
      </c>
      <c r="AF259" s="195">
        <v>8131635.241121955</v>
      </c>
      <c r="AG259" s="195">
        <v>5177741.594771662</v>
      </c>
      <c r="AH259" s="195">
        <v>1179424.4989146034</v>
      </c>
      <c r="AI259" s="195">
        <v>508391.0141893105</v>
      </c>
      <c r="AJ259" s="195">
        <v>383</v>
      </c>
      <c r="AK259" s="195">
        <v>2009</v>
      </c>
      <c r="AL259" s="195">
        <v>1.4358114251635476</v>
      </c>
      <c r="AM259" s="195">
        <v>211</v>
      </c>
      <c r="AN259" s="195">
        <v>0.04534708790027939</v>
      </c>
      <c r="AO259" s="195">
        <v>0.04137883393202542</v>
      </c>
      <c r="AP259" s="195">
        <v>0</v>
      </c>
      <c r="AQ259" s="195">
        <v>8</v>
      </c>
      <c r="AR259" s="195">
        <v>1</v>
      </c>
      <c r="AS259" s="195">
        <v>0</v>
      </c>
      <c r="AT259" s="195">
        <v>0</v>
      </c>
      <c r="AU259" s="195">
        <v>837.75</v>
      </c>
      <c r="AV259" s="195">
        <v>5.554162936436884</v>
      </c>
      <c r="AW259" s="195">
        <v>3.259773851902066</v>
      </c>
      <c r="AX259" s="195">
        <v>228</v>
      </c>
      <c r="AY259" s="195">
        <v>1349</v>
      </c>
      <c r="AZ259" s="195">
        <v>0.16901408450704225</v>
      </c>
      <c r="BA259" s="195">
        <v>0.10399128430437378</v>
      </c>
      <c r="BB259" s="195">
        <v>0.176333</v>
      </c>
      <c r="BC259" s="195">
        <v>1412</v>
      </c>
      <c r="BD259" s="195">
        <v>1585</v>
      </c>
      <c r="BE259" s="195">
        <v>0.8908517350157729</v>
      </c>
      <c r="BF259" s="195">
        <v>0.4599102169734668</v>
      </c>
      <c r="BG259" s="195">
        <v>0</v>
      </c>
      <c r="BH259" s="195">
        <v>1</v>
      </c>
      <c r="BI259" s="195">
        <v>0</v>
      </c>
      <c r="BJ259" s="195">
        <v>-1116.72</v>
      </c>
      <c r="BK259" s="195">
        <v>-19077.3</v>
      </c>
      <c r="BL259" s="195">
        <v>-1302.8400000000001</v>
      </c>
      <c r="BM259" s="195">
        <v>-6653.79</v>
      </c>
      <c r="BN259" s="195">
        <v>-186.12</v>
      </c>
      <c r="BO259" s="195">
        <v>296673</v>
      </c>
      <c r="BP259" s="195">
        <v>-215090.3667283525</v>
      </c>
      <c r="BQ259" s="195">
        <v>-397691.91</v>
      </c>
      <c r="BR259" s="195">
        <v>146059.5290362984</v>
      </c>
      <c r="BS259" s="195">
        <v>488924</v>
      </c>
      <c r="BT259" s="195">
        <v>151458</v>
      </c>
      <c r="BU259" s="195">
        <v>407823.27488089685</v>
      </c>
      <c r="BV259" s="195">
        <v>23600.248029461156</v>
      </c>
      <c r="BW259" s="195">
        <v>70179.89737688669</v>
      </c>
      <c r="BX259" s="195">
        <v>178361.8782136875</v>
      </c>
      <c r="BY259" s="195">
        <v>258633.18425387493</v>
      </c>
      <c r="BZ259" s="195">
        <v>426043.25547438674</v>
      </c>
      <c r="CA259" s="195">
        <v>120045.85157341382</v>
      </c>
      <c r="CB259" s="195">
        <v>418.77</v>
      </c>
      <c r="CC259" s="195">
        <v>78219.85477344132</v>
      </c>
      <c r="CD259" s="195">
        <v>2646719.9236123473</v>
      </c>
      <c r="CE259" s="195">
        <v>1868337.3768839948</v>
      </c>
      <c r="CF259" s="195">
        <v>0</v>
      </c>
      <c r="CG259" s="229">
        <v>4546370.804505747</v>
      </c>
      <c r="CH259" s="195">
        <v>565992</v>
      </c>
      <c r="CI259" s="195">
        <v>-39851.96910000002</v>
      </c>
      <c r="CJ259" s="195">
        <v>16733313.626144594</v>
      </c>
      <c r="CL259" s="195">
        <v>4738</v>
      </c>
    </row>
    <row r="260" spans="1:90" ht="9.75">
      <c r="A260" s="195">
        <v>849</v>
      </c>
      <c r="B260" s="195" t="s">
        <v>327</v>
      </c>
      <c r="C260" s="195">
        <v>3232</v>
      </c>
      <c r="D260" s="195">
        <v>12559693.079999998</v>
      </c>
      <c r="E260" s="195">
        <v>3823592.40442882</v>
      </c>
      <c r="F260" s="195">
        <v>775657.9227722896</v>
      </c>
      <c r="G260" s="195">
        <v>17158943.407201108</v>
      </c>
      <c r="H260" s="195">
        <v>3540.31</v>
      </c>
      <c r="I260" s="195">
        <v>11442281.92</v>
      </c>
      <c r="J260" s="195">
        <v>5716661.487201108</v>
      </c>
      <c r="K260" s="195">
        <v>156994.63986018443</v>
      </c>
      <c r="L260" s="195">
        <v>945193.2105458493</v>
      </c>
      <c r="M260" s="195">
        <v>0</v>
      </c>
      <c r="N260" s="195">
        <v>6818849.337607142</v>
      </c>
      <c r="O260" s="195">
        <v>3255497.935088371</v>
      </c>
      <c r="P260" s="195">
        <v>10074347.272695512</v>
      </c>
      <c r="Q260" s="195">
        <v>229</v>
      </c>
      <c r="R260" s="195">
        <v>54</v>
      </c>
      <c r="S260" s="195">
        <v>276</v>
      </c>
      <c r="T260" s="195">
        <v>135</v>
      </c>
      <c r="U260" s="195">
        <v>115</v>
      </c>
      <c r="V260" s="195">
        <v>1621</v>
      </c>
      <c r="W260" s="195">
        <v>437</v>
      </c>
      <c r="X260" s="195">
        <v>253</v>
      </c>
      <c r="Y260" s="195">
        <v>112</v>
      </c>
      <c r="Z260" s="195">
        <v>3</v>
      </c>
      <c r="AA260" s="195">
        <v>0</v>
      </c>
      <c r="AB260" s="195">
        <v>3190</v>
      </c>
      <c r="AC260" s="195">
        <v>39</v>
      </c>
      <c r="AD260" s="195">
        <v>802</v>
      </c>
      <c r="AE260" s="195">
        <v>1.04152041090661</v>
      </c>
      <c r="AF260" s="195">
        <v>3823592.40442882</v>
      </c>
      <c r="AG260" s="195">
        <v>10132268.784868073</v>
      </c>
      <c r="AH260" s="195">
        <v>3378231.924468363</v>
      </c>
      <c r="AI260" s="195">
        <v>856237.4975819967</v>
      </c>
      <c r="AJ260" s="195">
        <v>134</v>
      </c>
      <c r="AK260" s="195">
        <v>1407</v>
      </c>
      <c r="AL260" s="195">
        <v>0.7172809034324423</v>
      </c>
      <c r="AM260" s="195">
        <v>39</v>
      </c>
      <c r="AN260" s="195">
        <v>0.012066831683168317</v>
      </c>
      <c r="AO260" s="195">
        <v>0.008098577714914349</v>
      </c>
      <c r="AP260" s="195">
        <v>0</v>
      </c>
      <c r="AQ260" s="195">
        <v>3</v>
      </c>
      <c r="AR260" s="195">
        <v>0</v>
      </c>
      <c r="AS260" s="195">
        <v>0</v>
      </c>
      <c r="AT260" s="195">
        <v>0</v>
      </c>
      <c r="AU260" s="195">
        <v>608.36</v>
      </c>
      <c r="AV260" s="195">
        <v>5.312643829311591</v>
      </c>
      <c r="AW260" s="195">
        <v>3.4079670482533784</v>
      </c>
      <c r="AX260" s="195">
        <v>125</v>
      </c>
      <c r="AY260" s="195">
        <v>879</v>
      </c>
      <c r="AZ260" s="195">
        <v>0.1422070534698521</v>
      </c>
      <c r="BA260" s="195">
        <v>0.07718425326718363</v>
      </c>
      <c r="BB260" s="195">
        <v>0.086933</v>
      </c>
      <c r="BC260" s="195">
        <v>1172</v>
      </c>
      <c r="BD260" s="195">
        <v>1282</v>
      </c>
      <c r="BE260" s="195">
        <v>0.9141965678627145</v>
      </c>
      <c r="BF260" s="195">
        <v>0.48325504982040846</v>
      </c>
      <c r="BG260" s="195">
        <v>0</v>
      </c>
      <c r="BH260" s="195">
        <v>0</v>
      </c>
      <c r="BI260" s="195">
        <v>0</v>
      </c>
      <c r="BJ260" s="195">
        <v>-775.68</v>
      </c>
      <c r="BK260" s="195">
        <v>-13251.199999999999</v>
      </c>
      <c r="BL260" s="195">
        <v>-904.96</v>
      </c>
      <c r="BM260" s="195">
        <v>-4621.76</v>
      </c>
      <c r="BN260" s="195">
        <v>-129.28</v>
      </c>
      <c r="BO260" s="195">
        <v>-35286</v>
      </c>
      <c r="BP260" s="195">
        <v>-86536.35684652322</v>
      </c>
      <c r="BQ260" s="195">
        <v>-276239.04</v>
      </c>
      <c r="BR260" s="195">
        <v>23437.54527264461</v>
      </c>
      <c r="BS260" s="195">
        <v>314226</v>
      </c>
      <c r="BT260" s="195">
        <v>100168</v>
      </c>
      <c r="BU260" s="195">
        <v>257451.3146865465</v>
      </c>
      <c r="BV260" s="195">
        <v>12554.810613471816</v>
      </c>
      <c r="BW260" s="195">
        <v>41698.33530034056</v>
      </c>
      <c r="BX260" s="195">
        <v>129523.2545463595</v>
      </c>
      <c r="BY260" s="195">
        <v>173125.70093132294</v>
      </c>
      <c r="BZ260" s="195">
        <v>339131.47494841396</v>
      </c>
      <c r="CA260" s="195">
        <v>74748.31756608374</v>
      </c>
      <c r="CB260" s="195">
        <v>290.88</v>
      </c>
      <c r="CC260" s="195">
        <v>-8268.06647281082</v>
      </c>
      <c r="CD260" s="195">
        <v>1422995.4873923725</v>
      </c>
      <c r="CE260" s="195">
        <v>945193.2105458493</v>
      </c>
      <c r="CF260" s="195">
        <v>0</v>
      </c>
      <c r="CG260" s="229">
        <v>3255497.935088371</v>
      </c>
      <c r="CH260" s="195">
        <v>-78647</v>
      </c>
      <c r="CI260" s="195">
        <v>148613.81999999998</v>
      </c>
      <c r="CJ260" s="195">
        <v>9995700.272695512</v>
      </c>
      <c r="CL260" s="195">
        <v>3311</v>
      </c>
    </row>
    <row r="261" spans="1:90" ht="9.75">
      <c r="A261" s="195">
        <v>850</v>
      </c>
      <c r="B261" s="195" t="s">
        <v>328</v>
      </c>
      <c r="C261" s="195">
        <v>2432</v>
      </c>
      <c r="D261" s="195">
        <v>9002503.440000001</v>
      </c>
      <c r="E261" s="195">
        <v>2859721.0346983853</v>
      </c>
      <c r="F261" s="195">
        <v>558501.2143709098</v>
      </c>
      <c r="G261" s="195">
        <v>12420725.689069297</v>
      </c>
      <c r="H261" s="195">
        <v>3540.31</v>
      </c>
      <c r="I261" s="195">
        <v>8610033.92</v>
      </c>
      <c r="J261" s="195">
        <v>3810691.7690692972</v>
      </c>
      <c r="K261" s="195">
        <v>22977.042122529812</v>
      </c>
      <c r="L261" s="195">
        <v>764371.9360006165</v>
      </c>
      <c r="M261" s="195">
        <v>0</v>
      </c>
      <c r="N261" s="195">
        <v>4598040.747192443</v>
      </c>
      <c r="O261" s="195">
        <v>1751242.0810419512</v>
      </c>
      <c r="P261" s="195">
        <v>6349282.828234395</v>
      </c>
      <c r="Q261" s="195">
        <v>169</v>
      </c>
      <c r="R261" s="195">
        <v>41</v>
      </c>
      <c r="S261" s="195">
        <v>199</v>
      </c>
      <c r="T261" s="195">
        <v>80</v>
      </c>
      <c r="U261" s="195">
        <v>63</v>
      </c>
      <c r="V261" s="195">
        <v>1252</v>
      </c>
      <c r="W261" s="195">
        <v>367</v>
      </c>
      <c r="X261" s="195">
        <v>179</v>
      </c>
      <c r="Y261" s="195">
        <v>82</v>
      </c>
      <c r="Z261" s="195">
        <v>0</v>
      </c>
      <c r="AA261" s="195">
        <v>0</v>
      </c>
      <c r="AB261" s="195">
        <v>2409</v>
      </c>
      <c r="AC261" s="195">
        <v>23</v>
      </c>
      <c r="AD261" s="195">
        <v>628</v>
      </c>
      <c r="AE261" s="195">
        <v>1.0352080642127288</v>
      </c>
      <c r="AF261" s="195">
        <v>2859721.0346983853</v>
      </c>
      <c r="AG261" s="195">
        <v>9826257.562828084</v>
      </c>
      <c r="AH261" s="195">
        <v>3069998.12056696</v>
      </c>
      <c r="AI261" s="195">
        <v>793803.5133833092</v>
      </c>
      <c r="AJ261" s="195">
        <v>148</v>
      </c>
      <c r="AK261" s="195">
        <v>1110</v>
      </c>
      <c r="AL261" s="195">
        <v>1.0041932648054193</v>
      </c>
      <c r="AM261" s="195">
        <v>23</v>
      </c>
      <c r="AN261" s="195">
        <v>0.009457236842105263</v>
      </c>
      <c r="AO261" s="195">
        <v>0.005488982873851295</v>
      </c>
      <c r="AP261" s="195">
        <v>0</v>
      </c>
      <c r="AQ261" s="195">
        <v>0</v>
      </c>
      <c r="AR261" s="195">
        <v>0</v>
      </c>
      <c r="AS261" s="195">
        <v>0</v>
      </c>
      <c r="AT261" s="195">
        <v>0</v>
      </c>
      <c r="AU261" s="195">
        <v>361.45</v>
      </c>
      <c r="AV261" s="195">
        <v>6.728454834693595</v>
      </c>
      <c r="AW261" s="195">
        <v>2.6908577904164592</v>
      </c>
      <c r="AX261" s="195">
        <v>98</v>
      </c>
      <c r="AY261" s="195">
        <v>730</v>
      </c>
      <c r="AZ261" s="195">
        <v>0.13424657534246576</v>
      </c>
      <c r="BA261" s="195">
        <v>0.06922377513979729</v>
      </c>
      <c r="BB261" s="195">
        <v>0</v>
      </c>
      <c r="BC261" s="195">
        <v>540</v>
      </c>
      <c r="BD261" s="195">
        <v>930</v>
      </c>
      <c r="BE261" s="195">
        <v>0.5806451612903226</v>
      </c>
      <c r="BF261" s="195">
        <v>0.14970364324801655</v>
      </c>
      <c r="BG261" s="195">
        <v>0</v>
      </c>
      <c r="BH261" s="195">
        <v>0</v>
      </c>
      <c r="BI261" s="195">
        <v>0</v>
      </c>
      <c r="BJ261" s="195">
        <v>-583.68</v>
      </c>
      <c r="BK261" s="195">
        <v>-9971.199999999999</v>
      </c>
      <c r="BL261" s="195">
        <v>-680.96</v>
      </c>
      <c r="BM261" s="195">
        <v>-3477.7599999999998</v>
      </c>
      <c r="BN261" s="195">
        <v>-97.28</v>
      </c>
      <c r="BO261" s="195">
        <v>37010</v>
      </c>
      <c r="BP261" s="195">
        <v>-57524.16784595474</v>
      </c>
      <c r="BQ261" s="195">
        <v>-207863.04</v>
      </c>
      <c r="BR261" s="195">
        <v>129204.97141114902</v>
      </c>
      <c r="BS261" s="195">
        <v>217595</v>
      </c>
      <c r="BT261" s="195">
        <v>70121</v>
      </c>
      <c r="BU261" s="195">
        <v>157566.65010776315</v>
      </c>
      <c r="BV261" s="195">
        <v>6018.4220331636425</v>
      </c>
      <c r="BW261" s="195">
        <v>16014.904402014883</v>
      </c>
      <c r="BX261" s="195">
        <v>71238.97880583534</v>
      </c>
      <c r="BY261" s="195">
        <v>131906.43722749897</v>
      </c>
      <c r="BZ261" s="195">
        <v>199318.96465986373</v>
      </c>
      <c r="CA261" s="195">
        <v>63411.44614156326</v>
      </c>
      <c r="CB261" s="195">
        <v>218.88</v>
      </c>
      <c r="CC261" s="195">
        <v>16542.449057719383</v>
      </c>
      <c r="CD261" s="195">
        <v>1116314.0238465713</v>
      </c>
      <c r="CE261" s="195">
        <v>764371.9360006165</v>
      </c>
      <c r="CF261" s="195">
        <v>0</v>
      </c>
      <c r="CG261" s="229">
        <v>1751242.0810419512</v>
      </c>
      <c r="CH261" s="195">
        <v>-499747</v>
      </c>
      <c r="CI261" s="195">
        <v>206990.37139999997</v>
      </c>
      <c r="CJ261" s="195">
        <v>5849535.828234395</v>
      </c>
      <c r="CL261" s="195">
        <v>2431</v>
      </c>
    </row>
    <row r="262" spans="1:90" ht="9.75">
      <c r="A262" s="195">
        <v>851</v>
      </c>
      <c r="B262" s="195" t="s">
        <v>329</v>
      </c>
      <c r="C262" s="195">
        <v>22117</v>
      </c>
      <c r="D262" s="195">
        <v>76407324.74000001</v>
      </c>
      <c r="E262" s="195">
        <v>24046413.617708404</v>
      </c>
      <c r="F262" s="195">
        <v>4558961.300118949</v>
      </c>
      <c r="G262" s="195">
        <v>105012699.65782736</v>
      </c>
      <c r="H262" s="195">
        <v>3540.31</v>
      </c>
      <c r="I262" s="195">
        <v>78301036.27</v>
      </c>
      <c r="J262" s="195">
        <v>26711663.387827367</v>
      </c>
      <c r="K262" s="195">
        <v>1007984.9398978087</v>
      </c>
      <c r="L262" s="195">
        <v>2857388.5662638284</v>
      </c>
      <c r="M262" s="195">
        <v>0</v>
      </c>
      <c r="N262" s="195">
        <v>30577036.893989004</v>
      </c>
      <c r="O262" s="195">
        <v>8793945.018899517</v>
      </c>
      <c r="P262" s="195">
        <v>39370981.91288852</v>
      </c>
      <c r="Q262" s="195">
        <v>1465</v>
      </c>
      <c r="R262" s="195">
        <v>294</v>
      </c>
      <c r="S262" s="195">
        <v>1633</v>
      </c>
      <c r="T262" s="195">
        <v>824</v>
      </c>
      <c r="U262" s="195">
        <v>833</v>
      </c>
      <c r="V262" s="195">
        <v>12448</v>
      </c>
      <c r="W262" s="195">
        <v>2728</v>
      </c>
      <c r="X262" s="195">
        <v>1319</v>
      </c>
      <c r="Y262" s="195">
        <v>573</v>
      </c>
      <c r="Z262" s="195">
        <v>99</v>
      </c>
      <c r="AA262" s="195">
        <v>13</v>
      </c>
      <c r="AB262" s="195">
        <v>21413</v>
      </c>
      <c r="AC262" s="195">
        <v>592</v>
      </c>
      <c r="AD262" s="195">
        <v>4620</v>
      </c>
      <c r="AE262" s="195">
        <v>0.9571756510101691</v>
      </c>
      <c r="AF262" s="195">
        <v>24046413.617708404</v>
      </c>
      <c r="AG262" s="195">
        <v>5054273.236235337</v>
      </c>
      <c r="AH262" s="195">
        <v>1148253.9403907838</v>
      </c>
      <c r="AI262" s="195">
        <v>499471.873589498</v>
      </c>
      <c r="AJ262" s="195">
        <v>1572</v>
      </c>
      <c r="AK262" s="195">
        <v>10247</v>
      </c>
      <c r="AL262" s="195">
        <v>1.1554053471314427</v>
      </c>
      <c r="AM262" s="195">
        <v>592</v>
      </c>
      <c r="AN262" s="195">
        <v>0.026766740516344895</v>
      </c>
      <c r="AO262" s="195">
        <v>0.022798486548090927</v>
      </c>
      <c r="AP262" s="195">
        <v>0</v>
      </c>
      <c r="AQ262" s="195">
        <v>99</v>
      </c>
      <c r="AR262" s="195">
        <v>13</v>
      </c>
      <c r="AS262" s="195">
        <v>0</v>
      </c>
      <c r="AT262" s="195">
        <v>0</v>
      </c>
      <c r="AU262" s="195">
        <v>1188</v>
      </c>
      <c r="AV262" s="195">
        <v>18.617003367003367</v>
      </c>
      <c r="AW262" s="195">
        <v>0.9725150042938849</v>
      </c>
      <c r="AX262" s="195">
        <v>809</v>
      </c>
      <c r="AY262" s="195">
        <v>6508</v>
      </c>
      <c r="AZ262" s="195">
        <v>0.12430854333128458</v>
      </c>
      <c r="BA262" s="195">
        <v>0.059285743128616106</v>
      </c>
      <c r="BB262" s="195">
        <v>0.038183</v>
      </c>
      <c r="BC262" s="195">
        <v>8659</v>
      </c>
      <c r="BD262" s="195">
        <v>8429</v>
      </c>
      <c r="BE262" s="195">
        <v>1.027286748131451</v>
      </c>
      <c r="BF262" s="195">
        <v>0.5963452300891449</v>
      </c>
      <c r="BG262" s="195">
        <v>0</v>
      </c>
      <c r="BH262" s="195">
        <v>13</v>
      </c>
      <c r="BI262" s="195">
        <v>0</v>
      </c>
      <c r="BJ262" s="195">
        <v>-5308.08</v>
      </c>
      <c r="BK262" s="195">
        <v>-90679.7</v>
      </c>
      <c r="BL262" s="195">
        <v>-6192.76</v>
      </c>
      <c r="BM262" s="195">
        <v>-31627.309999999998</v>
      </c>
      <c r="BN262" s="195">
        <v>-884.6800000000001</v>
      </c>
      <c r="BO262" s="195">
        <v>-14349</v>
      </c>
      <c r="BP262" s="195">
        <v>-1166990.292040108</v>
      </c>
      <c r="BQ262" s="195">
        <v>-1890339.99</v>
      </c>
      <c r="BR262" s="195">
        <v>-580763.6914084479</v>
      </c>
      <c r="BS262" s="195">
        <v>1689783</v>
      </c>
      <c r="BT262" s="195">
        <v>512361</v>
      </c>
      <c r="BU262" s="195">
        <v>1252194.124183459</v>
      </c>
      <c r="BV262" s="195">
        <v>40707.48580701725</v>
      </c>
      <c r="BW262" s="195">
        <v>63350.42689183841</v>
      </c>
      <c r="BX262" s="195">
        <v>564846.7675050591</v>
      </c>
      <c r="BY262" s="195">
        <v>986831.8784667774</v>
      </c>
      <c r="BZ262" s="195">
        <v>1548331.791137923</v>
      </c>
      <c r="CA262" s="195">
        <v>446712.88771184906</v>
      </c>
      <c r="CB262" s="195">
        <v>1990.53</v>
      </c>
      <c r="CC262" s="195">
        <v>188538.65800846156</v>
      </c>
      <c r="CD262" s="195">
        <v>6701862.878303937</v>
      </c>
      <c r="CE262" s="195">
        <v>2857388.5662638284</v>
      </c>
      <c r="CF262" s="195">
        <v>0</v>
      </c>
      <c r="CG262" s="229">
        <v>8793945.018899517</v>
      </c>
      <c r="CH262" s="195">
        <v>-686070</v>
      </c>
      <c r="CI262" s="195">
        <v>119360.36279999997</v>
      </c>
      <c r="CJ262" s="195">
        <v>38684911.91288852</v>
      </c>
      <c r="CL262" s="195">
        <v>22199</v>
      </c>
    </row>
    <row r="263" spans="1:90" ht="9.75">
      <c r="A263" s="195">
        <v>853</v>
      </c>
      <c r="B263" s="195" t="s">
        <v>330</v>
      </c>
      <c r="C263" s="195">
        <v>187604</v>
      </c>
      <c r="D263" s="195">
        <v>571625363.69</v>
      </c>
      <c r="E263" s="195">
        <v>198842361.96157414</v>
      </c>
      <c r="F263" s="195">
        <v>70564413.66752136</v>
      </c>
      <c r="G263" s="195">
        <v>841032139.3190955</v>
      </c>
      <c r="H263" s="195">
        <v>3540.31</v>
      </c>
      <c r="I263" s="195">
        <v>664176317.24</v>
      </c>
      <c r="J263" s="195">
        <v>176855822.07909548</v>
      </c>
      <c r="K263" s="195">
        <v>9499768.602775134</v>
      </c>
      <c r="L263" s="195">
        <v>30424340.629242055</v>
      </c>
      <c r="M263" s="195">
        <v>0</v>
      </c>
      <c r="N263" s="195">
        <v>216779931.31111267</v>
      </c>
      <c r="O263" s="195">
        <v>-1457544.3137665584</v>
      </c>
      <c r="P263" s="195">
        <v>215322386.9973461</v>
      </c>
      <c r="Q263" s="195">
        <v>10422</v>
      </c>
      <c r="R263" s="195">
        <v>1643</v>
      </c>
      <c r="S263" s="195">
        <v>9198</v>
      </c>
      <c r="T263" s="195">
        <v>4312</v>
      </c>
      <c r="U263" s="195">
        <v>4934</v>
      </c>
      <c r="V263" s="195">
        <v>119094</v>
      </c>
      <c r="W263" s="195">
        <v>20832</v>
      </c>
      <c r="X263" s="195">
        <v>11696</v>
      </c>
      <c r="Y263" s="195">
        <v>5473</v>
      </c>
      <c r="Z263" s="195">
        <v>10175</v>
      </c>
      <c r="AA263" s="195">
        <v>16</v>
      </c>
      <c r="AB263" s="195">
        <v>157536</v>
      </c>
      <c r="AC263" s="195">
        <v>19877</v>
      </c>
      <c r="AD263" s="195">
        <v>38001</v>
      </c>
      <c r="AE263" s="195">
        <v>0.9331132719297995</v>
      </c>
      <c r="AF263" s="195">
        <v>198842361.96157414</v>
      </c>
      <c r="AG263" s="195">
        <v>3423017.344874888</v>
      </c>
      <c r="AH263" s="195">
        <v>786999.9975959576</v>
      </c>
      <c r="AI263" s="195">
        <v>356765.6239924986</v>
      </c>
      <c r="AJ263" s="195">
        <v>15169</v>
      </c>
      <c r="AK263" s="195">
        <v>91542</v>
      </c>
      <c r="AL263" s="195">
        <v>1.2480015430485518</v>
      </c>
      <c r="AM263" s="195">
        <v>19877</v>
      </c>
      <c r="AN263" s="195">
        <v>0.10595189868019872</v>
      </c>
      <c r="AO263" s="195">
        <v>0.10198364471194475</v>
      </c>
      <c r="AP263" s="195">
        <v>1</v>
      </c>
      <c r="AQ263" s="195">
        <v>10175</v>
      </c>
      <c r="AR263" s="195">
        <v>16</v>
      </c>
      <c r="AS263" s="195">
        <v>0</v>
      </c>
      <c r="AT263" s="195">
        <v>0</v>
      </c>
      <c r="AU263" s="195">
        <v>245.67</v>
      </c>
      <c r="AV263" s="195">
        <v>763.6422843652053</v>
      </c>
      <c r="AW263" s="195">
        <v>0.023709157389642188</v>
      </c>
      <c r="AX263" s="195">
        <v>9213</v>
      </c>
      <c r="AY263" s="195">
        <v>57380</v>
      </c>
      <c r="AZ263" s="195">
        <v>0.16056117113976995</v>
      </c>
      <c r="BA263" s="195">
        <v>0.09553837093710148</v>
      </c>
      <c r="BB263" s="195">
        <v>0</v>
      </c>
      <c r="BC263" s="195">
        <v>93946</v>
      </c>
      <c r="BD263" s="195">
        <v>76174</v>
      </c>
      <c r="BE263" s="195">
        <v>1.2333079528448028</v>
      </c>
      <c r="BF263" s="195">
        <v>0.8023664348024967</v>
      </c>
      <c r="BG263" s="195">
        <v>0</v>
      </c>
      <c r="BH263" s="195">
        <v>16</v>
      </c>
      <c r="BI263" s="195">
        <v>0</v>
      </c>
      <c r="BJ263" s="195">
        <v>-45024.96</v>
      </c>
      <c r="BK263" s="195">
        <v>-769176.3999999999</v>
      </c>
      <c r="BL263" s="195">
        <v>-52529.12</v>
      </c>
      <c r="BM263" s="195">
        <v>-268273.72</v>
      </c>
      <c r="BN263" s="195">
        <v>-7504.16</v>
      </c>
      <c r="BO263" s="195">
        <v>491739</v>
      </c>
      <c r="BP263" s="195">
        <v>-9936174.52253952</v>
      </c>
      <c r="BQ263" s="195">
        <v>-16034513.879999999</v>
      </c>
      <c r="BR263" s="195">
        <v>497689.7856930196</v>
      </c>
      <c r="BS263" s="195">
        <v>12023956</v>
      </c>
      <c r="BT263" s="195">
        <v>4740530</v>
      </c>
      <c r="BU263" s="195">
        <v>11427222.350982357</v>
      </c>
      <c r="BV263" s="195">
        <v>564913.7235415687</v>
      </c>
      <c r="BW263" s="195">
        <v>366930.12714489934</v>
      </c>
      <c r="BX263" s="195">
        <v>4587595.647429567</v>
      </c>
      <c r="BY263" s="195">
        <v>9653934.222865572</v>
      </c>
      <c r="BZ263" s="195">
        <v>13341231.3378736</v>
      </c>
      <c r="CA263" s="195">
        <v>5148947.086548411</v>
      </c>
      <c r="CB263" s="195">
        <v>16884.36</v>
      </c>
      <c r="CC263" s="195">
        <v>199025.50970257632</v>
      </c>
      <c r="CD263" s="195">
        <v>63071855.391781576</v>
      </c>
      <c r="CE263" s="195">
        <v>30424340.629242055</v>
      </c>
      <c r="CF263" s="195">
        <v>0</v>
      </c>
      <c r="CG263" s="229">
        <v>-1457544.3137665584</v>
      </c>
      <c r="CH263" s="195">
        <v>37065099</v>
      </c>
      <c r="CI263" s="195">
        <v>-2240422.4288899982</v>
      </c>
      <c r="CJ263" s="195">
        <v>252387485.9973461</v>
      </c>
      <c r="CL263" s="195">
        <v>185908</v>
      </c>
    </row>
    <row r="264" spans="1:90" ht="9.75">
      <c r="A264" s="195">
        <v>857</v>
      </c>
      <c r="B264" s="195" t="s">
        <v>331</v>
      </c>
      <c r="C264" s="195">
        <v>2643</v>
      </c>
      <c r="D264" s="195">
        <v>9017579.25</v>
      </c>
      <c r="E264" s="195">
        <v>5562156.917029975</v>
      </c>
      <c r="F264" s="195">
        <v>832597.3535066281</v>
      </c>
      <c r="G264" s="195">
        <v>15412333.520536603</v>
      </c>
      <c r="H264" s="195">
        <v>3540.31</v>
      </c>
      <c r="I264" s="195">
        <v>9357039.33</v>
      </c>
      <c r="J264" s="195">
        <v>6055294.190536603</v>
      </c>
      <c r="K264" s="195">
        <v>242168.17440766652</v>
      </c>
      <c r="L264" s="195">
        <v>912109.7987737888</v>
      </c>
      <c r="M264" s="195">
        <v>0</v>
      </c>
      <c r="N264" s="195">
        <v>7209572.163718059</v>
      </c>
      <c r="O264" s="195">
        <v>2563001.984032727</v>
      </c>
      <c r="P264" s="195">
        <v>9772574.147750786</v>
      </c>
      <c r="Q264" s="195">
        <v>101</v>
      </c>
      <c r="R264" s="195">
        <v>19</v>
      </c>
      <c r="S264" s="195">
        <v>139</v>
      </c>
      <c r="T264" s="195">
        <v>71</v>
      </c>
      <c r="U264" s="195">
        <v>55</v>
      </c>
      <c r="V264" s="195">
        <v>1406</v>
      </c>
      <c r="W264" s="195">
        <v>462</v>
      </c>
      <c r="X264" s="195">
        <v>287</v>
      </c>
      <c r="Y264" s="195">
        <v>103</v>
      </c>
      <c r="Z264" s="195">
        <v>2</v>
      </c>
      <c r="AA264" s="195">
        <v>1</v>
      </c>
      <c r="AB264" s="195">
        <v>2601</v>
      </c>
      <c r="AC264" s="195">
        <v>39</v>
      </c>
      <c r="AD264" s="195">
        <v>852</v>
      </c>
      <c r="AE264" s="195">
        <v>1.8527363441061664</v>
      </c>
      <c r="AF264" s="195">
        <v>5562156.917029975</v>
      </c>
      <c r="AG264" s="195">
        <v>238843873.32588062</v>
      </c>
      <c r="AH264" s="195">
        <v>56974044.99498606</v>
      </c>
      <c r="AI264" s="195">
        <v>30066422.961967822</v>
      </c>
      <c r="AJ264" s="195">
        <v>168</v>
      </c>
      <c r="AK264" s="195">
        <v>1044</v>
      </c>
      <c r="AL264" s="195">
        <v>1.2119573885582646</v>
      </c>
      <c r="AM264" s="195">
        <v>39</v>
      </c>
      <c r="AN264" s="195">
        <v>0.014755959137343927</v>
      </c>
      <c r="AO264" s="195">
        <v>0.010787705169089959</v>
      </c>
      <c r="AP264" s="195">
        <v>0</v>
      </c>
      <c r="AQ264" s="195">
        <v>2</v>
      </c>
      <c r="AR264" s="195">
        <v>1</v>
      </c>
      <c r="AS264" s="195">
        <v>0</v>
      </c>
      <c r="AT264" s="195">
        <v>0</v>
      </c>
      <c r="AU264" s="195">
        <v>543.17</v>
      </c>
      <c r="AV264" s="195">
        <v>4.865879927094649</v>
      </c>
      <c r="AW264" s="195">
        <v>3.720871739679567</v>
      </c>
      <c r="AX264" s="195">
        <v>123</v>
      </c>
      <c r="AY264" s="195">
        <v>689</v>
      </c>
      <c r="AZ264" s="195">
        <v>0.17851959361393324</v>
      </c>
      <c r="BA264" s="195">
        <v>0.11349679341126477</v>
      </c>
      <c r="BB264" s="195">
        <v>0.3374</v>
      </c>
      <c r="BC264" s="195">
        <v>667</v>
      </c>
      <c r="BD264" s="195">
        <v>865</v>
      </c>
      <c r="BE264" s="195">
        <v>0.7710982658959538</v>
      </c>
      <c r="BF264" s="195">
        <v>0.3401567478536477</v>
      </c>
      <c r="BG264" s="195">
        <v>0</v>
      </c>
      <c r="BH264" s="195">
        <v>1</v>
      </c>
      <c r="BI264" s="195">
        <v>0</v>
      </c>
      <c r="BJ264" s="195">
        <v>-634.3199999999999</v>
      </c>
      <c r="BK264" s="195">
        <v>-10836.3</v>
      </c>
      <c r="BL264" s="195">
        <v>-740.0400000000001</v>
      </c>
      <c r="BM264" s="195">
        <v>-3779.49</v>
      </c>
      <c r="BN264" s="195">
        <v>-105.72</v>
      </c>
      <c r="BO264" s="195">
        <v>106862</v>
      </c>
      <c r="BP264" s="195">
        <v>-95540.13963980309</v>
      </c>
      <c r="BQ264" s="195">
        <v>-225897.21</v>
      </c>
      <c r="BR264" s="195">
        <v>24017.81958437711</v>
      </c>
      <c r="BS264" s="195">
        <v>300356</v>
      </c>
      <c r="BT264" s="195">
        <v>87021</v>
      </c>
      <c r="BU264" s="195">
        <v>228750.0569633556</v>
      </c>
      <c r="BV264" s="195">
        <v>10969.57630153163</v>
      </c>
      <c r="BW264" s="195">
        <v>17385.613345586495</v>
      </c>
      <c r="BX264" s="195">
        <v>111786.84419278541</v>
      </c>
      <c r="BY264" s="195">
        <v>148155.05428529167</v>
      </c>
      <c r="BZ264" s="195">
        <v>234119.64364674693</v>
      </c>
      <c r="CA264" s="195">
        <v>67218.78704272321</v>
      </c>
      <c r="CB264" s="195">
        <v>237.87</v>
      </c>
      <c r="CC264" s="195">
        <v>-9427.326948806465</v>
      </c>
      <c r="CD264" s="195">
        <v>1327611.518413592</v>
      </c>
      <c r="CE264" s="195">
        <v>912109.7987737888</v>
      </c>
      <c r="CF264" s="195">
        <v>0</v>
      </c>
      <c r="CG264" s="229">
        <v>2563001.984032727</v>
      </c>
      <c r="CH264" s="195">
        <v>5675</v>
      </c>
      <c r="CI264" s="195">
        <v>337640.16999999987</v>
      </c>
      <c r="CJ264" s="195">
        <v>9778249.147750786</v>
      </c>
      <c r="CL264" s="195">
        <v>2719</v>
      </c>
    </row>
    <row r="265" spans="1:90" ht="9.75">
      <c r="A265" s="195">
        <v>858</v>
      </c>
      <c r="B265" s="195" t="s">
        <v>332</v>
      </c>
      <c r="C265" s="195">
        <v>38588</v>
      </c>
      <c r="D265" s="195">
        <v>129346903.03</v>
      </c>
      <c r="E265" s="195">
        <v>34423650.8343531</v>
      </c>
      <c r="F265" s="195">
        <v>6094387.527948951</v>
      </c>
      <c r="G265" s="195">
        <v>169864941.39230204</v>
      </c>
      <c r="H265" s="195">
        <v>3540.31</v>
      </c>
      <c r="I265" s="195">
        <v>136613482.28</v>
      </c>
      <c r="J265" s="195">
        <v>33251459.112302035</v>
      </c>
      <c r="K265" s="195">
        <v>828968.01294709</v>
      </c>
      <c r="L265" s="195">
        <v>2110746.905994924</v>
      </c>
      <c r="M265" s="195">
        <v>0</v>
      </c>
      <c r="N265" s="195">
        <v>36191174.03124405</v>
      </c>
      <c r="O265" s="195">
        <v>-9323536.958611108</v>
      </c>
      <c r="P265" s="195">
        <v>26867637.07263294</v>
      </c>
      <c r="Q265" s="195">
        <v>2627</v>
      </c>
      <c r="R265" s="195">
        <v>572</v>
      </c>
      <c r="S265" s="195">
        <v>3386</v>
      </c>
      <c r="T265" s="195">
        <v>1716</v>
      </c>
      <c r="U265" s="195">
        <v>1552</v>
      </c>
      <c r="V265" s="195">
        <v>22476</v>
      </c>
      <c r="W265" s="195">
        <v>3984</v>
      </c>
      <c r="X265" s="195">
        <v>1750</v>
      </c>
      <c r="Y265" s="195">
        <v>525</v>
      </c>
      <c r="Z265" s="195">
        <v>590</v>
      </c>
      <c r="AA265" s="195">
        <v>2</v>
      </c>
      <c r="AB265" s="195">
        <v>36445</v>
      </c>
      <c r="AC265" s="195">
        <v>1551</v>
      </c>
      <c r="AD265" s="195">
        <v>6259</v>
      </c>
      <c r="AE265" s="195">
        <v>0.7853661979052103</v>
      </c>
      <c r="AF265" s="195">
        <v>34423650.8343531</v>
      </c>
      <c r="AG265" s="195">
        <v>7604058.385200383</v>
      </c>
      <c r="AH265" s="195">
        <v>1805288.55837895</v>
      </c>
      <c r="AI265" s="195">
        <v>838399.2163823718</v>
      </c>
      <c r="AJ265" s="195">
        <v>1617</v>
      </c>
      <c r="AK265" s="195">
        <v>19534</v>
      </c>
      <c r="AL265" s="195">
        <v>0.6234439346231045</v>
      </c>
      <c r="AM265" s="195">
        <v>1551</v>
      </c>
      <c r="AN265" s="195">
        <v>0.040193842645381984</v>
      </c>
      <c r="AO265" s="195">
        <v>0.036225588677128016</v>
      </c>
      <c r="AP265" s="195">
        <v>0</v>
      </c>
      <c r="AQ265" s="195">
        <v>590</v>
      </c>
      <c r="AR265" s="195">
        <v>2</v>
      </c>
      <c r="AS265" s="195">
        <v>0</v>
      </c>
      <c r="AT265" s="195">
        <v>0</v>
      </c>
      <c r="AU265" s="195">
        <v>219.5</v>
      </c>
      <c r="AV265" s="195">
        <v>175.7995444191344</v>
      </c>
      <c r="AW265" s="195">
        <v>0.10298840744566758</v>
      </c>
      <c r="AX265" s="195">
        <v>1989</v>
      </c>
      <c r="AY265" s="195">
        <v>14105</v>
      </c>
      <c r="AZ265" s="195">
        <v>0.14101382488479264</v>
      </c>
      <c r="BA265" s="195">
        <v>0.07599102468212417</v>
      </c>
      <c r="BB265" s="195">
        <v>0</v>
      </c>
      <c r="BC265" s="195">
        <v>13898</v>
      </c>
      <c r="BD265" s="195">
        <v>18018</v>
      </c>
      <c r="BE265" s="195">
        <v>0.7713397713397714</v>
      </c>
      <c r="BF265" s="195">
        <v>0.3403982532974653</v>
      </c>
      <c r="BG265" s="195">
        <v>0</v>
      </c>
      <c r="BH265" s="195">
        <v>2</v>
      </c>
      <c r="BI265" s="195">
        <v>0</v>
      </c>
      <c r="BJ265" s="195">
        <v>-9261.119999999999</v>
      </c>
      <c r="BK265" s="195">
        <v>-158210.8</v>
      </c>
      <c r="BL265" s="195">
        <v>-10804.640000000001</v>
      </c>
      <c r="BM265" s="195">
        <v>-55180.84</v>
      </c>
      <c r="BN265" s="195">
        <v>-1543.52</v>
      </c>
      <c r="BO265" s="195">
        <v>-232623</v>
      </c>
      <c r="BP265" s="195">
        <v>-1322055.4401465945</v>
      </c>
      <c r="BQ265" s="195">
        <v>-3298116.36</v>
      </c>
      <c r="BR265" s="195">
        <v>-666280.6096984223</v>
      </c>
      <c r="BS265" s="195">
        <v>2156396</v>
      </c>
      <c r="BT265" s="195">
        <v>706861</v>
      </c>
      <c r="BU265" s="195">
        <v>1272093.3355424232</v>
      </c>
      <c r="BV265" s="195">
        <v>-2336.5735773642828</v>
      </c>
      <c r="BW265" s="195">
        <v>-229590.6980856142</v>
      </c>
      <c r="BX265" s="195">
        <v>469797.265750496</v>
      </c>
      <c r="BY265" s="195">
        <v>1509083.9554884597</v>
      </c>
      <c r="BZ265" s="195">
        <v>2468625.2045464953</v>
      </c>
      <c r="CA265" s="195">
        <v>762925.2738578758</v>
      </c>
      <c r="CB265" s="195">
        <v>3472.92</v>
      </c>
      <c r="CC265" s="195">
        <v>-116473.72768283144</v>
      </c>
      <c r="CD265" s="195">
        <v>8104265.626141518</v>
      </c>
      <c r="CE265" s="195">
        <v>2110746.905994924</v>
      </c>
      <c r="CF265" s="195">
        <v>0</v>
      </c>
      <c r="CG265" s="229">
        <v>-9323536.958611108</v>
      </c>
      <c r="CH265" s="195">
        <v>-3684308</v>
      </c>
      <c r="CI265" s="195">
        <v>54708.1365799997</v>
      </c>
      <c r="CJ265" s="195">
        <v>23183329.07263294</v>
      </c>
      <c r="CL265" s="195">
        <v>38459</v>
      </c>
    </row>
    <row r="266" spans="1:90" ht="9.75">
      <c r="A266" s="195">
        <v>859</v>
      </c>
      <c r="B266" s="195" t="s">
        <v>333</v>
      </c>
      <c r="C266" s="195">
        <v>6750</v>
      </c>
      <c r="D266" s="195">
        <v>28350208.430000003</v>
      </c>
      <c r="E266" s="195">
        <v>5931617.377160923</v>
      </c>
      <c r="F266" s="195">
        <v>965586.4078551367</v>
      </c>
      <c r="G266" s="195">
        <v>35247412.21501607</v>
      </c>
      <c r="H266" s="195">
        <v>3540.31</v>
      </c>
      <c r="I266" s="195">
        <v>23897092.5</v>
      </c>
      <c r="J266" s="195">
        <v>11350319.715016067</v>
      </c>
      <c r="K266" s="195">
        <v>68675.16233490524</v>
      </c>
      <c r="L266" s="195">
        <v>1115707.2246789513</v>
      </c>
      <c r="M266" s="195">
        <v>0</v>
      </c>
      <c r="N266" s="195">
        <v>12534702.102029923</v>
      </c>
      <c r="O266" s="195">
        <v>6953843.128132683</v>
      </c>
      <c r="P266" s="195">
        <v>19488545.230162606</v>
      </c>
      <c r="Q266" s="195">
        <v>813</v>
      </c>
      <c r="R266" s="195">
        <v>167</v>
      </c>
      <c r="S266" s="195">
        <v>939</v>
      </c>
      <c r="T266" s="195">
        <v>350</v>
      </c>
      <c r="U266" s="195">
        <v>328</v>
      </c>
      <c r="V266" s="195">
        <v>3340</v>
      </c>
      <c r="W266" s="195">
        <v>455</v>
      </c>
      <c r="X266" s="195">
        <v>253</v>
      </c>
      <c r="Y266" s="195">
        <v>105</v>
      </c>
      <c r="Z266" s="195">
        <v>15</v>
      </c>
      <c r="AA266" s="195">
        <v>1</v>
      </c>
      <c r="AB266" s="195">
        <v>6692</v>
      </c>
      <c r="AC266" s="195">
        <v>42</v>
      </c>
      <c r="AD266" s="195">
        <v>813</v>
      </c>
      <c r="AE266" s="195">
        <v>0.7736364140135984</v>
      </c>
      <c r="AF266" s="195">
        <v>5931617.377160923</v>
      </c>
      <c r="AG266" s="195">
        <v>6895924.232535395</v>
      </c>
      <c r="AH266" s="195">
        <v>1482073.2632742093</v>
      </c>
      <c r="AI266" s="195">
        <v>838399.2163823717</v>
      </c>
      <c r="AJ266" s="195">
        <v>335</v>
      </c>
      <c r="AK266" s="195">
        <v>2846</v>
      </c>
      <c r="AL266" s="195">
        <v>0.8865198797693662</v>
      </c>
      <c r="AM266" s="195">
        <v>42</v>
      </c>
      <c r="AN266" s="195">
        <v>0.006222222222222222</v>
      </c>
      <c r="AO266" s="195">
        <v>0.002253968253968254</v>
      </c>
      <c r="AP266" s="195">
        <v>0</v>
      </c>
      <c r="AQ266" s="195">
        <v>15</v>
      </c>
      <c r="AR266" s="195">
        <v>1</v>
      </c>
      <c r="AS266" s="195">
        <v>0</v>
      </c>
      <c r="AT266" s="195">
        <v>0</v>
      </c>
      <c r="AU266" s="195">
        <v>491.81</v>
      </c>
      <c r="AV266" s="195">
        <v>13.72481242756349</v>
      </c>
      <c r="AW266" s="195">
        <v>1.3191666702154494</v>
      </c>
      <c r="AX266" s="195">
        <v>183</v>
      </c>
      <c r="AY266" s="195">
        <v>2033</v>
      </c>
      <c r="AZ266" s="195">
        <v>0.09001475651746188</v>
      </c>
      <c r="BA266" s="195">
        <v>0.02499195631479341</v>
      </c>
      <c r="BB266" s="195">
        <v>0</v>
      </c>
      <c r="BC266" s="195">
        <v>1449</v>
      </c>
      <c r="BD266" s="195">
        <v>2447</v>
      </c>
      <c r="BE266" s="195">
        <v>0.5921536575398447</v>
      </c>
      <c r="BF266" s="195">
        <v>0.16121213949753865</v>
      </c>
      <c r="BG266" s="195">
        <v>0</v>
      </c>
      <c r="BH266" s="195">
        <v>1</v>
      </c>
      <c r="BI266" s="195">
        <v>0</v>
      </c>
      <c r="BJ266" s="195">
        <v>-1620</v>
      </c>
      <c r="BK266" s="195">
        <v>-27674.999999999996</v>
      </c>
      <c r="BL266" s="195">
        <v>-1890.0000000000002</v>
      </c>
      <c r="BM266" s="195">
        <v>-9652.5</v>
      </c>
      <c r="BN266" s="195">
        <v>-270</v>
      </c>
      <c r="BO266" s="195">
        <v>-10589</v>
      </c>
      <c r="BP266" s="195">
        <v>-97040.77010534974</v>
      </c>
      <c r="BQ266" s="195">
        <v>-576922.5</v>
      </c>
      <c r="BR266" s="195">
        <v>-6601.024326741695</v>
      </c>
      <c r="BS266" s="195">
        <v>489868</v>
      </c>
      <c r="BT266" s="195">
        <v>141649</v>
      </c>
      <c r="BU266" s="195">
        <v>325883.5747392184</v>
      </c>
      <c r="BV266" s="195">
        <v>7037.667965960214</v>
      </c>
      <c r="BW266" s="195">
        <v>-6387.871083132727</v>
      </c>
      <c r="BX266" s="195">
        <v>174419.49186866794</v>
      </c>
      <c r="BY266" s="195">
        <v>324994.10975018487</v>
      </c>
      <c r="BZ266" s="195">
        <v>462236.31468592345</v>
      </c>
      <c r="CA266" s="195">
        <v>100870.59627961506</v>
      </c>
      <c r="CB266" s="195">
        <v>607.5</v>
      </c>
      <c r="CC266" s="195">
        <v>25509.634904605024</v>
      </c>
      <c r="CD266" s="195">
        <v>2029902.994784301</v>
      </c>
      <c r="CE266" s="195">
        <v>1115707.2246789513</v>
      </c>
      <c r="CF266" s="195">
        <v>0</v>
      </c>
      <c r="CG266" s="229">
        <v>6953843.128132683</v>
      </c>
      <c r="CH266" s="195">
        <v>-1190942</v>
      </c>
      <c r="CI266" s="195">
        <v>-84279.67950000001</v>
      </c>
      <c r="CJ266" s="195">
        <v>18297603.230162606</v>
      </c>
      <c r="CL266" s="195">
        <v>6793</v>
      </c>
    </row>
    <row r="267" spans="1:90" ht="9.75">
      <c r="A267" s="195">
        <v>886</v>
      </c>
      <c r="B267" s="195" t="s">
        <v>334</v>
      </c>
      <c r="C267" s="195">
        <v>13312</v>
      </c>
      <c r="D267" s="195">
        <v>47127360.42</v>
      </c>
      <c r="E267" s="195">
        <v>13263370.678936252</v>
      </c>
      <c r="F267" s="195">
        <v>1966729.3206755593</v>
      </c>
      <c r="G267" s="195">
        <v>62357460.41961181</v>
      </c>
      <c r="H267" s="195">
        <v>3540.31</v>
      </c>
      <c r="I267" s="195">
        <v>47128606.72</v>
      </c>
      <c r="J267" s="195">
        <v>15228853.699611813</v>
      </c>
      <c r="K267" s="195">
        <v>197311.59181326162</v>
      </c>
      <c r="L267" s="195">
        <v>2257370.6487107957</v>
      </c>
      <c r="M267" s="195">
        <v>0</v>
      </c>
      <c r="N267" s="195">
        <v>17683535.94013587</v>
      </c>
      <c r="O267" s="195">
        <v>4796421.243953165</v>
      </c>
      <c r="P267" s="195">
        <v>22479957.184089035</v>
      </c>
      <c r="Q267" s="195">
        <v>889</v>
      </c>
      <c r="R267" s="195">
        <v>177</v>
      </c>
      <c r="S267" s="195">
        <v>959</v>
      </c>
      <c r="T267" s="195">
        <v>512</v>
      </c>
      <c r="U267" s="195">
        <v>460</v>
      </c>
      <c r="V267" s="195">
        <v>7087</v>
      </c>
      <c r="W267" s="195">
        <v>1837</v>
      </c>
      <c r="X267" s="195">
        <v>1059</v>
      </c>
      <c r="Y267" s="195">
        <v>332</v>
      </c>
      <c r="Z267" s="195">
        <v>38</v>
      </c>
      <c r="AA267" s="195">
        <v>1</v>
      </c>
      <c r="AB267" s="195">
        <v>13076</v>
      </c>
      <c r="AC267" s="195">
        <v>197</v>
      </c>
      <c r="AD267" s="195">
        <v>3228</v>
      </c>
      <c r="AE267" s="195">
        <v>0.8771586400411122</v>
      </c>
      <c r="AF267" s="195">
        <v>13263370.678936252</v>
      </c>
      <c r="AG267" s="195">
        <v>43291667.27193548</v>
      </c>
      <c r="AH267" s="195">
        <v>8581752.8867559</v>
      </c>
      <c r="AI267" s="195">
        <v>4816335.923898731</v>
      </c>
      <c r="AJ267" s="195">
        <v>868</v>
      </c>
      <c r="AK267" s="195">
        <v>6226</v>
      </c>
      <c r="AL267" s="195">
        <v>1.0499997034826984</v>
      </c>
      <c r="AM267" s="195">
        <v>197</v>
      </c>
      <c r="AN267" s="195">
        <v>0.014798677884615384</v>
      </c>
      <c r="AO267" s="195">
        <v>0.010830423916361416</v>
      </c>
      <c r="AP267" s="195">
        <v>0</v>
      </c>
      <c r="AQ267" s="195">
        <v>38</v>
      </c>
      <c r="AR267" s="195">
        <v>1</v>
      </c>
      <c r="AS267" s="195">
        <v>0</v>
      </c>
      <c r="AT267" s="195">
        <v>0</v>
      </c>
      <c r="AU267" s="195">
        <v>400.65</v>
      </c>
      <c r="AV267" s="195">
        <v>33.226007737426684</v>
      </c>
      <c r="AW267" s="195">
        <v>0.5449139497131408</v>
      </c>
      <c r="AX267" s="195">
        <v>409</v>
      </c>
      <c r="AY267" s="195">
        <v>4118</v>
      </c>
      <c r="AZ267" s="195">
        <v>0.0993200582807188</v>
      </c>
      <c r="BA267" s="195">
        <v>0.03429725807805033</v>
      </c>
      <c r="BB267" s="195">
        <v>0</v>
      </c>
      <c r="BC267" s="195">
        <v>3596</v>
      </c>
      <c r="BD267" s="195">
        <v>5401</v>
      </c>
      <c r="BE267" s="195">
        <v>0.6658026291427513</v>
      </c>
      <c r="BF267" s="195">
        <v>0.23486111110044527</v>
      </c>
      <c r="BG267" s="195">
        <v>0</v>
      </c>
      <c r="BH267" s="195">
        <v>1</v>
      </c>
      <c r="BI267" s="195">
        <v>0</v>
      </c>
      <c r="BJ267" s="195">
        <v>-3194.88</v>
      </c>
      <c r="BK267" s="195">
        <v>-54579.2</v>
      </c>
      <c r="BL267" s="195">
        <v>-3727.3600000000006</v>
      </c>
      <c r="BM267" s="195">
        <v>-19036.16</v>
      </c>
      <c r="BN267" s="195">
        <v>-532.48</v>
      </c>
      <c r="BO267" s="195">
        <v>74126</v>
      </c>
      <c r="BP267" s="195">
        <v>-470197.54587128223</v>
      </c>
      <c r="BQ267" s="195">
        <v>-1137776.64</v>
      </c>
      <c r="BR267" s="195">
        <v>-4173.156892091036</v>
      </c>
      <c r="BS267" s="195">
        <v>922593</v>
      </c>
      <c r="BT267" s="195">
        <v>300996</v>
      </c>
      <c r="BU267" s="195">
        <v>649118.2912190023</v>
      </c>
      <c r="BV267" s="195">
        <v>22538.759750654543</v>
      </c>
      <c r="BW267" s="195">
        <v>21797.099511807362</v>
      </c>
      <c r="BX267" s="195">
        <v>348972.57152508094</v>
      </c>
      <c r="BY267" s="195">
        <v>597647.8459807622</v>
      </c>
      <c r="BZ267" s="195">
        <v>1026851.5923281434</v>
      </c>
      <c r="CA267" s="195">
        <v>317859.5163646889</v>
      </c>
      <c r="CB267" s="195">
        <v>1198.08</v>
      </c>
      <c r="CC267" s="195">
        <v>58794.594794029035</v>
      </c>
      <c r="CD267" s="195">
        <v>4339118.914582077</v>
      </c>
      <c r="CE267" s="195">
        <v>2257370.6487107957</v>
      </c>
      <c r="CF267" s="195">
        <v>0</v>
      </c>
      <c r="CG267" s="229">
        <v>4796421.243953165</v>
      </c>
      <c r="CH267" s="195">
        <v>-571892</v>
      </c>
      <c r="CI267" s="195">
        <v>-17217.041410000063</v>
      </c>
      <c r="CJ267" s="195">
        <v>21908065.184089035</v>
      </c>
      <c r="CL267" s="195">
        <v>13352</v>
      </c>
    </row>
    <row r="268" spans="1:90" ht="9.75">
      <c r="A268" s="195">
        <v>887</v>
      </c>
      <c r="B268" s="195" t="s">
        <v>335</v>
      </c>
      <c r="C268" s="195">
        <v>4858</v>
      </c>
      <c r="D268" s="195">
        <v>17613724.520000003</v>
      </c>
      <c r="E268" s="195">
        <v>6449140.87811268</v>
      </c>
      <c r="F268" s="195">
        <v>1223168.1177229718</v>
      </c>
      <c r="G268" s="195">
        <v>25286033.515835658</v>
      </c>
      <c r="H268" s="195">
        <v>3540.31</v>
      </c>
      <c r="I268" s="195">
        <v>17198825.98</v>
      </c>
      <c r="J268" s="195">
        <v>8087207.535835657</v>
      </c>
      <c r="K268" s="195">
        <v>125039.67577935134</v>
      </c>
      <c r="L268" s="195">
        <v>1456214.2483297111</v>
      </c>
      <c r="M268" s="195">
        <v>0</v>
      </c>
      <c r="N268" s="195">
        <v>9668461.45994472</v>
      </c>
      <c r="O268" s="195">
        <v>4079868.4448981816</v>
      </c>
      <c r="P268" s="195">
        <v>13748329.904842902</v>
      </c>
      <c r="Q268" s="195">
        <v>220</v>
      </c>
      <c r="R268" s="195">
        <v>50</v>
      </c>
      <c r="S268" s="195">
        <v>292</v>
      </c>
      <c r="T268" s="195">
        <v>125</v>
      </c>
      <c r="U268" s="195">
        <v>158</v>
      </c>
      <c r="V268" s="195">
        <v>2518</v>
      </c>
      <c r="W268" s="195">
        <v>804</v>
      </c>
      <c r="X268" s="195">
        <v>464</v>
      </c>
      <c r="Y268" s="195">
        <v>227</v>
      </c>
      <c r="Z268" s="195">
        <v>11</v>
      </c>
      <c r="AA268" s="195">
        <v>0</v>
      </c>
      <c r="AB268" s="195">
        <v>4735</v>
      </c>
      <c r="AC268" s="195">
        <v>112</v>
      </c>
      <c r="AD268" s="195">
        <v>1495</v>
      </c>
      <c r="AE268" s="195">
        <v>1.168723833882053</v>
      </c>
      <c r="AF268" s="195">
        <v>6449140.87811268</v>
      </c>
      <c r="AG268" s="195">
        <v>7906468.309118764</v>
      </c>
      <c r="AH268" s="195">
        <v>1437506.1572008063</v>
      </c>
      <c r="AI268" s="195">
        <v>775965.2321836845</v>
      </c>
      <c r="AJ268" s="195">
        <v>314</v>
      </c>
      <c r="AK268" s="195">
        <v>2131</v>
      </c>
      <c r="AL268" s="195">
        <v>1.1097490092054259</v>
      </c>
      <c r="AM268" s="195">
        <v>112</v>
      </c>
      <c r="AN268" s="195">
        <v>0.023054755043227664</v>
      </c>
      <c r="AO268" s="195">
        <v>0.019086501074973696</v>
      </c>
      <c r="AP268" s="195">
        <v>0</v>
      </c>
      <c r="AQ268" s="195">
        <v>11</v>
      </c>
      <c r="AR268" s="195">
        <v>0</v>
      </c>
      <c r="AS268" s="195">
        <v>0</v>
      </c>
      <c r="AT268" s="195">
        <v>0</v>
      </c>
      <c r="AU268" s="195">
        <v>475.18</v>
      </c>
      <c r="AV268" s="195">
        <v>10.223494254808704</v>
      </c>
      <c r="AW268" s="195">
        <v>1.7709517566251447</v>
      </c>
      <c r="AX268" s="195">
        <v>269</v>
      </c>
      <c r="AY268" s="195">
        <v>1408</v>
      </c>
      <c r="AZ268" s="195">
        <v>0.19105113636363635</v>
      </c>
      <c r="BA268" s="195">
        <v>0.12602833616096787</v>
      </c>
      <c r="BB268" s="195">
        <v>0</v>
      </c>
      <c r="BC268" s="195">
        <v>1462</v>
      </c>
      <c r="BD268" s="195">
        <v>1743</v>
      </c>
      <c r="BE268" s="195">
        <v>0.8387837062535858</v>
      </c>
      <c r="BF268" s="195">
        <v>0.4078421882112797</v>
      </c>
      <c r="BG268" s="195">
        <v>0</v>
      </c>
      <c r="BH268" s="195">
        <v>0</v>
      </c>
      <c r="BI268" s="195">
        <v>0</v>
      </c>
      <c r="BJ268" s="195">
        <v>-1165.9199999999998</v>
      </c>
      <c r="BK268" s="195">
        <v>-19917.8</v>
      </c>
      <c r="BL268" s="195">
        <v>-1360.2400000000002</v>
      </c>
      <c r="BM268" s="195">
        <v>-6946.94</v>
      </c>
      <c r="BN268" s="195">
        <v>-194.32</v>
      </c>
      <c r="BO268" s="195">
        <v>52063</v>
      </c>
      <c r="BP268" s="195">
        <v>-328638.07195471536</v>
      </c>
      <c r="BQ268" s="195">
        <v>-415213.26</v>
      </c>
      <c r="BR268" s="195">
        <v>15813.88045085594</v>
      </c>
      <c r="BS268" s="195">
        <v>549175</v>
      </c>
      <c r="BT268" s="195">
        <v>163385</v>
      </c>
      <c r="BU268" s="195">
        <v>401924.0422769373</v>
      </c>
      <c r="BV268" s="195">
        <v>19645.457703307464</v>
      </c>
      <c r="BW268" s="195">
        <v>75344.32793068762</v>
      </c>
      <c r="BX268" s="195">
        <v>180286.47575446786</v>
      </c>
      <c r="BY268" s="195">
        <v>280776.1027136017</v>
      </c>
      <c r="BZ268" s="195">
        <v>474953.86153675884</v>
      </c>
      <c r="CA268" s="195">
        <v>134403.9201835163</v>
      </c>
      <c r="CB268" s="195">
        <v>437.21999999999997</v>
      </c>
      <c r="CC268" s="195">
        <v>24462.031734294018</v>
      </c>
      <c r="CD268" s="195">
        <v>2372961.8002844267</v>
      </c>
      <c r="CE268" s="195">
        <v>1456214.2483297111</v>
      </c>
      <c r="CF268" s="195">
        <v>0</v>
      </c>
      <c r="CG268" s="229">
        <v>4079868.4448981816</v>
      </c>
      <c r="CH268" s="195">
        <v>-458157</v>
      </c>
      <c r="CI268" s="195">
        <v>24560.389200000034</v>
      </c>
      <c r="CJ268" s="195">
        <v>13290172.904842902</v>
      </c>
      <c r="CL268" s="195">
        <v>4928</v>
      </c>
    </row>
    <row r="269" spans="1:90" ht="9.75">
      <c r="A269" s="195">
        <v>889</v>
      </c>
      <c r="B269" s="195" t="s">
        <v>336</v>
      </c>
      <c r="C269" s="195">
        <v>2824</v>
      </c>
      <c r="D269" s="195">
        <v>10600599.39</v>
      </c>
      <c r="E269" s="195">
        <v>5137887.185650331</v>
      </c>
      <c r="F269" s="195">
        <v>1646265.5816407748</v>
      </c>
      <c r="G269" s="195">
        <v>17384752.157291107</v>
      </c>
      <c r="H269" s="195">
        <v>3540.31</v>
      </c>
      <c r="I269" s="195">
        <v>9997835.44</v>
      </c>
      <c r="J269" s="195">
        <v>7386916.717291107</v>
      </c>
      <c r="K269" s="195">
        <v>399419.9095594368</v>
      </c>
      <c r="L269" s="195">
        <v>753504.387101785</v>
      </c>
      <c r="M269" s="195">
        <v>88428.132151492</v>
      </c>
      <c r="N269" s="195">
        <v>8628269.146103822</v>
      </c>
      <c r="O269" s="195">
        <v>2495474.0567609756</v>
      </c>
      <c r="P269" s="195">
        <v>11123743.202864798</v>
      </c>
      <c r="Q269" s="195">
        <v>160</v>
      </c>
      <c r="R269" s="195">
        <v>31</v>
      </c>
      <c r="S269" s="195">
        <v>197</v>
      </c>
      <c r="T269" s="195">
        <v>116</v>
      </c>
      <c r="U269" s="195">
        <v>97</v>
      </c>
      <c r="V269" s="195">
        <v>1445</v>
      </c>
      <c r="W269" s="195">
        <v>417</v>
      </c>
      <c r="X269" s="195">
        <v>254</v>
      </c>
      <c r="Y269" s="195">
        <v>107</v>
      </c>
      <c r="Z269" s="195">
        <v>0</v>
      </c>
      <c r="AA269" s="195">
        <v>0</v>
      </c>
      <c r="AB269" s="195">
        <v>2759</v>
      </c>
      <c r="AC269" s="195">
        <v>65</v>
      </c>
      <c r="AD269" s="195">
        <v>778</v>
      </c>
      <c r="AE269" s="195">
        <v>1.6017230259587614</v>
      </c>
      <c r="AF269" s="195">
        <v>5137887.185650331</v>
      </c>
      <c r="AG269" s="195">
        <v>17305658.169929042</v>
      </c>
      <c r="AH269" s="195">
        <v>3266153.766095791</v>
      </c>
      <c r="AI269" s="195">
        <v>1899776.9477600548</v>
      </c>
      <c r="AJ269" s="195">
        <v>179</v>
      </c>
      <c r="AK269" s="195">
        <v>1168</v>
      </c>
      <c r="AL269" s="195">
        <v>1.154220426370955</v>
      </c>
      <c r="AM269" s="195">
        <v>65</v>
      </c>
      <c r="AN269" s="195">
        <v>0.02301699716713881</v>
      </c>
      <c r="AO269" s="195">
        <v>0.019048743198884843</v>
      </c>
      <c r="AP269" s="195">
        <v>0</v>
      </c>
      <c r="AQ269" s="195">
        <v>0</v>
      </c>
      <c r="AR269" s="195">
        <v>0</v>
      </c>
      <c r="AS269" s="195">
        <v>0</v>
      </c>
      <c r="AT269" s="195">
        <v>0</v>
      </c>
      <c r="AU269" s="195">
        <v>1671.01</v>
      </c>
      <c r="AV269" s="195">
        <v>1.6899958707607974</v>
      </c>
      <c r="AW269" s="195">
        <v>10.713230382775995</v>
      </c>
      <c r="AX269" s="195">
        <v>111</v>
      </c>
      <c r="AY269" s="195">
        <v>746</v>
      </c>
      <c r="AZ269" s="195">
        <v>0.1487935656836461</v>
      </c>
      <c r="BA269" s="195">
        <v>0.08377076548097763</v>
      </c>
      <c r="BB269" s="195">
        <v>0.511199</v>
      </c>
      <c r="BC269" s="195">
        <v>966</v>
      </c>
      <c r="BD269" s="195">
        <v>978</v>
      </c>
      <c r="BE269" s="195">
        <v>0.9877300613496932</v>
      </c>
      <c r="BF269" s="195">
        <v>0.5567885433073871</v>
      </c>
      <c r="BG269" s="195">
        <v>0</v>
      </c>
      <c r="BH269" s="195">
        <v>0</v>
      </c>
      <c r="BI269" s="195">
        <v>0</v>
      </c>
      <c r="BJ269" s="195">
        <v>-677.76</v>
      </c>
      <c r="BK269" s="195">
        <v>-11578.4</v>
      </c>
      <c r="BL269" s="195">
        <v>-790.72</v>
      </c>
      <c r="BM269" s="195">
        <v>-4038.3199999999997</v>
      </c>
      <c r="BN269" s="195">
        <v>-112.96000000000001</v>
      </c>
      <c r="BO269" s="195">
        <v>-7310</v>
      </c>
      <c r="BP269" s="195">
        <v>-78032.78420842557</v>
      </c>
      <c r="BQ269" s="195">
        <v>-241367.28</v>
      </c>
      <c r="BR269" s="195">
        <v>-2570.9969102814794</v>
      </c>
      <c r="BS269" s="195">
        <v>304094</v>
      </c>
      <c r="BT269" s="195">
        <v>86201</v>
      </c>
      <c r="BU269" s="195">
        <v>209049.50168991182</v>
      </c>
      <c r="BV269" s="195">
        <v>11733.723567627167</v>
      </c>
      <c r="BW269" s="195">
        <v>30010.95659348567</v>
      </c>
      <c r="BX269" s="195">
        <v>107001.43628257842</v>
      </c>
      <c r="BY269" s="195">
        <v>164155.83698869185</v>
      </c>
      <c r="BZ269" s="195">
        <v>240348.33304669717</v>
      </c>
      <c r="CA269" s="195">
        <v>63713.72508853199</v>
      </c>
      <c r="CB269" s="195">
        <v>254.16</v>
      </c>
      <c r="CC269" s="195">
        <v>-33440.505037031864</v>
      </c>
      <c r="CD269" s="195">
        <v>1173410.6113102105</v>
      </c>
      <c r="CE269" s="195">
        <v>753504.387101785</v>
      </c>
      <c r="CF269" s="195">
        <v>88428.132151492</v>
      </c>
      <c r="CG269" s="229">
        <v>2495474.0567609756</v>
      </c>
      <c r="CH269" s="195">
        <v>193004</v>
      </c>
      <c r="CI269" s="195">
        <v>138940.8854</v>
      </c>
      <c r="CJ269" s="195">
        <v>11316747.202864798</v>
      </c>
      <c r="CL269" s="195">
        <v>2861</v>
      </c>
    </row>
    <row r="270" spans="1:90" ht="9.75">
      <c r="A270" s="195">
        <v>890</v>
      </c>
      <c r="B270" s="195" t="s">
        <v>337</v>
      </c>
      <c r="C270" s="195">
        <v>1241</v>
      </c>
      <c r="D270" s="195">
        <v>4184419.71</v>
      </c>
      <c r="E270" s="195">
        <v>1419285.035159035</v>
      </c>
      <c r="F270" s="195">
        <v>1210256.7743881063</v>
      </c>
      <c r="G270" s="195">
        <v>6813961.519547141</v>
      </c>
      <c r="H270" s="195">
        <v>3540.31</v>
      </c>
      <c r="I270" s="195">
        <v>4393524.71</v>
      </c>
      <c r="J270" s="195">
        <v>2420436.809547141</v>
      </c>
      <c r="K270" s="195">
        <v>3020166.9077866036</v>
      </c>
      <c r="L270" s="195">
        <v>668893.2706568483</v>
      </c>
      <c r="M270" s="195">
        <v>-65874.3964676168</v>
      </c>
      <c r="N270" s="195">
        <v>6043622.591522977</v>
      </c>
      <c r="O270" s="195">
        <v>832480.2630592772</v>
      </c>
      <c r="P270" s="195">
        <v>6876102.854582254</v>
      </c>
      <c r="Q270" s="195">
        <v>59</v>
      </c>
      <c r="R270" s="195">
        <v>15</v>
      </c>
      <c r="S270" s="195">
        <v>85</v>
      </c>
      <c r="T270" s="195">
        <v>35</v>
      </c>
      <c r="U270" s="195">
        <v>26</v>
      </c>
      <c r="V270" s="195">
        <v>686</v>
      </c>
      <c r="W270" s="195">
        <v>193</v>
      </c>
      <c r="X270" s="195">
        <v>102</v>
      </c>
      <c r="Y270" s="195">
        <v>40</v>
      </c>
      <c r="Z270" s="195">
        <v>2</v>
      </c>
      <c r="AA270" s="195">
        <v>558</v>
      </c>
      <c r="AB270" s="195">
        <v>637</v>
      </c>
      <c r="AC270" s="195">
        <v>44</v>
      </c>
      <c r="AD270" s="195">
        <v>335</v>
      </c>
      <c r="AE270" s="195">
        <v>1.006851425668578</v>
      </c>
      <c r="AF270" s="195">
        <v>1419285.035159035</v>
      </c>
      <c r="AG270" s="195">
        <v>7946644.258805724</v>
      </c>
      <c r="AH270" s="195">
        <v>2074842.1897780355</v>
      </c>
      <c r="AI270" s="195">
        <v>660016.4043861224</v>
      </c>
      <c r="AJ270" s="195">
        <v>65</v>
      </c>
      <c r="AK270" s="195">
        <v>588</v>
      </c>
      <c r="AL270" s="195">
        <v>0.8325581914840849</v>
      </c>
      <c r="AM270" s="195">
        <v>44</v>
      </c>
      <c r="AN270" s="195">
        <v>0.035455278001611606</v>
      </c>
      <c r="AO270" s="195">
        <v>0.03148702403335764</v>
      </c>
      <c r="AP270" s="195">
        <v>0</v>
      </c>
      <c r="AQ270" s="195">
        <v>2</v>
      </c>
      <c r="AR270" s="195">
        <v>558</v>
      </c>
      <c r="AS270" s="195">
        <v>0</v>
      </c>
      <c r="AT270" s="195">
        <v>0</v>
      </c>
      <c r="AU270" s="195">
        <v>5144.52</v>
      </c>
      <c r="AV270" s="195">
        <v>0.241227558644927</v>
      </c>
      <c r="AW270" s="195">
        <v>75.05491997309696</v>
      </c>
      <c r="AX270" s="195">
        <v>93</v>
      </c>
      <c r="AY270" s="195">
        <v>371</v>
      </c>
      <c r="AZ270" s="195">
        <v>0.25067385444743934</v>
      </c>
      <c r="BA270" s="195">
        <v>0.18565105424477085</v>
      </c>
      <c r="BB270" s="195">
        <v>1.94675</v>
      </c>
      <c r="BC270" s="195">
        <v>476</v>
      </c>
      <c r="BD270" s="195">
        <v>510</v>
      </c>
      <c r="BE270" s="195">
        <v>0.9333333333333333</v>
      </c>
      <c r="BF270" s="195">
        <v>0.5023918152910273</v>
      </c>
      <c r="BG270" s="195">
        <v>1</v>
      </c>
      <c r="BH270" s="195">
        <v>558</v>
      </c>
      <c r="BI270" s="195">
        <v>0</v>
      </c>
      <c r="BJ270" s="195">
        <v>-297.84</v>
      </c>
      <c r="BK270" s="195">
        <v>-5088.099999999999</v>
      </c>
      <c r="BL270" s="195">
        <v>-347.48</v>
      </c>
      <c r="BM270" s="195">
        <v>-1774.6299999999999</v>
      </c>
      <c r="BN270" s="195">
        <v>-49.64</v>
      </c>
      <c r="BO270" s="195">
        <v>32233</v>
      </c>
      <c r="BP270" s="195">
        <v>-39016.392104212784</v>
      </c>
      <c r="BQ270" s="195">
        <v>-106068.27</v>
      </c>
      <c r="BR270" s="195">
        <v>295977.30180672323</v>
      </c>
      <c r="BS270" s="195">
        <v>114134</v>
      </c>
      <c r="BT270" s="195">
        <v>37115</v>
      </c>
      <c r="BU270" s="195">
        <v>107131.66346656052</v>
      </c>
      <c r="BV270" s="195">
        <v>5615.056836758378</v>
      </c>
      <c r="BW270" s="195">
        <v>13408.48778940565</v>
      </c>
      <c r="BX270" s="195">
        <v>38983.78110031201</v>
      </c>
      <c r="BY270" s="195">
        <v>70506.5568337633</v>
      </c>
      <c r="BZ270" s="195">
        <v>98486.0367708824</v>
      </c>
      <c r="CA270" s="195">
        <v>33433.07995016913</v>
      </c>
      <c r="CB270" s="195">
        <v>111.69</v>
      </c>
      <c r="CC270" s="195">
        <v>10935.00820648672</v>
      </c>
      <c r="CD270" s="195">
        <v>858145.1227610612</v>
      </c>
      <c r="CE270" s="195">
        <v>668893.2706568483</v>
      </c>
      <c r="CF270" s="195">
        <v>-65874.3964676168</v>
      </c>
      <c r="CG270" s="229">
        <v>832480.2630592772</v>
      </c>
      <c r="CH270" s="195">
        <v>-11604</v>
      </c>
      <c r="CI270" s="195">
        <v>6518.15</v>
      </c>
      <c r="CJ270" s="195">
        <v>6864498.854582254</v>
      </c>
      <c r="CL270" s="195">
        <v>1250</v>
      </c>
    </row>
    <row r="271" spans="1:90" ht="9.75">
      <c r="A271" s="195">
        <v>892</v>
      </c>
      <c r="B271" s="195" t="s">
        <v>338</v>
      </c>
      <c r="C271" s="195">
        <v>3717</v>
      </c>
      <c r="D271" s="195">
        <v>14303929.08</v>
      </c>
      <c r="E271" s="195">
        <v>3632100.7814810425</v>
      </c>
      <c r="F271" s="195">
        <v>699037.7011080843</v>
      </c>
      <c r="G271" s="195">
        <v>18635067.562589124</v>
      </c>
      <c r="H271" s="195">
        <v>3540.31</v>
      </c>
      <c r="I271" s="195">
        <v>13159332.27</v>
      </c>
      <c r="J271" s="195">
        <v>5475735.292589124</v>
      </c>
      <c r="K271" s="195">
        <v>43766.37611973378</v>
      </c>
      <c r="L271" s="195">
        <v>862497.2705195475</v>
      </c>
      <c r="M271" s="195">
        <v>0</v>
      </c>
      <c r="N271" s="195">
        <v>6381998.939228405</v>
      </c>
      <c r="O271" s="195">
        <v>3209091.2221892676</v>
      </c>
      <c r="P271" s="195">
        <v>9591090.161417672</v>
      </c>
      <c r="Q271" s="195">
        <v>382</v>
      </c>
      <c r="R271" s="195">
        <v>72</v>
      </c>
      <c r="S271" s="195">
        <v>390</v>
      </c>
      <c r="T271" s="195">
        <v>159</v>
      </c>
      <c r="U271" s="195">
        <v>122</v>
      </c>
      <c r="V271" s="195">
        <v>1928</v>
      </c>
      <c r="W271" s="195">
        <v>394</v>
      </c>
      <c r="X271" s="195">
        <v>197</v>
      </c>
      <c r="Y271" s="195">
        <v>73</v>
      </c>
      <c r="Z271" s="195">
        <v>5</v>
      </c>
      <c r="AA271" s="195">
        <v>0</v>
      </c>
      <c r="AB271" s="195">
        <v>3668</v>
      </c>
      <c r="AC271" s="195">
        <v>44</v>
      </c>
      <c r="AD271" s="195">
        <v>664</v>
      </c>
      <c r="AE271" s="195">
        <v>0.8602662336144655</v>
      </c>
      <c r="AF271" s="195">
        <v>3632100.7814810425</v>
      </c>
      <c r="AG271" s="195">
        <v>6455838.994188096</v>
      </c>
      <c r="AH271" s="195">
        <v>1581547.345924075</v>
      </c>
      <c r="AI271" s="195">
        <v>749207.8103842471</v>
      </c>
      <c r="AJ271" s="195">
        <v>220</v>
      </c>
      <c r="AK271" s="195">
        <v>1628</v>
      </c>
      <c r="AL271" s="195">
        <v>1.0177634440595467</v>
      </c>
      <c r="AM271" s="195">
        <v>44</v>
      </c>
      <c r="AN271" s="195">
        <v>0.011837503362927092</v>
      </c>
      <c r="AO271" s="195">
        <v>0.007869249394673124</v>
      </c>
      <c r="AP271" s="195">
        <v>0</v>
      </c>
      <c r="AQ271" s="195">
        <v>5</v>
      </c>
      <c r="AR271" s="195">
        <v>0</v>
      </c>
      <c r="AS271" s="195">
        <v>0</v>
      </c>
      <c r="AT271" s="195">
        <v>0</v>
      </c>
      <c r="AU271" s="195">
        <v>347.99</v>
      </c>
      <c r="AV271" s="195">
        <v>10.681341417856835</v>
      </c>
      <c r="AW271" s="195">
        <v>1.6950413249718315</v>
      </c>
      <c r="AX271" s="195">
        <v>130</v>
      </c>
      <c r="AY271" s="195">
        <v>1170</v>
      </c>
      <c r="AZ271" s="195">
        <v>0.1111111111111111</v>
      </c>
      <c r="BA271" s="195">
        <v>0.046088310908442634</v>
      </c>
      <c r="BB271" s="195">
        <v>0</v>
      </c>
      <c r="BC271" s="195">
        <v>825</v>
      </c>
      <c r="BD271" s="195">
        <v>1336</v>
      </c>
      <c r="BE271" s="195">
        <v>0.6175149700598802</v>
      </c>
      <c r="BF271" s="195">
        <v>0.18657345201757414</v>
      </c>
      <c r="BG271" s="195">
        <v>0</v>
      </c>
      <c r="BH271" s="195">
        <v>0</v>
      </c>
      <c r="BI271" s="195">
        <v>0</v>
      </c>
      <c r="BJ271" s="195">
        <v>-892.0799999999999</v>
      </c>
      <c r="BK271" s="195">
        <v>-15239.699999999999</v>
      </c>
      <c r="BL271" s="195">
        <v>-1040.76</v>
      </c>
      <c r="BM271" s="195">
        <v>-5315.3099999999995</v>
      </c>
      <c r="BN271" s="195">
        <v>-148.68</v>
      </c>
      <c r="BO271" s="195">
        <v>67444</v>
      </c>
      <c r="BP271" s="195">
        <v>-103543.50212271852</v>
      </c>
      <c r="BQ271" s="195">
        <v>-317691.99</v>
      </c>
      <c r="BR271" s="195">
        <v>63468.46938453615</v>
      </c>
      <c r="BS271" s="195">
        <v>285316</v>
      </c>
      <c r="BT271" s="195">
        <v>92849</v>
      </c>
      <c r="BU271" s="195">
        <v>221767.09672598483</v>
      </c>
      <c r="BV271" s="195">
        <v>8071.591759540226</v>
      </c>
      <c r="BW271" s="195">
        <v>27328.93024877923</v>
      </c>
      <c r="BX271" s="195">
        <v>100574.92665356949</v>
      </c>
      <c r="BY271" s="195">
        <v>184187.12894500932</v>
      </c>
      <c r="BZ271" s="195">
        <v>273073.42582165677</v>
      </c>
      <c r="CA271" s="195">
        <v>78807.92849033931</v>
      </c>
      <c r="CB271" s="195">
        <v>334.53</v>
      </c>
      <c r="CC271" s="195">
        <v>12574.74461285055</v>
      </c>
      <c r="CD271" s="195">
        <v>1416020.792642266</v>
      </c>
      <c r="CE271" s="195">
        <v>862497.2705195475</v>
      </c>
      <c r="CF271" s="195">
        <v>0</v>
      </c>
      <c r="CG271" s="229">
        <v>3209091.2221892676</v>
      </c>
      <c r="CH271" s="195">
        <v>-649987</v>
      </c>
      <c r="CI271" s="195">
        <v>90224.23230000002</v>
      </c>
      <c r="CJ271" s="195">
        <v>8941103.161417672</v>
      </c>
      <c r="CL271" s="195">
        <v>3666</v>
      </c>
    </row>
    <row r="272" spans="1:90" ht="9.75">
      <c r="A272" s="195">
        <v>893</v>
      </c>
      <c r="B272" s="195" t="s">
        <v>339</v>
      </c>
      <c r="C272" s="195">
        <v>7516</v>
      </c>
      <c r="D272" s="195">
        <v>27796369.65</v>
      </c>
      <c r="E272" s="195">
        <v>7336614.570574809</v>
      </c>
      <c r="F272" s="195">
        <v>3717331.393169731</v>
      </c>
      <c r="G272" s="195">
        <v>38850315.61374454</v>
      </c>
      <c r="H272" s="195">
        <v>3540.31</v>
      </c>
      <c r="I272" s="195">
        <v>26608969.96</v>
      </c>
      <c r="J272" s="195">
        <v>12241345.653744541</v>
      </c>
      <c r="K272" s="195">
        <v>253969.70036065814</v>
      </c>
      <c r="L272" s="195">
        <v>2119597.6802016264</v>
      </c>
      <c r="M272" s="195">
        <v>0</v>
      </c>
      <c r="N272" s="195">
        <v>14614913.034306824</v>
      </c>
      <c r="O272" s="195">
        <v>2709440.9694209527</v>
      </c>
      <c r="P272" s="195">
        <v>17324354.00372778</v>
      </c>
      <c r="Q272" s="195">
        <v>558</v>
      </c>
      <c r="R272" s="195">
        <v>89</v>
      </c>
      <c r="S272" s="195">
        <v>561</v>
      </c>
      <c r="T272" s="195">
        <v>240</v>
      </c>
      <c r="U272" s="195">
        <v>245</v>
      </c>
      <c r="V272" s="195">
        <v>4008</v>
      </c>
      <c r="W272" s="195">
        <v>967</v>
      </c>
      <c r="X272" s="195">
        <v>575</v>
      </c>
      <c r="Y272" s="195">
        <v>273</v>
      </c>
      <c r="Z272" s="195">
        <v>6529</v>
      </c>
      <c r="AA272" s="195">
        <v>0</v>
      </c>
      <c r="AB272" s="195">
        <v>533</v>
      </c>
      <c r="AC272" s="195">
        <v>454</v>
      </c>
      <c r="AD272" s="195">
        <v>1815</v>
      </c>
      <c r="AE272" s="195">
        <v>0.859362660941396</v>
      </c>
      <c r="AF272" s="195">
        <v>7336614.570574809</v>
      </c>
      <c r="AG272" s="195">
        <v>1816375.8305841652</v>
      </c>
      <c r="AH272" s="195">
        <v>418576.07160557946</v>
      </c>
      <c r="AI272" s="195">
        <v>178382.8119962493</v>
      </c>
      <c r="AJ272" s="195">
        <v>200</v>
      </c>
      <c r="AK272" s="195">
        <v>3584</v>
      </c>
      <c r="AL272" s="195">
        <v>0.4202817793549467</v>
      </c>
      <c r="AM272" s="195">
        <v>454</v>
      </c>
      <c r="AN272" s="195">
        <v>0.06040447046301224</v>
      </c>
      <c r="AO272" s="195">
        <v>0.05643621649475827</v>
      </c>
      <c r="AP272" s="195">
        <v>3</v>
      </c>
      <c r="AQ272" s="195">
        <v>6529</v>
      </c>
      <c r="AR272" s="195">
        <v>0</v>
      </c>
      <c r="AS272" s="195">
        <v>0</v>
      </c>
      <c r="AT272" s="195">
        <v>0</v>
      </c>
      <c r="AU272" s="195">
        <v>732.65</v>
      </c>
      <c r="AV272" s="195">
        <v>10.258650105780386</v>
      </c>
      <c r="AW272" s="195">
        <v>1.7648827986831177</v>
      </c>
      <c r="AX272" s="195">
        <v>376</v>
      </c>
      <c r="AY272" s="195">
        <v>2153</v>
      </c>
      <c r="AZ272" s="195">
        <v>0.17464003715745471</v>
      </c>
      <c r="BA272" s="195">
        <v>0.10961723695478624</v>
      </c>
      <c r="BB272" s="195">
        <v>0</v>
      </c>
      <c r="BC272" s="195">
        <v>3304</v>
      </c>
      <c r="BD272" s="195">
        <v>3419</v>
      </c>
      <c r="BE272" s="195">
        <v>0.9663644340450425</v>
      </c>
      <c r="BF272" s="195">
        <v>0.5354229160027364</v>
      </c>
      <c r="BG272" s="195">
        <v>0</v>
      </c>
      <c r="BH272" s="195">
        <v>0</v>
      </c>
      <c r="BI272" s="195">
        <v>0</v>
      </c>
      <c r="BJ272" s="195">
        <v>-1803.84</v>
      </c>
      <c r="BK272" s="195">
        <v>-30815.6</v>
      </c>
      <c r="BL272" s="195">
        <v>-2104.48</v>
      </c>
      <c r="BM272" s="195">
        <v>-10747.88</v>
      </c>
      <c r="BN272" s="195">
        <v>-300.64</v>
      </c>
      <c r="BO272" s="195">
        <v>-69710</v>
      </c>
      <c r="BP272" s="195">
        <v>-95039.92948462088</v>
      </c>
      <c r="BQ272" s="195">
        <v>-642392.52</v>
      </c>
      <c r="BR272" s="195">
        <v>113972.07233760692</v>
      </c>
      <c r="BS272" s="195">
        <v>659086</v>
      </c>
      <c r="BT272" s="195">
        <v>245210</v>
      </c>
      <c r="BU272" s="195">
        <v>624224.0978398636</v>
      </c>
      <c r="BV272" s="195">
        <v>31886.17452603681</v>
      </c>
      <c r="BW272" s="195">
        <v>51936.5584288604</v>
      </c>
      <c r="BX272" s="195">
        <v>220299.48727579231</v>
      </c>
      <c r="BY272" s="195">
        <v>462578.72966419393</v>
      </c>
      <c r="BZ272" s="195">
        <v>711571.955157124</v>
      </c>
      <c r="CA272" s="195">
        <v>234366.02063021503</v>
      </c>
      <c r="CB272" s="195">
        <v>676.4399999999999</v>
      </c>
      <c r="CC272" s="195">
        <v>-162023.92617344484</v>
      </c>
      <c r="CD272" s="195">
        <v>3124524.5696862475</v>
      </c>
      <c r="CE272" s="195">
        <v>2119597.6802016264</v>
      </c>
      <c r="CF272" s="195">
        <v>0</v>
      </c>
      <c r="CG272" s="229">
        <v>2709440.9694209527</v>
      </c>
      <c r="CH272" s="195">
        <v>-421785</v>
      </c>
      <c r="CI272" s="195">
        <v>-89846.1796</v>
      </c>
      <c r="CJ272" s="195">
        <v>16902569.00372778</v>
      </c>
      <c r="CL272" s="195">
        <v>7564</v>
      </c>
    </row>
    <row r="273" spans="1:90" ht="9.75">
      <c r="A273" s="195">
        <v>895</v>
      </c>
      <c r="B273" s="195" t="s">
        <v>340</v>
      </c>
      <c r="C273" s="195">
        <v>15404</v>
      </c>
      <c r="D273" s="195">
        <v>51000165.55</v>
      </c>
      <c r="E273" s="195">
        <v>20495045.100712556</v>
      </c>
      <c r="F273" s="195">
        <v>2511998.9766350766</v>
      </c>
      <c r="G273" s="195">
        <v>74007209.62734763</v>
      </c>
      <c r="H273" s="195">
        <v>3540.31</v>
      </c>
      <c r="I273" s="195">
        <v>54534935.24</v>
      </c>
      <c r="J273" s="195">
        <v>19472274.38734763</v>
      </c>
      <c r="K273" s="195">
        <v>629251.2307017224</v>
      </c>
      <c r="L273" s="195">
        <v>2980333.8504362865</v>
      </c>
      <c r="M273" s="195">
        <v>0</v>
      </c>
      <c r="N273" s="195">
        <v>23081859.46848564</v>
      </c>
      <c r="O273" s="195">
        <v>2869337.85226795</v>
      </c>
      <c r="P273" s="195">
        <v>25951197.32075359</v>
      </c>
      <c r="Q273" s="195">
        <v>839</v>
      </c>
      <c r="R273" s="195">
        <v>156</v>
      </c>
      <c r="S273" s="195">
        <v>890</v>
      </c>
      <c r="T273" s="195">
        <v>400</v>
      </c>
      <c r="U273" s="195">
        <v>463</v>
      </c>
      <c r="V273" s="195">
        <v>8459</v>
      </c>
      <c r="W273" s="195">
        <v>2461</v>
      </c>
      <c r="X273" s="195">
        <v>1270</v>
      </c>
      <c r="Y273" s="195">
        <v>466</v>
      </c>
      <c r="Z273" s="195">
        <v>63</v>
      </c>
      <c r="AA273" s="195">
        <v>1</v>
      </c>
      <c r="AB273" s="195">
        <v>14983</v>
      </c>
      <c r="AC273" s="195">
        <v>357</v>
      </c>
      <c r="AD273" s="195">
        <v>4197</v>
      </c>
      <c r="AE273" s="195">
        <v>1.171339841934666</v>
      </c>
      <c r="AF273" s="195">
        <v>20495045.100712556</v>
      </c>
      <c r="AG273" s="195">
        <v>4480939.967388439</v>
      </c>
      <c r="AH273" s="195">
        <v>1037798.4624256259</v>
      </c>
      <c r="AI273" s="195">
        <v>499471.873589498</v>
      </c>
      <c r="AJ273" s="195">
        <v>681</v>
      </c>
      <c r="AK273" s="195">
        <v>7265</v>
      </c>
      <c r="AL273" s="195">
        <v>0.7059762009626537</v>
      </c>
      <c r="AM273" s="195">
        <v>357</v>
      </c>
      <c r="AN273" s="195">
        <v>0.023175798493897688</v>
      </c>
      <c r="AO273" s="195">
        <v>0.01920754452564372</v>
      </c>
      <c r="AP273" s="195">
        <v>0</v>
      </c>
      <c r="AQ273" s="195">
        <v>63</v>
      </c>
      <c r="AR273" s="195">
        <v>1</v>
      </c>
      <c r="AS273" s="195">
        <v>3</v>
      </c>
      <c r="AT273" s="195">
        <v>679</v>
      </c>
      <c r="AU273" s="195">
        <v>502.49</v>
      </c>
      <c r="AV273" s="195">
        <v>30.655336424605466</v>
      </c>
      <c r="AW273" s="195">
        <v>0.5906089190679488</v>
      </c>
      <c r="AX273" s="195">
        <v>632</v>
      </c>
      <c r="AY273" s="195">
        <v>4518</v>
      </c>
      <c r="AZ273" s="195">
        <v>0.13988490482514387</v>
      </c>
      <c r="BA273" s="195">
        <v>0.0748621046224754</v>
      </c>
      <c r="BB273" s="195">
        <v>0</v>
      </c>
      <c r="BC273" s="195">
        <v>6961</v>
      </c>
      <c r="BD273" s="195">
        <v>6456</v>
      </c>
      <c r="BE273" s="195">
        <v>1.0782218091697646</v>
      </c>
      <c r="BF273" s="195">
        <v>0.6472802911274586</v>
      </c>
      <c r="BG273" s="195">
        <v>0</v>
      </c>
      <c r="BH273" s="195">
        <v>1</v>
      </c>
      <c r="BI273" s="195">
        <v>0</v>
      </c>
      <c r="BJ273" s="195">
        <v>-3696.96</v>
      </c>
      <c r="BK273" s="195">
        <v>-63156.399999999994</v>
      </c>
      <c r="BL273" s="195">
        <v>-4313.120000000001</v>
      </c>
      <c r="BM273" s="195">
        <v>-22027.719999999998</v>
      </c>
      <c r="BN273" s="195">
        <v>-616.16</v>
      </c>
      <c r="BO273" s="195">
        <v>166575</v>
      </c>
      <c r="BP273" s="195">
        <v>-587746.9323391028</v>
      </c>
      <c r="BQ273" s="195">
        <v>-1316579.88</v>
      </c>
      <c r="BR273" s="195">
        <v>-127042.48566932231</v>
      </c>
      <c r="BS273" s="195">
        <v>1109415</v>
      </c>
      <c r="BT273" s="195">
        <v>399076</v>
      </c>
      <c r="BU273" s="195">
        <v>905475.307138261</v>
      </c>
      <c r="BV273" s="195">
        <v>41384.80129070485</v>
      </c>
      <c r="BW273" s="195">
        <v>80168.54506648163</v>
      </c>
      <c r="BX273" s="195">
        <v>432683.95358545834</v>
      </c>
      <c r="BY273" s="195">
        <v>714318.2047305912</v>
      </c>
      <c r="BZ273" s="195">
        <v>1333112.8678891251</v>
      </c>
      <c r="CA273" s="195">
        <v>466883.9157487844</v>
      </c>
      <c r="CB273" s="195">
        <v>1386.36</v>
      </c>
      <c r="CC273" s="195">
        <v>-91472.68700469522</v>
      </c>
      <c r="CD273" s="195">
        <v>5432889.022775389</v>
      </c>
      <c r="CE273" s="195">
        <v>2980333.8504362865</v>
      </c>
      <c r="CF273" s="195">
        <v>0</v>
      </c>
      <c r="CG273" s="229">
        <v>2869337.85226795</v>
      </c>
      <c r="CH273" s="195">
        <v>-1535689</v>
      </c>
      <c r="CI273" s="195">
        <v>178662.4915</v>
      </c>
      <c r="CJ273" s="195">
        <v>24415508.32075359</v>
      </c>
      <c r="CL273" s="195">
        <v>15510</v>
      </c>
    </row>
    <row r="274" spans="1:90" ht="9.75">
      <c r="A274" s="195">
        <v>785</v>
      </c>
      <c r="B274" s="195" t="s">
        <v>341</v>
      </c>
      <c r="C274" s="195">
        <v>3040</v>
      </c>
      <c r="D274" s="195">
        <v>11244234.709999999</v>
      </c>
      <c r="E274" s="195">
        <v>6068192.130431095</v>
      </c>
      <c r="F274" s="195">
        <v>1379069.9822506462</v>
      </c>
      <c r="G274" s="195">
        <v>18691496.82268174</v>
      </c>
      <c r="H274" s="195">
        <v>3540.31</v>
      </c>
      <c r="I274" s="195">
        <v>10762542.4</v>
      </c>
      <c r="J274" s="195">
        <v>7928954.42268174</v>
      </c>
      <c r="K274" s="195">
        <v>1471006.8605365953</v>
      </c>
      <c r="L274" s="195">
        <v>839634.3312168582</v>
      </c>
      <c r="M274" s="195">
        <v>0</v>
      </c>
      <c r="N274" s="195">
        <v>10239595.614435194</v>
      </c>
      <c r="O274" s="195">
        <v>2755702.447799069</v>
      </c>
      <c r="P274" s="195">
        <v>12995298.062234264</v>
      </c>
      <c r="Q274" s="195">
        <v>136</v>
      </c>
      <c r="R274" s="195">
        <v>20</v>
      </c>
      <c r="S274" s="195">
        <v>170</v>
      </c>
      <c r="T274" s="195">
        <v>100</v>
      </c>
      <c r="U274" s="195">
        <v>104</v>
      </c>
      <c r="V274" s="195">
        <v>1517</v>
      </c>
      <c r="W274" s="195">
        <v>520</v>
      </c>
      <c r="X274" s="195">
        <v>336</v>
      </c>
      <c r="Y274" s="195">
        <v>137</v>
      </c>
      <c r="Z274" s="195">
        <v>4</v>
      </c>
      <c r="AA274" s="195">
        <v>0</v>
      </c>
      <c r="AB274" s="195">
        <v>3012</v>
      </c>
      <c r="AC274" s="195">
        <v>24</v>
      </c>
      <c r="AD274" s="195">
        <v>993</v>
      </c>
      <c r="AE274" s="195">
        <v>1.757329852078256</v>
      </c>
      <c r="AF274" s="195">
        <v>6068192.130431095</v>
      </c>
      <c r="AG274" s="195">
        <v>8165728.734442433</v>
      </c>
      <c r="AH274" s="195">
        <v>2184090.091626048</v>
      </c>
      <c r="AI274" s="195">
        <v>677854.6855857475</v>
      </c>
      <c r="AJ274" s="195">
        <v>207</v>
      </c>
      <c r="AK274" s="195">
        <v>1200</v>
      </c>
      <c r="AL274" s="195">
        <v>1.2991750363420111</v>
      </c>
      <c r="AM274" s="195">
        <v>24</v>
      </c>
      <c r="AN274" s="195">
        <v>0.007894736842105263</v>
      </c>
      <c r="AO274" s="195">
        <v>0.003926482873851295</v>
      </c>
      <c r="AP274" s="195">
        <v>0</v>
      </c>
      <c r="AQ274" s="195">
        <v>4</v>
      </c>
      <c r="AR274" s="195">
        <v>0</v>
      </c>
      <c r="AS274" s="195">
        <v>3</v>
      </c>
      <c r="AT274" s="195">
        <v>95</v>
      </c>
      <c r="AU274" s="195">
        <v>1302.11</v>
      </c>
      <c r="AV274" s="195">
        <v>2.334672185913633</v>
      </c>
      <c r="AW274" s="195">
        <v>7.754971005625509</v>
      </c>
      <c r="AX274" s="195">
        <v>98</v>
      </c>
      <c r="AY274" s="195">
        <v>764</v>
      </c>
      <c r="AZ274" s="195">
        <v>0.12827225130890052</v>
      </c>
      <c r="BA274" s="195">
        <v>0.06324945110623205</v>
      </c>
      <c r="BB274" s="195">
        <v>1.445366</v>
      </c>
      <c r="BC274" s="195">
        <v>908</v>
      </c>
      <c r="BD274" s="195">
        <v>951</v>
      </c>
      <c r="BE274" s="195">
        <v>0.9547844374342797</v>
      </c>
      <c r="BF274" s="195">
        <v>0.5238429193919736</v>
      </c>
      <c r="BG274" s="195">
        <v>0</v>
      </c>
      <c r="BH274" s="195">
        <v>0</v>
      </c>
      <c r="BI274" s="195">
        <v>0</v>
      </c>
      <c r="BJ274" s="195">
        <v>-729.6</v>
      </c>
      <c r="BK274" s="195">
        <v>-12463.999999999998</v>
      </c>
      <c r="BL274" s="195">
        <v>-851.2</v>
      </c>
      <c r="BM274" s="195">
        <v>-4347.2</v>
      </c>
      <c r="BN274" s="195">
        <v>-121.60000000000001</v>
      </c>
      <c r="BO274" s="195">
        <v>87467</v>
      </c>
      <c r="BP274" s="195">
        <v>-143060.10438211352</v>
      </c>
      <c r="BQ274" s="195">
        <v>-259828.8</v>
      </c>
      <c r="BR274" s="195">
        <v>-70951.2395362258</v>
      </c>
      <c r="BS274" s="195">
        <v>310888</v>
      </c>
      <c r="BT274" s="195">
        <v>92189</v>
      </c>
      <c r="BU274" s="195">
        <v>250966.4378107918</v>
      </c>
      <c r="BV274" s="195">
        <v>15001.394378429974</v>
      </c>
      <c r="BW274" s="195">
        <v>44539.947269726195</v>
      </c>
      <c r="BX274" s="195">
        <v>126757.85397782503</v>
      </c>
      <c r="BY274" s="195">
        <v>154052.91971320764</v>
      </c>
      <c r="BZ274" s="195">
        <v>270595.83848855575</v>
      </c>
      <c r="CA274" s="195">
        <v>68049.8023855106</v>
      </c>
      <c r="CB274" s="195">
        <v>273.59999999999997</v>
      </c>
      <c r="CC274" s="195">
        <v>703.881111150291</v>
      </c>
      <c r="CD274" s="195">
        <v>1350716.8355989717</v>
      </c>
      <c r="CE274" s="195">
        <v>839634.3312168582</v>
      </c>
      <c r="CF274" s="195">
        <v>0</v>
      </c>
      <c r="CG274" s="229">
        <v>2755702.447799069</v>
      </c>
      <c r="CH274" s="195">
        <v>40393</v>
      </c>
      <c r="CI274" s="195">
        <v>16947.19</v>
      </c>
      <c r="CJ274" s="195">
        <v>13035691.062234264</v>
      </c>
      <c r="CL274" s="195">
        <v>3074</v>
      </c>
    </row>
    <row r="275" spans="1:90" ht="9.75">
      <c r="A275" s="195">
        <v>905</v>
      </c>
      <c r="B275" s="195" t="s">
        <v>342</v>
      </c>
      <c r="C275" s="195">
        <v>67620</v>
      </c>
      <c r="D275" s="195">
        <v>220025573.74999997</v>
      </c>
      <c r="E275" s="195">
        <v>69536021.04605664</v>
      </c>
      <c r="F275" s="195">
        <v>22390278.889578685</v>
      </c>
      <c r="G275" s="195">
        <v>311951873.6856353</v>
      </c>
      <c r="H275" s="195">
        <v>3540.31</v>
      </c>
      <c r="I275" s="195">
        <v>239395762.2</v>
      </c>
      <c r="J275" s="195">
        <v>72556111.48563534</v>
      </c>
      <c r="K275" s="195">
        <v>3563686.9477043888</v>
      </c>
      <c r="L275" s="195">
        <v>7401571.211451642</v>
      </c>
      <c r="M275" s="195">
        <v>0</v>
      </c>
      <c r="N275" s="195">
        <v>83521369.64479136</v>
      </c>
      <c r="O275" s="195">
        <v>-4133645.29874366</v>
      </c>
      <c r="P275" s="195">
        <v>79387724.3460477</v>
      </c>
      <c r="Q275" s="195">
        <v>4352</v>
      </c>
      <c r="R275" s="195">
        <v>758</v>
      </c>
      <c r="S275" s="195">
        <v>4308</v>
      </c>
      <c r="T275" s="195">
        <v>2083</v>
      </c>
      <c r="U275" s="195">
        <v>2081</v>
      </c>
      <c r="V275" s="195">
        <v>41152</v>
      </c>
      <c r="W275" s="195">
        <v>6920</v>
      </c>
      <c r="X275" s="195">
        <v>4232</v>
      </c>
      <c r="Y275" s="195">
        <v>1734</v>
      </c>
      <c r="Z275" s="195">
        <v>15416</v>
      </c>
      <c r="AA275" s="195">
        <v>9</v>
      </c>
      <c r="AB275" s="195">
        <v>46742</v>
      </c>
      <c r="AC275" s="195">
        <v>5453</v>
      </c>
      <c r="AD275" s="195">
        <v>12886</v>
      </c>
      <c r="AE275" s="195">
        <v>0.9053202128973656</v>
      </c>
      <c r="AF275" s="195">
        <v>69536021.04605664</v>
      </c>
      <c r="AG275" s="195">
        <v>9073982.728599131</v>
      </c>
      <c r="AH275" s="195">
        <v>2169108.600422711</v>
      </c>
      <c r="AI275" s="195">
        <v>1034620.3095782461</v>
      </c>
      <c r="AJ275" s="195">
        <v>3898</v>
      </c>
      <c r="AK275" s="195">
        <v>33085</v>
      </c>
      <c r="AL275" s="195">
        <v>0.8873383737822709</v>
      </c>
      <c r="AM275" s="195">
        <v>5453</v>
      </c>
      <c r="AN275" s="195">
        <v>0.08064182194616977</v>
      </c>
      <c r="AO275" s="195">
        <v>0.0766735679779158</v>
      </c>
      <c r="AP275" s="195">
        <v>1</v>
      </c>
      <c r="AQ275" s="195">
        <v>15416</v>
      </c>
      <c r="AR275" s="195">
        <v>9</v>
      </c>
      <c r="AS275" s="195">
        <v>0</v>
      </c>
      <c r="AT275" s="195">
        <v>0</v>
      </c>
      <c r="AU275" s="195">
        <v>364.54</v>
      </c>
      <c r="AV275" s="195">
        <v>185.49404729247817</v>
      </c>
      <c r="AW275" s="195">
        <v>0.09760590905029395</v>
      </c>
      <c r="AX275" s="195">
        <v>2721</v>
      </c>
      <c r="AY275" s="195">
        <v>20796</v>
      </c>
      <c r="AZ275" s="195">
        <v>0.13084246970571264</v>
      </c>
      <c r="BA275" s="195">
        <v>0.06581966950304417</v>
      </c>
      <c r="BB275" s="195">
        <v>0</v>
      </c>
      <c r="BC275" s="195">
        <v>37207</v>
      </c>
      <c r="BD275" s="195">
        <v>29389</v>
      </c>
      <c r="BE275" s="195">
        <v>1.2660178978529382</v>
      </c>
      <c r="BF275" s="195">
        <v>0.8350763798106321</v>
      </c>
      <c r="BG275" s="195">
        <v>0</v>
      </c>
      <c r="BH275" s="195">
        <v>9</v>
      </c>
      <c r="BI275" s="195">
        <v>0</v>
      </c>
      <c r="BJ275" s="195">
        <v>-16228.8</v>
      </c>
      <c r="BK275" s="195">
        <v>-277242</v>
      </c>
      <c r="BL275" s="195">
        <v>-18933.600000000002</v>
      </c>
      <c r="BM275" s="195">
        <v>-96696.59999999999</v>
      </c>
      <c r="BN275" s="195">
        <v>-2704.8</v>
      </c>
      <c r="BO275" s="195">
        <v>-766334</v>
      </c>
      <c r="BP275" s="195">
        <v>-4231277.702686357</v>
      </c>
      <c r="BQ275" s="195">
        <v>-5779481.4</v>
      </c>
      <c r="BR275" s="195">
        <v>274345.0710465126</v>
      </c>
      <c r="BS275" s="195">
        <v>4274447</v>
      </c>
      <c r="BT275" s="195">
        <v>1565331</v>
      </c>
      <c r="BU275" s="195">
        <v>3626619.6572058755</v>
      </c>
      <c r="BV275" s="195">
        <v>138381.79957621533</v>
      </c>
      <c r="BW275" s="195">
        <v>123045.09646081526</v>
      </c>
      <c r="BX275" s="195">
        <v>1613817.4548447337</v>
      </c>
      <c r="BY275" s="195">
        <v>3371237.1497896183</v>
      </c>
      <c r="BZ275" s="195">
        <v>4725068.448890915</v>
      </c>
      <c r="CA275" s="195">
        <v>1703709.7173306942</v>
      </c>
      <c r="CB275" s="195">
        <v>6085.8</v>
      </c>
      <c r="CC275" s="195">
        <v>-840885.2810073787</v>
      </c>
      <c r="CD275" s="195">
        <v>19818926.114138</v>
      </c>
      <c r="CE275" s="195">
        <v>7401571.211451642</v>
      </c>
      <c r="CF275" s="195">
        <v>0</v>
      </c>
      <c r="CG275" s="229">
        <v>-4133645.29874366</v>
      </c>
      <c r="CH275" s="195">
        <v>22086207</v>
      </c>
      <c r="CI275" s="195">
        <v>-3821444.034809999</v>
      </c>
      <c r="CJ275" s="195">
        <v>101473931.3460477</v>
      </c>
      <c r="CL275" s="195">
        <v>67619</v>
      </c>
    </row>
    <row r="276" spans="1:90" ht="9.75">
      <c r="A276" s="195">
        <v>908</v>
      </c>
      <c r="B276" s="195" t="s">
        <v>343</v>
      </c>
      <c r="C276" s="195">
        <v>21346</v>
      </c>
      <c r="D276" s="195">
        <v>75122193.44</v>
      </c>
      <c r="E276" s="195">
        <v>25170288.705103904</v>
      </c>
      <c r="F276" s="195">
        <v>3638899.4568874724</v>
      </c>
      <c r="G276" s="195">
        <v>103931381.60199137</v>
      </c>
      <c r="H276" s="195">
        <v>3540.31</v>
      </c>
      <c r="I276" s="195">
        <v>75571457.26</v>
      </c>
      <c r="J276" s="195">
        <v>28359924.341991365</v>
      </c>
      <c r="K276" s="195">
        <v>600269.6091776161</v>
      </c>
      <c r="L276" s="195">
        <v>2925919.5361941834</v>
      </c>
      <c r="M276" s="195">
        <v>0</v>
      </c>
      <c r="N276" s="195">
        <v>31886113.487363163</v>
      </c>
      <c r="O276" s="195">
        <v>3566420.765095697</v>
      </c>
      <c r="P276" s="195">
        <v>35452534.25245886</v>
      </c>
      <c r="Q276" s="195">
        <v>1307</v>
      </c>
      <c r="R276" s="195">
        <v>272</v>
      </c>
      <c r="S276" s="195">
        <v>1480</v>
      </c>
      <c r="T276" s="195">
        <v>691</v>
      </c>
      <c r="U276" s="195">
        <v>754</v>
      </c>
      <c r="V276" s="195">
        <v>11539</v>
      </c>
      <c r="W276" s="195">
        <v>3067</v>
      </c>
      <c r="X276" s="195">
        <v>1542</v>
      </c>
      <c r="Y276" s="195">
        <v>694</v>
      </c>
      <c r="Z276" s="195">
        <v>45</v>
      </c>
      <c r="AA276" s="195">
        <v>0</v>
      </c>
      <c r="AB276" s="195">
        <v>20559</v>
      </c>
      <c r="AC276" s="195">
        <v>742</v>
      </c>
      <c r="AD276" s="195">
        <v>5303</v>
      </c>
      <c r="AE276" s="195">
        <v>1.038100114879118</v>
      </c>
      <c r="AF276" s="195">
        <v>25170288.705103904</v>
      </c>
      <c r="AG276" s="195">
        <v>24703451.379228357</v>
      </c>
      <c r="AH276" s="195">
        <v>6513552.365622165</v>
      </c>
      <c r="AI276" s="195">
        <v>2622227.336344864</v>
      </c>
      <c r="AJ276" s="195">
        <v>1266</v>
      </c>
      <c r="AK276" s="195">
        <v>9361</v>
      </c>
      <c r="AL276" s="195">
        <v>1.0185680001418072</v>
      </c>
      <c r="AM276" s="195">
        <v>742</v>
      </c>
      <c r="AN276" s="195">
        <v>0.03476061088728567</v>
      </c>
      <c r="AO276" s="195">
        <v>0.030792356919031705</v>
      </c>
      <c r="AP276" s="195">
        <v>0</v>
      </c>
      <c r="AQ276" s="195">
        <v>45</v>
      </c>
      <c r="AR276" s="195">
        <v>0</v>
      </c>
      <c r="AS276" s="195">
        <v>0</v>
      </c>
      <c r="AT276" s="195">
        <v>0</v>
      </c>
      <c r="AU276" s="195">
        <v>271.92</v>
      </c>
      <c r="AV276" s="195">
        <v>78.50102971462195</v>
      </c>
      <c r="AW276" s="195">
        <v>0.23063793144140343</v>
      </c>
      <c r="AX276" s="195">
        <v>641</v>
      </c>
      <c r="AY276" s="195">
        <v>6550</v>
      </c>
      <c r="AZ276" s="195">
        <v>0.09786259541984733</v>
      </c>
      <c r="BA276" s="195">
        <v>0.03283979521717886</v>
      </c>
      <c r="BB276" s="195">
        <v>0</v>
      </c>
      <c r="BC276" s="195">
        <v>6957</v>
      </c>
      <c r="BD276" s="195">
        <v>7937</v>
      </c>
      <c r="BE276" s="195">
        <v>0.8765276552853724</v>
      </c>
      <c r="BF276" s="195">
        <v>0.4455861372430663</v>
      </c>
      <c r="BG276" s="195">
        <v>0</v>
      </c>
      <c r="BH276" s="195">
        <v>0</v>
      </c>
      <c r="BI276" s="195">
        <v>0</v>
      </c>
      <c r="BJ276" s="195">
        <v>-5123.04</v>
      </c>
      <c r="BK276" s="195">
        <v>-87518.59999999999</v>
      </c>
      <c r="BL276" s="195">
        <v>-5976.880000000001</v>
      </c>
      <c r="BM276" s="195">
        <v>-30524.78</v>
      </c>
      <c r="BN276" s="195">
        <v>-853.84</v>
      </c>
      <c r="BO276" s="195">
        <v>606941</v>
      </c>
      <c r="BP276" s="195">
        <v>-1324556.4909225057</v>
      </c>
      <c r="BQ276" s="195">
        <v>-1824442.6199999999</v>
      </c>
      <c r="BR276" s="195">
        <v>29654.960622604936</v>
      </c>
      <c r="BS276" s="195">
        <v>1300662</v>
      </c>
      <c r="BT276" s="195">
        <v>441444</v>
      </c>
      <c r="BU276" s="195">
        <v>804355.6399916415</v>
      </c>
      <c r="BV276" s="195">
        <v>27221.020783908443</v>
      </c>
      <c r="BW276" s="195">
        <v>143785.4359805037</v>
      </c>
      <c r="BX276" s="195">
        <v>492082.1333048082</v>
      </c>
      <c r="BY276" s="195">
        <v>907246.1630341989</v>
      </c>
      <c r="BZ276" s="195">
        <v>1486362.2494838221</v>
      </c>
      <c r="CA276" s="195">
        <v>478310.97246684425</v>
      </c>
      <c r="CB276" s="195">
        <v>1921.1399999999999</v>
      </c>
      <c r="CC276" s="195">
        <v>113355.31144835742</v>
      </c>
      <c r="CD276" s="195">
        <v>6834622.787116689</v>
      </c>
      <c r="CE276" s="195">
        <v>2925919.5361941834</v>
      </c>
      <c r="CF276" s="195">
        <v>0</v>
      </c>
      <c r="CG276" s="229">
        <v>3566420.765095697</v>
      </c>
      <c r="CH276" s="195">
        <v>282649</v>
      </c>
      <c r="CI276" s="195">
        <v>33568.47250000003</v>
      </c>
      <c r="CJ276" s="195">
        <v>35735183.25245886</v>
      </c>
      <c r="CL276" s="195">
        <v>21332</v>
      </c>
    </row>
    <row r="277" spans="1:90" ht="9.75">
      <c r="A277" s="195">
        <v>911</v>
      </c>
      <c r="B277" s="195" t="s">
        <v>344</v>
      </c>
      <c r="C277" s="195">
        <v>2245</v>
      </c>
      <c r="D277" s="195">
        <v>8268607.92</v>
      </c>
      <c r="E277" s="195">
        <v>5007596.402115078</v>
      </c>
      <c r="F277" s="195">
        <v>870670.8559860802</v>
      </c>
      <c r="G277" s="195">
        <v>14146875.17810116</v>
      </c>
      <c r="H277" s="195">
        <v>3540.31</v>
      </c>
      <c r="I277" s="195">
        <v>7947995.95</v>
      </c>
      <c r="J277" s="195">
        <v>6198879.228101159</v>
      </c>
      <c r="K277" s="195">
        <v>832543.3941955493</v>
      </c>
      <c r="L277" s="195">
        <v>1011579.9186875636</v>
      </c>
      <c r="M277" s="195">
        <v>0</v>
      </c>
      <c r="N277" s="195">
        <v>8043002.540984272</v>
      </c>
      <c r="O277" s="195">
        <v>1993152.6620266663</v>
      </c>
      <c r="P277" s="195">
        <v>10036155.203010939</v>
      </c>
      <c r="Q277" s="195">
        <v>92</v>
      </c>
      <c r="R277" s="195">
        <v>17</v>
      </c>
      <c r="S277" s="195">
        <v>130</v>
      </c>
      <c r="T277" s="195">
        <v>61</v>
      </c>
      <c r="U277" s="195">
        <v>51</v>
      </c>
      <c r="V277" s="195">
        <v>1160</v>
      </c>
      <c r="W277" s="195">
        <v>394</v>
      </c>
      <c r="X277" s="195">
        <v>221</v>
      </c>
      <c r="Y277" s="195">
        <v>119</v>
      </c>
      <c r="Z277" s="195">
        <v>2</v>
      </c>
      <c r="AA277" s="195">
        <v>0</v>
      </c>
      <c r="AB277" s="195">
        <v>2220</v>
      </c>
      <c r="AC277" s="195">
        <v>23</v>
      </c>
      <c r="AD277" s="195">
        <v>734</v>
      </c>
      <c r="AE277" s="195">
        <v>1.9637243284957082</v>
      </c>
      <c r="AF277" s="195">
        <v>5007596.402115078</v>
      </c>
      <c r="AG277" s="195">
        <v>88919387.60523319</v>
      </c>
      <c r="AH277" s="195">
        <v>19345105.239396237</v>
      </c>
      <c r="AI277" s="195">
        <v>8419668.726222968</v>
      </c>
      <c r="AJ277" s="195">
        <v>142</v>
      </c>
      <c r="AK277" s="195">
        <v>932</v>
      </c>
      <c r="AL277" s="195">
        <v>1.147495522551257</v>
      </c>
      <c r="AM277" s="195">
        <v>23</v>
      </c>
      <c r="AN277" s="195">
        <v>0.010244988864142539</v>
      </c>
      <c r="AO277" s="195">
        <v>0.006276734895888571</v>
      </c>
      <c r="AP277" s="195">
        <v>0</v>
      </c>
      <c r="AQ277" s="195">
        <v>2</v>
      </c>
      <c r="AR277" s="195">
        <v>0</v>
      </c>
      <c r="AS277" s="195">
        <v>0</v>
      </c>
      <c r="AT277" s="195">
        <v>0</v>
      </c>
      <c r="AU277" s="195">
        <v>800.31</v>
      </c>
      <c r="AV277" s="195">
        <v>2.8051629993377567</v>
      </c>
      <c r="AW277" s="195">
        <v>6.454282732830447</v>
      </c>
      <c r="AX277" s="195">
        <v>75</v>
      </c>
      <c r="AY277" s="195">
        <v>566</v>
      </c>
      <c r="AZ277" s="195">
        <v>0.13250883392226148</v>
      </c>
      <c r="BA277" s="195">
        <v>0.06748603371959301</v>
      </c>
      <c r="BB277" s="195">
        <v>1.102483</v>
      </c>
      <c r="BC277" s="195">
        <v>660</v>
      </c>
      <c r="BD277" s="195">
        <v>769</v>
      </c>
      <c r="BE277" s="195">
        <v>0.8582574772431729</v>
      </c>
      <c r="BF277" s="195">
        <v>0.42731595920086685</v>
      </c>
      <c r="BG277" s="195">
        <v>0</v>
      </c>
      <c r="BH277" s="195">
        <v>0</v>
      </c>
      <c r="BI277" s="195">
        <v>0</v>
      </c>
      <c r="BJ277" s="195">
        <v>-538.8</v>
      </c>
      <c r="BK277" s="195">
        <v>-9204.5</v>
      </c>
      <c r="BL277" s="195">
        <v>-628.6</v>
      </c>
      <c r="BM277" s="195">
        <v>-3210.35</v>
      </c>
      <c r="BN277" s="195">
        <v>-89.8</v>
      </c>
      <c r="BO277" s="195">
        <v>189818</v>
      </c>
      <c r="BP277" s="195">
        <v>-38015.971793848345</v>
      </c>
      <c r="BQ277" s="195">
        <v>-191880.15</v>
      </c>
      <c r="BR277" s="195">
        <v>96380.14033571817</v>
      </c>
      <c r="BS277" s="195">
        <v>238421</v>
      </c>
      <c r="BT277" s="195">
        <v>73261</v>
      </c>
      <c r="BU277" s="195">
        <v>199069.2625320524</v>
      </c>
      <c r="BV277" s="195">
        <v>12189.992792026218</v>
      </c>
      <c r="BW277" s="195">
        <v>21380.662376640852</v>
      </c>
      <c r="BX277" s="195">
        <v>101836.40632784022</v>
      </c>
      <c r="BY277" s="195">
        <v>121481.66735531342</v>
      </c>
      <c r="BZ277" s="195">
        <v>216660.2640097254</v>
      </c>
      <c r="CA277" s="195">
        <v>62019.90724334426</v>
      </c>
      <c r="CB277" s="195">
        <v>202.04999999999998</v>
      </c>
      <c r="CC277" s="195">
        <v>-11479.462491248822</v>
      </c>
      <c r="CD277" s="195">
        <v>1321375.590481412</v>
      </c>
      <c r="CE277" s="195">
        <v>1011579.9186875636</v>
      </c>
      <c r="CF277" s="195">
        <v>0</v>
      </c>
      <c r="CG277" s="229">
        <v>1993152.6620266663</v>
      </c>
      <c r="CH277" s="195">
        <v>-509658</v>
      </c>
      <c r="CI277" s="195">
        <v>18316.0015</v>
      </c>
      <c r="CJ277" s="195">
        <v>9526497.203010939</v>
      </c>
      <c r="CL277" s="195">
        <v>2324</v>
      </c>
    </row>
    <row r="278" spans="1:90" ht="9.75">
      <c r="A278" s="195">
        <v>92</v>
      </c>
      <c r="B278" s="195" t="s">
        <v>345</v>
      </c>
      <c r="C278" s="195">
        <v>219341</v>
      </c>
      <c r="D278" s="195">
        <v>674157218.5299999</v>
      </c>
      <c r="E278" s="195">
        <v>182121416.08510312</v>
      </c>
      <c r="F278" s="195">
        <v>104440182.81931062</v>
      </c>
      <c r="G278" s="195">
        <v>960718817.4344137</v>
      </c>
      <c r="H278" s="195">
        <v>3540.31</v>
      </c>
      <c r="I278" s="195">
        <v>776535135.71</v>
      </c>
      <c r="J278" s="195">
        <v>184183681.72441363</v>
      </c>
      <c r="K278" s="195">
        <v>8916452.472882781</v>
      </c>
      <c r="L278" s="195">
        <v>3186499.1991749182</v>
      </c>
      <c r="M278" s="195">
        <v>0</v>
      </c>
      <c r="N278" s="195">
        <v>196286633.39647132</v>
      </c>
      <c r="O278" s="195">
        <v>-41705921.63247906</v>
      </c>
      <c r="P278" s="195">
        <v>154580711.76399225</v>
      </c>
      <c r="Q278" s="195">
        <v>16018</v>
      </c>
      <c r="R278" s="195">
        <v>2758</v>
      </c>
      <c r="S278" s="195">
        <v>15717</v>
      </c>
      <c r="T278" s="195">
        <v>7215</v>
      </c>
      <c r="U278" s="195">
        <v>7133</v>
      </c>
      <c r="V278" s="195">
        <v>137676</v>
      </c>
      <c r="W278" s="195">
        <v>20442</v>
      </c>
      <c r="X278" s="195">
        <v>9687</v>
      </c>
      <c r="Y278" s="195">
        <v>2695</v>
      </c>
      <c r="Z278" s="195">
        <v>5631</v>
      </c>
      <c r="AA278" s="195">
        <v>22</v>
      </c>
      <c r="AB278" s="195">
        <v>177241</v>
      </c>
      <c r="AC278" s="195">
        <v>36447</v>
      </c>
      <c r="AD278" s="195">
        <v>32824</v>
      </c>
      <c r="AE278" s="195">
        <v>0.7309854736094372</v>
      </c>
      <c r="AF278" s="195">
        <v>182121416.08510312</v>
      </c>
      <c r="AG278" s="195">
        <v>233618819.26404345</v>
      </c>
      <c r="AH278" s="195">
        <v>44855377.13461814</v>
      </c>
      <c r="AI278" s="195">
        <v>26133081.957450524</v>
      </c>
      <c r="AJ278" s="195">
        <v>13758</v>
      </c>
      <c r="AK278" s="195">
        <v>112681</v>
      </c>
      <c r="AL278" s="195">
        <v>0.9195665820231201</v>
      </c>
      <c r="AM278" s="195">
        <v>36447</v>
      </c>
      <c r="AN278" s="195">
        <v>0.16616592429140015</v>
      </c>
      <c r="AO278" s="195">
        <v>0.1621976703231462</v>
      </c>
      <c r="AP278" s="195">
        <v>1</v>
      </c>
      <c r="AQ278" s="195">
        <v>5631</v>
      </c>
      <c r="AR278" s="195">
        <v>22</v>
      </c>
      <c r="AS278" s="195">
        <v>0</v>
      </c>
      <c r="AT278" s="195">
        <v>0</v>
      </c>
      <c r="AU278" s="195">
        <v>238.36</v>
      </c>
      <c r="AV278" s="195">
        <v>920.2089276724282</v>
      </c>
      <c r="AW278" s="195">
        <v>0.01967522218589646</v>
      </c>
      <c r="AX278" s="195">
        <v>16732</v>
      </c>
      <c r="AY278" s="195">
        <v>77807</v>
      </c>
      <c r="AZ278" s="195">
        <v>0.2150449188376367</v>
      </c>
      <c r="BA278" s="195">
        <v>0.15002211863496823</v>
      </c>
      <c r="BB278" s="195">
        <v>0</v>
      </c>
      <c r="BC278" s="195">
        <v>107332</v>
      </c>
      <c r="BD278" s="195">
        <v>99837</v>
      </c>
      <c r="BE278" s="195">
        <v>1.0750723679597745</v>
      </c>
      <c r="BF278" s="195">
        <v>0.6441308499174684</v>
      </c>
      <c r="BG278" s="195">
        <v>0</v>
      </c>
      <c r="BH278" s="195">
        <v>22</v>
      </c>
      <c r="BI278" s="195">
        <v>0</v>
      </c>
      <c r="BJ278" s="195">
        <v>-52641.84</v>
      </c>
      <c r="BK278" s="195">
        <v>-899298.1</v>
      </c>
      <c r="BL278" s="195">
        <v>-61415.48</v>
      </c>
      <c r="BM278" s="195">
        <v>-313657.63</v>
      </c>
      <c r="BN278" s="195">
        <v>-8773.64</v>
      </c>
      <c r="BO278" s="195">
        <v>-3024032</v>
      </c>
      <c r="BP278" s="195">
        <v>-23386325.385234103</v>
      </c>
      <c r="BQ278" s="195">
        <v>-18747075.27</v>
      </c>
      <c r="BR278" s="195">
        <v>-133128.08959154785</v>
      </c>
      <c r="BS278" s="195">
        <v>10598953</v>
      </c>
      <c r="BT278" s="195">
        <v>4100799</v>
      </c>
      <c r="BU278" s="195">
        <v>9211292.593758624</v>
      </c>
      <c r="BV278" s="195">
        <v>227178.49044565213</v>
      </c>
      <c r="BW278" s="195">
        <v>82298.47186307986</v>
      </c>
      <c r="BX278" s="195">
        <v>3932399.72004996</v>
      </c>
      <c r="BY278" s="195">
        <v>9755745.8127085</v>
      </c>
      <c r="BZ278" s="195">
        <v>13693210.390970083</v>
      </c>
      <c r="CA278" s="195">
        <v>5185362.209010143</v>
      </c>
      <c r="CB278" s="195">
        <v>19740.69</v>
      </c>
      <c r="CC278" s="195">
        <v>-536734.7048054747</v>
      </c>
      <c r="CD278" s="195">
        <v>53126246.04440902</v>
      </c>
      <c r="CE278" s="195">
        <v>3186499.1991749182</v>
      </c>
      <c r="CF278" s="195">
        <v>0</v>
      </c>
      <c r="CG278" s="229">
        <v>-41705921.63247906</v>
      </c>
      <c r="CH278" s="195">
        <v>16637408</v>
      </c>
      <c r="CI278" s="195">
        <v>-6181788.691030001</v>
      </c>
      <c r="CJ278" s="195">
        <v>171218119.76399225</v>
      </c>
      <c r="CL278" s="195">
        <v>214605</v>
      </c>
    </row>
    <row r="279" spans="1:90" ht="9.75">
      <c r="A279" s="195">
        <v>915</v>
      </c>
      <c r="B279" s="195" t="s">
        <v>346</v>
      </c>
      <c r="C279" s="195">
        <v>21468</v>
      </c>
      <c r="D279" s="195">
        <v>72856411.88000001</v>
      </c>
      <c r="E279" s="195">
        <v>35760286.8032263</v>
      </c>
      <c r="F279" s="195">
        <v>4379097.98615073</v>
      </c>
      <c r="G279" s="195">
        <v>112995796.66937704</v>
      </c>
      <c r="H279" s="195">
        <v>3540.31</v>
      </c>
      <c r="I279" s="195">
        <v>76003375.08</v>
      </c>
      <c r="J279" s="195">
        <v>36992421.589377046</v>
      </c>
      <c r="K279" s="195">
        <v>927148.3742418662</v>
      </c>
      <c r="L279" s="195">
        <v>4154347.0924145803</v>
      </c>
      <c r="M279" s="195">
        <v>0</v>
      </c>
      <c r="N279" s="195">
        <v>42073917.05603349</v>
      </c>
      <c r="O279" s="195">
        <v>7875991.849106513</v>
      </c>
      <c r="P279" s="195">
        <v>49949908.905140005</v>
      </c>
      <c r="Q279" s="195">
        <v>958</v>
      </c>
      <c r="R279" s="195">
        <v>211</v>
      </c>
      <c r="S279" s="195">
        <v>1192</v>
      </c>
      <c r="T279" s="195">
        <v>601</v>
      </c>
      <c r="U279" s="195">
        <v>705</v>
      </c>
      <c r="V279" s="195">
        <v>11961</v>
      </c>
      <c r="W279" s="195">
        <v>3161</v>
      </c>
      <c r="X279" s="195">
        <v>1875</v>
      </c>
      <c r="Y279" s="195">
        <v>804</v>
      </c>
      <c r="Z279" s="195">
        <v>53</v>
      </c>
      <c r="AA279" s="195">
        <v>0</v>
      </c>
      <c r="AB279" s="195">
        <v>20757</v>
      </c>
      <c r="AC279" s="195">
        <v>658</v>
      </c>
      <c r="AD279" s="195">
        <v>5840</v>
      </c>
      <c r="AE279" s="195">
        <v>1.4664827332830321</v>
      </c>
      <c r="AF279" s="195">
        <v>35760286.8032263</v>
      </c>
      <c r="AG279" s="195">
        <v>29878549.81941536</v>
      </c>
      <c r="AH279" s="195">
        <v>8502392.493807241</v>
      </c>
      <c r="AI279" s="195">
        <v>2675742.1799437394</v>
      </c>
      <c r="AJ279" s="195">
        <v>1611</v>
      </c>
      <c r="AK279" s="195">
        <v>9338</v>
      </c>
      <c r="AL279" s="195">
        <v>1.2993323112027713</v>
      </c>
      <c r="AM279" s="195">
        <v>658</v>
      </c>
      <c r="AN279" s="195">
        <v>0.030650270169554687</v>
      </c>
      <c r="AO279" s="195">
        <v>0.02668201620130072</v>
      </c>
      <c r="AP279" s="195">
        <v>0</v>
      </c>
      <c r="AQ279" s="195">
        <v>53</v>
      </c>
      <c r="AR279" s="195">
        <v>0</v>
      </c>
      <c r="AS279" s="195">
        <v>0</v>
      </c>
      <c r="AT279" s="195">
        <v>0</v>
      </c>
      <c r="AU279" s="195">
        <v>385.62</v>
      </c>
      <c r="AV279" s="195">
        <v>55.67138633888284</v>
      </c>
      <c r="AW279" s="195">
        <v>0.32521760818367057</v>
      </c>
      <c r="AX279" s="195">
        <v>800</v>
      </c>
      <c r="AY279" s="195">
        <v>6107</v>
      </c>
      <c r="AZ279" s="195">
        <v>0.13099721630915342</v>
      </c>
      <c r="BA279" s="195">
        <v>0.06597441610648495</v>
      </c>
      <c r="BB279" s="195">
        <v>0</v>
      </c>
      <c r="BC279" s="195">
        <v>8389</v>
      </c>
      <c r="BD279" s="195">
        <v>7522</v>
      </c>
      <c r="BE279" s="195">
        <v>1.1152618984312683</v>
      </c>
      <c r="BF279" s="195">
        <v>0.6843203803889623</v>
      </c>
      <c r="BG279" s="195">
        <v>0</v>
      </c>
      <c r="BH279" s="195">
        <v>0</v>
      </c>
      <c r="BI279" s="195">
        <v>0</v>
      </c>
      <c r="BJ279" s="195">
        <v>-5152.32</v>
      </c>
      <c r="BK279" s="195">
        <v>-88018.79999999999</v>
      </c>
      <c r="BL279" s="195">
        <v>-6011.040000000001</v>
      </c>
      <c r="BM279" s="195">
        <v>-30699.239999999998</v>
      </c>
      <c r="BN279" s="195">
        <v>-858.72</v>
      </c>
      <c r="BO279" s="195">
        <v>496889</v>
      </c>
      <c r="BP279" s="195">
        <v>-1219012.1481790582</v>
      </c>
      <c r="BQ279" s="195">
        <v>-1834869.96</v>
      </c>
      <c r="BR279" s="195">
        <v>-27351.97135592252</v>
      </c>
      <c r="BS279" s="195">
        <v>1653793</v>
      </c>
      <c r="BT279" s="195">
        <v>512148</v>
      </c>
      <c r="BU279" s="195">
        <v>1193037.444890245</v>
      </c>
      <c r="BV279" s="195">
        <v>56295.40430510851</v>
      </c>
      <c r="BW279" s="195">
        <v>159674.2018735389</v>
      </c>
      <c r="BX279" s="195">
        <v>682568.9884026675</v>
      </c>
      <c r="BY279" s="195">
        <v>970869.2276908858</v>
      </c>
      <c r="BZ279" s="195">
        <v>1570206.396035505</v>
      </c>
      <c r="CA279" s="195">
        <v>492161.0758541053</v>
      </c>
      <c r="CB279" s="195">
        <v>1932.12</v>
      </c>
      <c r="CC279" s="195">
        <v>208764.35289750661</v>
      </c>
      <c r="CD279" s="195">
        <v>7972275.320593638</v>
      </c>
      <c r="CE279" s="195">
        <v>4154347.0924145803</v>
      </c>
      <c r="CF279" s="195">
        <v>0</v>
      </c>
      <c r="CG279" s="229">
        <v>7875991.849106513</v>
      </c>
      <c r="CH279" s="195">
        <v>-2048421</v>
      </c>
      <c r="CI279" s="195">
        <v>79417.13959999994</v>
      </c>
      <c r="CJ279" s="195">
        <v>47901487.905140005</v>
      </c>
      <c r="CL279" s="195">
        <v>21638</v>
      </c>
    </row>
    <row r="280" spans="1:90" ht="9.75">
      <c r="A280" s="195">
        <v>918</v>
      </c>
      <c r="B280" s="195" t="s">
        <v>347</v>
      </c>
      <c r="C280" s="195">
        <v>2277</v>
      </c>
      <c r="D280" s="195">
        <v>8165263.62</v>
      </c>
      <c r="E280" s="195">
        <v>2875005.590615697</v>
      </c>
      <c r="F280" s="195">
        <v>413363.88418230804</v>
      </c>
      <c r="G280" s="195">
        <v>11453633.094798006</v>
      </c>
      <c r="H280" s="195">
        <v>3540.31</v>
      </c>
      <c r="I280" s="195">
        <v>8061285.87</v>
      </c>
      <c r="J280" s="195">
        <v>3392347.224798006</v>
      </c>
      <c r="K280" s="195">
        <v>47087.97864915116</v>
      </c>
      <c r="L280" s="195">
        <v>673739.8993515365</v>
      </c>
      <c r="M280" s="195">
        <v>0</v>
      </c>
      <c r="N280" s="195">
        <v>4113175.102798694</v>
      </c>
      <c r="O280" s="195">
        <v>1576166.5443981388</v>
      </c>
      <c r="P280" s="195">
        <v>5689341.647196833</v>
      </c>
      <c r="Q280" s="195">
        <v>121</v>
      </c>
      <c r="R280" s="195">
        <v>20</v>
      </c>
      <c r="S280" s="195">
        <v>135</v>
      </c>
      <c r="T280" s="195">
        <v>62</v>
      </c>
      <c r="U280" s="195">
        <v>83</v>
      </c>
      <c r="V280" s="195">
        <v>1226</v>
      </c>
      <c r="W280" s="195">
        <v>339</v>
      </c>
      <c r="X280" s="195">
        <v>189</v>
      </c>
      <c r="Y280" s="195">
        <v>102</v>
      </c>
      <c r="Z280" s="195">
        <v>17</v>
      </c>
      <c r="AA280" s="195">
        <v>0</v>
      </c>
      <c r="AB280" s="195">
        <v>2220</v>
      </c>
      <c r="AC280" s="195">
        <v>40</v>
      </c>
      <c r="AD280" s="195">
        <v>630</v>
      </c>
      <c r="AE280" s="195">
        <v>1.1115863628915816</v>
      </c>
      <c r="AF280" s="195">
        <v>2875005.590615697</v>
      </c>
      <c r="AG280" s="195">
        <v>5881051.990319631</v>
      </c>
      <c r="AH280" s="195">
        <v>1861327.637565237</v>
      </c>
      <c r="AI280" s="195">
        <v>535148.435988748</v>
      </c>
      <c r="AJ280" s="195">
        <v>103</v>
      </c>
      <c r="AK280" s="195">
        <v>1096</v>
      </c>
      <c r="AL280" s="195">
        <v>0.7077913294363015</v>
      </c>
      <c r="AM280" s="195">
        <v>40</v>
      </c>
      <c r="AN280" s="195">
        <v>0.01756697408871322</v>
      </c>
      <c r="AO280" s="195">
        <v>0.013598720120459252</v>
      </c>
      <c r="AP280" s="195">
        <v>0</v>
      </c>
      <c r="AQ280" s="195">
        <v>17</v>
      </c>
      <c r="AR280" s="195">
        <v>0</v>
      </c>
      <c r="AS280" s="195">
        <v>0</v>
      </c>
      <c r="AT280" s="195">
        <v>0</v>
      </c>
      <c r="AU280" s="195">
        <v>188.78</v>
      </c>
      <c r="AV280" s="195">
        <v>12.061659074054456</v>
      </c>
      <c r="AW280" s="195">
        <v>1.501063410782888</v>
      </c>
      <c r="AX280" s="195">
        <v>102</v>
      </c>
      <c r="AY280" s="195">
        <v>656</v>
      </c>
      <c r="AZ280" s="195">
        <v>0.15548780487804878</v>
      </c>
      <c r="BA280" s="195">
        <v>0.09046500467538031</v>
      </c>
      <c r="BB280" s="195">
        <v>0</v>
      </c>
      <c r="BC280" s="195">
        <v>748</v>
      </c>
      <c r="BD280" s="195">
        <v>986</v>
      </c>
      <c r="BE280" s="195">
        <v>0.7586206896551724</v>
      </c>
      <c r="BF280" s="195">
        <v>0.3276791716128663</v>
      </c>
      <c r="BG280" s="195">
        <v>0</v>
      </c>
      <c r="BH280" s="195">
        <v>0</v>
      </c>
      <c r="BI280" s="195">
        <v>0</v>
      </c>
      <c r="BJ280" s="195">
        <v>-546.48</v>
      </c>
      <c r="BK280" s="195">
        <v>-9335.699999999999</v>
      </c>
      <c r="BL280" s="195">
        <v>-637.5600000000001</v>
      </c>
      <c r="BM280" s="195">
        <v>-3256.1099999999997</v>
      </c>
      <c r="BN280" s="195">
        <v>-91.08</v>
      </c>
      <c r="BO280" s="195">
        <v>-27273</v>
      </c>
      <c r="BP280" s="195">
        <v>-109546.02398490511</v>
      </c>
      <c r="BQ280" s="195">
        <v>-194615.19</v>
      </c>
      <c r="BR280" s="195">
        <v>4954.212569518015</v>
      </c>
      <c r="BS280" s="195">
        <v>248075</v>
      </c>
      <c r="BT280" s="195">
        <v>85184</v>
      </c>
      <c r="BU280" s="195">
        <v>189146.4491313759</v>
      </c>
      <c r="BV280" s="195">
        <v>8965.572928964224</v>
      </c>
      <c r="BW280" s="195">
        <v>6698.7777193360425</v>
      </c>
      <c r="BX280" s="195">
        <v>69879.02413088459</v>
      </c>
      <c r="BY280" s="195">
        <v>152070.0449183733</v>
      </c>
      <c r="BZ280" s="195">
        <v>249805.59383009965</v>
      </c>
      <c r="CA280" s="195">
        <v>73774.28286332924</v>
      </c>
      <c r="CB280" s="195">
        <v>204.92999999999998</v>
      </c>
      <c r="CC280" s="195">
        <v>-2681.9647554392523</v>
      </c>
      <c r="CD280" s="195">
        <v>1058939.5433364417</v>
      </c>
      <c r="CE280" s="195">
        <v>673739.8993515365</v>
      </c>
      <c r="CF280" s="195">
        <v>0</v>
      </c>
      <c r="CG280" s="229">
        <v>1576166.5443981388</v>
      </c>
      <c r="CH280" s="195">
        <v>-492832</v>
      </c>
      <c r="CI280" s="195">
        <v>-13036.299999999996</v>
      </c>
      <c r="CJ280" s="195">
        <v>5196509.647196833</v>
      </c>
      <c r="CL280" s="195">
        <v>2276</v>
      </c>
    </row>
    <row r="281" spans="1:90" ht="9.75">
      <c r="A281" s="195">
        <v>921</v>
      </c>
      <c r="B281" s="195" t="s">
        <v>348</v>
      </c>
      <c r="C281" s="195">
        <v>2148</v>
      </c>
      <c r="D281" s="195">
        <v>8075749.470000001</v>
      </c>
      <c r="E281" s="195">
        <v>4830984.85778249</v>
      </c>
      <c r="F281" s="195">
        <v>625858.6990684889</v>
      </c>
      <c r="G281" s="195">
        <v>13532593.026850978</v>
      </c>
      <c r="H281" s="195">
        <v>3540.31</v>
      </c>
      <c r="I281" s="195">
        <v>7604585.88</v>
      </c>
      <c r="J281" s="195">
        <v>5928007.146850978</v>
      </c>
      <c r="K281" s="195">
        <v>421503.51723899634</v>
      </c>
      <c r="L281" s="195">
        <v>887446.5942743141</v>
      </c>
      <c r="M281" s="195">
        <v>0</v>
      </c>
      <c r="N281" s="195">
        <v>7236957.258364288</v>
      </c>
      <c r="O281" s="195">
        <v>2410677.5424266662</v>
      </c>
      <c r="P281" s="195">
        <v>9647634.800790954</v>
      </c>
      <c r="Q281" s="195">
        <v>77</v>
      </c>
      <c r="R281" s="195">
        <v>14</v>
      </c>
      <c r="S281" s="195">
        <v>105</v>
      </c>
      <c r="T281" s="195">
        <v>55</v>
      </c>
      <c r="U281" s="195">
        <v>58</v>
      </c>
      <c r="V281" s="195">
        <v>1035</v>
      </c>
      <c r="W281" s="195">
        <v>416</v>
      </c>
      <c r="X281" s="195">
        <v>269</v>
      </c>
      <c r="Y281" s="195">
        <v>119</v>
      </c>
      <c r="Z281" s="195">
        <v>4</v>
      </c>
      <c r="AA281" s="195">
        <v>0</v>
      </c>
      <c r="AB281" s="195">
        <v>2114</v>
      </c>
      <c r="AC281" s="195">
        <v>30</v>
      </c>
      <c r="AD281" s="195">
        <v>804</v>
      </c>
      <c r="AE281" s="195">
        <v>1.9800171249199257</v>
      </c>
      <c r="AF281" s="195">
        <v>4830984.85778249</v>
      </c>
      <c r="AG281" s="195">
        <v>44202993.93329684</v>
      </c>
      <c r="AH281" s="195">
        <v>9910539.456659945</v>
      </c>
      <c r="AI281" s="195">
        <v>4878769.908097419</v>
      </c>
      <c r="AJ281" s="195">
        <v>113</v>
      </c>
      <c r="AK281" s="195">
        <v>843</v>
      </c>
      <c r="AL281" s="195">
        <v>1.0095537270730641</v>
      </c>
      <c r="AM281" s="195">
        <v>30</v>
      </c>
      <c r="AN281" s="195">
        <v>0.013966480446927373</v>
      </c>
      <c r="AO281" s="195">
        <v>0.009998226478673405</v>
      </c>
      <c r="AP281" s="195">
        <v>0</v>
      </c>
      <c r="AQ281" s="195">
        <v>4</v>
      </c>
      <c r="AR281" s="195">
        <v>0</v>
      </c>
      <c r="AS281" s="195">
        <v>0</v>
      </c>
      <c r="AT281" s="195">
        <v>0</v>
      </c>
      <c r="AU281" s="195">
        <v>422.63</v>
      </c>
      <c r="AV281" s="195">
        <v>5.082459834843717</v>
      </c>
      <c r="AW281" s="195">
        <v>3.562313465868694</v>
      </c>
      <c r="AX281" s="195">
        <v>98</v>
      </c>
      <c r="AY281" s="195">
        <v>535</v>
      </c>
      <c r="AZ281" s="195">
        <v>0.18317757009345795</v>
      </c>
      <c r="BA281" s="195">
        <v>0.11815476989078948</v>
      </c>
      <c r="BB281" s="195">
        <v>0.806583</v>
      </c>
      <c r="BC281" s="195">
        <v>617</v>
      </c>
      <c r="BD281" s="195">
        <v>699</v>
      </c>
      <c r="BE281" s="195">
        <v>0.882689556509299</v>
      </c>
      <c r="BF281" s="195">
        <v>0.45174803846699296</v>
      </c>
      <c r="BG281" s="195">
        <v>0</v>
      </c>
      <c r="BH281" s="195">
        <v>0</v>
      </c>
      <c r="BI281" s="195">
        <v>0</v>
      </c>
      <c r="BJ281" s="195">
        <v>-515.52</v>
      </c>
      <c r="BK281" s="195">
        <v>-8806.8</v>
      </c>
      <c r="BL281" s="195">
        <v>-601.44</v>
      </c>
      <c r="BM281" s="195">
        <v>-3071.64</v>
      </c>
      <c r="BN281" s="195">
        <v>-85.92</v>
      </c>
      <c r="BO281" s="195">
        <v>-66078</v>
      </c>
      <c r="BP281" s="195">
        <v>-66527.95063923461</v>
      </c>
      <c r="BQ281" s="195">
        <v>-183589.56</v>
      </c>
      <c r="BR281" s="195">
        <v>186918.53762630746</v>
      </c>
      <c r="BS281" s="195">
        <v>272212</v>
      </c>
      <c r="BT281" s="195">
        <v>80979</v>
      </c>
      <c r="BU281" s="195">
        <v>222117.1668681534</v>
      </c>
      <c r="BV281" s="195">
        <v>13393.678597821072</v>
      </c>
      <c r="BW281" s="195">
        <v>24441.04425130178</v>
      </c>
      <c r="BX281" s="195">
        <v>105814.7538803817</v>
      </c>
      <c r="BY281" s="195">
        <v>121929.47807716508</v>
      </c>
      <c r="BZ281" s="195">
        <v>201205.73777891742</v>
      </c>
      <c r="CA281" s="195">
        <v>57498.88015746747</v>
      </c>
      <c r="CB281" s="195">
        <v>193.32</v>
      </c>
      <c r="CC281" s="195">
        <v>-6743.0523239666945</v>
      </c>
      <c r="CD281" s="195">
        <v>1214011.4249135486</v>
      </c>
      <c r="CE281" s="195">
        <v>887446.5942743141</v>
      </c>
      <c r="CF281" s="195">
        <v>0</v>
      </c>
      <c r="CG281" s="229">
        <v>2410677.5424266662</v>
      </c>
      <c r="CH281" s="195">
        <v>-23562</v>
      </c>
      <c r="CI281" s="195">
        <v>123062.672</v>
      </c>
      <c r="CJ281" s="195">
        <v>9624072.800790954</v>
      </c>
      <c r="CL281" s="195">
        <v>2191</v>
      </c>
    </row>
    <row r="282" spans="1:90" ht="9.75">
      <c r="A282" s="195">
        <v>922</v>
      </c>
      <c r="B282" s="195" t="s">
        <v>349</v>
      </c>
      <c r="C282" s="195">
        <v>4462</v>
      </c>
      <c r="D282" s="195">
        <v>16837758.74</v>
      </c>
      <c r="E282" s="195">
        <v>3701546.8816071255</v>
      </c>
      <c r="F282" s="195">
        <v>688830.6972053733</v>
      </c>
      <c r="G282" s="195">
        <v>21228136.318812497</v>
      </c>
      <c r="H282" s="195">
        <v>3540.31</v>
      </c>
      <c r="I282" s="195">
        <v>15796863.22</v>
      </c>
      <c r="J282" s="195">
        <v>5431273.098812496</v>
      </c>
      <c r="K282" s="195">
        <v>5140.928111174953</v>
      </c>
      <c r="L282" s="195">
        <v>884575.0895734538</v>
      </c>
      <c r="M282" s="195">
        <v>0</v>
      </c>
      <c r="N282" s="195">
        <v>6320989.1164971255</v>
      </c>
      <c r="O282" s="195">
        <v>2043588.8458158127</v>
      </c>
      <c r="P282" s="195">
        <v>8364577.962312939</v>
      </c>
      <c r="Q282" s="195">
        <v>329</v>
      </c>
      <c r="R282" s="195">
        <v>64</v>
      </c>
      <c r="S282" s="195">
        <v>436</v>
      </c>
      <c r="T282" s="195">
        <v>236</v>
      </c>
      <c r="U282" s="195">
        <v>187</v>
      </c>
      <c r="V282" s="195">
        <v>2444</v>
      </c>
      <c r="W282" s="195">
        <v>416</v>
      </c>
      <c r="X282" s="195">
        <v>242</v>
      </c>
      <c r="Y282" s="195">
        <v>108</v>
      </c>
      <c r="Z282" s="195">
        <v>14</v>
      </c>
      <c r="AA282" s="195">
        <v>0</v>
      </c>
      <c r="AB282" s="195">
        <v>4377</v>
      </c>
      <c r="AC282" s="195">
        <v>71</v>
      </c>
      <c r="AD282" s="195">
        <v>766</v>
      </c>
      <c r="AE282" s="195">
        <v>0.730333522868505</v>
      </c>
      <c r="AF282" s="195">
        <v>3701546.8816071255</v>
      </c>
      <c r="AG282" s="195">
        <v>3512950.679618233</v>
      </c>
      <c r="AH282" s="195">
        <v>797226.6578380339</v>
      </c>
      <c r="AI282" s="195">
        <v>401361.326991561</v>
      </c>
      <c r="AJ282" s="195">
        <v>248</v>
      </c>
      <c r="AK282" s="195">
        <v>2113</v>
      </c>
      <c r="AL282" s="195">
        <v>0.8839562103824326</v>
      </c>
      <c r="AM282" s="195">
        <v>71</v>
      </c>
      <c r="AN282" s="195">
        <v>0.01591214701927387</v>
      </c>
      <c r="AO282" s="195">
        <v>0.0119438930510199</v>
      </c>
      <c r="AP282" s="195">
        <v>0</v>
      </c>
      <c r="AQ282" s="195">
        <v>14</v>
      </c>
      <c r="AR282" s="195">
        <v>0</v>
      </c>
      <c r="AS282" s="195">
        <v>0</v>
      </c>
      <c r="AT282" s="195">
        <v>0</v>
      </c>
      <c r="AU282" s="195">
        <v>300.92</v>
      </c>
      <c r="AV282" s="195">
        <v>14.827861225574903</v>
      </c>
      <c r="AW282" s="195">
        <v>1.2210334878352338</v>
      </c>
      <c r="AX282" s="195">
        <v>132</v>
      </c>
      <c r="AY282" s="195">
        <v>1613</v>
      </c>
      <c r="AZ282" s="195">
        <v>0.08183508989460632</v>
      </c>
      <c r="BA282" s="195">
        <v>0.01681228969193785</v>
      </c>
      <c r="BB282" s="195">
        <v>0</v>
      </c>
      <c r="BC282" s="195">
        <v>840</v>
      </c>
      <c r="BD282" s="195">
        <v>1870</v>
      </c>
      <c r="BE282" s="195">
        <v>0.44919786096256686</v>
      </c>
      <c r="BF282" s="195">
        <v>0.018256342920260793</v>
      </c>
      <c r="BG282" s="195">
        <v>0</v>
      </c>
      <c r="BH282" s="195">
        <v>0</v>
      </c>
      <c r="BI282" s="195">
        <v>0</v>
      </c>
      <c r="BJ282" s="195">
        <v>-1070.8799999999999</v>
      </c>
      <c r="BK282" s="195">
        <v>-18294.199999999997</v>
      </c>
      <c r="BL282" s="195">
        <v>-1249.3600000000001</v>
      </c>
      <c r="BM282" s="195">
        <v>-6380.66</v>
      </c>
      <c r="BN282" s="195">
        <v>-178.48</v>
      </c>
      <c r="BO282" s="195">
        <v>7844</v>
      </c>
      <c r="BP282" s="195">
        <v>-75031.52327733226</v>
      </c>
      <c r="BQ282" s="195">
        <v>-381367.14</v>
      </c>
      <c r="BR282" s="195">
        <v>-17408.788966968656</v>
      </c>
      <c r="BS282" s="195">
        <v>372593</v>
      </c>
      <c r="BT282" s="195">
        <v>113630</v>
      </c>
      <c r="BU282" s="195">
        <v>247453.05399288182</v>
      </c>
      <c r="BV282" s="195">
        <v>4791.849889109826</v>
      </c>
      <c r="BW282" s="195">
        <v>24729.80966282126</v>
      </c>
      <c r="BX282" s="195">
        <v>87174.84135904237</v>
      </c>
      <c r="BY282" s="195">
        <v>227204.16309526682</v>
      </c>
      <c r="BZ282" s="195">
        <v>331634.24889975326</v>
      </c>
      <c r="CA282" s="195">
        <v>86689.61536442356</v>
      </c>
      <c r="CB282" s="195">
        <v>401.58</v>
      </c>
      <c r="CC282" s="195">
        <v>12771.239554456046</v>
      </c>
      <c r="CD282" s="195">
        <v>1499776.3328507862</v>
      </c>
      <c r="CE282" s="195">
        <v>884575.0895734538</v>
      </c>
      <c r="CF282" s="195">
        <v>0</v>
      </c>
      <c r="CG282" s="229">
        <v>2043588.8458158127</v>
      </c>
      <c r="CH282" s="195">
        <v>-912265</v>
      </c>
      <c r="CI282" s="195">
        <v>-28288.77099999998</v>
      </c>
      <c r="CJ282" s="195">
        <v>7452312.962312939</v>
      </c>
      <c r="CL282" s="195">
        <v>4489</v>
      </c>
    </row>
    <row r="283" spans="1:90" ht="9.75">
      <c r="A283" s="195">
        <v>924</v>
      </c>
      <c r="B283" s="195" t="s">
        <v>350</v>
      </c>
      <c r="C283" s="195">
        <v>3259</v>
      </c>
      <c r="D283" s="195">
        <v>11770199.73</v>
      </c>
      <c r="E283" s="195">
        <v>4751377.706952244</v>
      </c>
      <c r="F283" s="195">
        <v>716020.8325455613</v>
      </c>
      <c r="G283" s="195">
        <v>17237598.269497804</v>
      </c>
      <c r="H283" s="195">
        <v>3540.31</v>
      </c>
      <c r="I283" s="195">
        <v>11537870.29</v>
      </c>
      <c r="J283" s="195">
        <v>5699727.979497805</v>
      </c>
      <c r="K283" s="195">
        <v>212152.7707938375</v>
      </c>
      <c r="L283" s="195">
        <v>1176879.2335117534</v>
      </c>
      <c r="M283" s="195">
        <v>0</v>
      </c>
      <c r="N283" s="195">
        <v>7088759.983803396</v>
      </c>
      <c r="O283" s="195">
        <v>2484016.236683637</v>
      </c>
      <c r="P283" s="195">
        <v>9572776.220487032</v>
      </c>
      <c r="Q283" s="195">
        <v>190</v>
      </c>
      <c r="R283" s="195">
        <v>36</v>
      </c>
      <c r="S283" s="195">
        <v>223</v>
      </c>
      <c r="T283" s="195">
        <v>104</v>
      </c>
      <c r="U283" s="195">
        <v>100</v>
      </c>
      <c r="V283" s="195">
        <v>1727</v>
      </c>
      <c r="W283" s="195">
        <v>456</v>
      </c>
      <c r="X283" s="195">
        <v>307</v>
      </c>
      <c r="Y283" s="195">
        <v>116</v>
      </c>
      <c r="Z283" s="195">
        <v>51</v>
      </c>
      <c r="AA283" s="195">
        <v>0</v>
      </c>
      <c r="AB283" s="195">
        <v>3131</v>
      </c>
      <c r="AC283" s="195">
        <v>77</v>
      </c>
      <c r="AD283" s="195">
        <v>879</v>
      </c>
      <c r="AE283" s="195">
        <v>1.283520301870416</v>
      </c>
      <c r="AF283" s="195">
        <v>4751377.706952244</v>
      </c>
      <c r="AG283" s="195">
        <v>5508664.548772153</v>
      </c>
      <c r="AH283" s="195">
        <v>1878724.2810028652</v>
      </c>
      <c r="AI283" s="195">
        <v>499471.8735894981</v>
      </c>
      <c r="AJ283" s="195">
        <v>129</v>
      </c>
      <c r="AK283" s="195">
        <v>1512</v>
      </c>
      <c r="AL283" s="195">
        <v>0.6425641426582297</v>
      </c>
      <c r="AM283" s="195">
        <v>77</v>
      </c>
      <c r="AN283" s="195">
        <v>0.023626879410862226</v>
      </c>
      <c r="AO283" s="195">
        <v>0.019658625442608258</v>
      </c>
      <c r="AP283" s="195">
        <v>0</v>
      </c>
      <c r="AQ283" s="195">
        <v>51</v>
      </c>
      <c r="AR283" s="195">
        <v>0</v>
      </c>
      <c r="AS283" s="195">
        <v>0</v>
      </c>
      <c r="AT283" s="195">
        <v>0</v>
      </c>
      <c r="AU283" s="195">
        <v>502.32</v>
      </c>
      <c r="AV283" s="195">
        <v>6.487896161809205</v>
      </c>
      <c r="AW283" s="195">
        <v>2.7906296059386575</v>
      </c>
      <c r="AX283" s="195">
        <v>99</v>
      </c>
      <c r="AY283" s="195">
        <v>889</v>
      </c>
      <c r="AZ283" s="195">
        <v>0.11136107986501688</v>
      </c>
      <c r="BA283" s="195">
        <v>0.04633827966234841</v>
      </c>
      <c r="BB283" s="195">
        <v>0.198866</v>
      </c>
      <c r="BC283" s="195">
        <v>1122</v>
      </c>
      <c r="BD283" s="195">
        <v>1390</v>
      </c>
      <c r="BE283" s="195">
        <v>0.8071942446043165</v>
      </c>
      <c r="BF283" s="195">
        <v>0.3762527265620105</v>
      </c>
      <c r="BG283" s="195">
        <v>0</v>
      </c>
      <c r="BH283" s="195">
        <v>0</v>
      </c>
      <c r="BI283" s="195">
        <v>0</v>
      </c>
      <c r="BJ283" s="195">
        <v>-782.16</v>
      </c>
      <c r="BK283" s="195">
        <v>-13361.9</v>
      </c>
      <c r="BL283" s="195">
        <v>-912.5200000000001</v>
      </c>
      <c r="BM283" s="195">
        <v>-4660.37</v>
      </c>
      <c r="BN283" s="195">
        <v>-130.36</v>
      </c>
      <c r="BO283" s="195">
        <v>-2352</v>
      </c>
      <c r="BP283" s="195">
        <v>-61025.63893223024</v>
      </c>
      <c r="BQ283" s="195">
        <v>-278546.73</v>
      </c>
      <c r="BR283" s="195">
        <v>96922.8365674261</v>
      </c>
      <c r="BS283" s="195">
        <v>317973</v>
      </c>
      <c r="BT283" s="195">
        <v>108817</v>
      </c>
      <c r="BU283" s="195">
        <v>294373.6014908999</v>
      </c>
      <c r="BV283" s="195">
        <v>16327.450232480376</v>
      </c>
      <c r="BW283" s="195">
        <v>23733.81038234982</v>
      </c>
      <c r="BX283" s="195">
        <v>124141.35144134986</v>
      </c>
      <c r="BY283" s="195">
        <v>210098.3103882597</v>
      </c>
      <c r="BZ283" s="195">
        <v>352062.1337239467</v>
      </c>
      <c r="CA283" s="195">
        <v>111443.03928120402</v>
      </c>
      <c r="CB283" s="195">
        <v>293.31</v>
      </c>
      <c r="CC283" s="195">
        <v>-21589.971063933</v>
      </c>
      <c r="CD283" s="195">
        <v>1632439.4124439836</v>
      </c>
      <c r="CE283" s="195">
        <v>1176879.2335117534</v>
      </c>
      <c r="CF283" s="195">
        <v>0</v>
      </c>
      <c r="CG283" s="229">
        <v>2484016.236683637</v>
      </c>
      <c r="CH283" s="195">
        <v>196548</v>
      </c>
      <c r="CI283" s="195">
        <v>6518.1500000000015</v>
      </c>
      <c r="CJ283" s="195">
        <v>9769324.220487032</v>
      </c>
      <c r="CL283" s="195">
        <v>3302</v>
      </c>
    </row>
    <row r="284" spans="1:90" ht="9.75">
      <c r="A284" s="195">
        <v>925</v>
      </c>
      <c r="B284" s="195" t="s">
        <v>351</v>
      </c>
      <c r="C284" s="195">
        <v>3721</v>
      </c>
      <c r="D284" s="195">
        <v>13182165.200000001</v>
      </c>
      <c r="E284" s="195">
        <v>6333071.07912266</v>
      </c>
      <c r="F284" s="195">
        <v>1199995.3270670574</v>
      </c>
      <c r="G284" s="195">
        <v>20715231.60618972</v>
      </c>
      <c r="H284" s="195">
        <v>3540.31</v>
      </c>
      <c r="I284" s="195">
        <v>13173493.51</v>
      </c>
      <c r="J284" s="195">
        <v>7541738.096189721</v>
      </c>
      <c r="K284" s="195">
        <v>335017.02019917563</v>
      </c>
      <c r="L284" s="195">
        <v>1334289.112601979</v>
      </c>
      <c r="M284" s="195">
        <v>0</v>
      </c>
      <c r="N284" s="195">
        <v>9211044.228990875</v>
      </c>
      <c r="O284" s="195">
        <v>2082840.1729942851</v>
      </c>
      <c r="P284" s="195">
        <v>11293884.401985161</v>
      </c>
      <c r="Q284" s="195">
        <v>225</v>
      </c>
      <c r="R284" s="195">
        <v>49</v>
      </c>
      <c r="S284" s="195">
        <v>219</v>
      </c>
      <c r="T284" s="195">
        <v>127</v>
      </c>
      <c r="U284" s="195">
        <v>120</v>
      </c>
      <c r="V284" s="195">
        <v>2047</v>
      </c>
      <c r="W284" s="195">
        <v>504</v>
      </c>
      <c r="X284" s="195">
        <v>298</v>
      </c>
      <c r="Y284" s="195">
        <v>132</v>
      </c>
      <c r="Z284" s="195">
        <v>3</v>
      </c>
      <c r="AA284" s="195">
        <v>0</v>
      </c>
      <c r="AB284" s="195">
        <v>3629</v>
      </c>
      <c r="AC284" s="195">
        <v>89</v>
      </c>
      <c r="AD284" s="195">
        <v>934</v>
      </c>
      <c r="AE284" s="195">
        <v>1.498380938454399</v>
      </c>
      <c r="AF284" s="195">
        <v>6333071.07912266</v>
      </c>
      <c r="AG284" s="195">
        <v>5112191.361071885</v>
      </c>
      <c r="AH284" s="195">
        <v>939984.7969368355</v>
      </c>
      <c r="AI284" s="195">
        <v>401361.326991561</v>
      </c>
      <c r="AJ284" s="195">
        <v>198</v>
      </c>
      <c r="AK284" s="195">
        <v>1716</v>
      </c>
      <c r="AL284" s="195">
        <v>0.8690134022354591</v>
      </c>
      <c r="AM284" s="195">
        <v>89</v>
      </c>
      <c r="AN284" s="195">
        <v>0.02391830153184628</v>
      </c>
      <c r="AO284" s="195">
        <v>0.01995004756359231</v>
      </c>
      <c r="AP284" s="195">
        <v>0</v>
      </c>
      <c r="AQ284" s="195">
        <v>3</v>
      </c>
      <c r="AR284" s="195">
        <v>0</v>
      </c>
      <c r="AS284" s="195">
        <v>0</v>
      </c>
      <c r="AT284" s="195">
        <v>0</v>
      </c>
      <c r="AU284" s="195">
        <v>925.26</v>
      </c>
      <c r="AV284" s="195">
        <v>4.021572314808811</v>
      </c>
      <c r="AW284" s="195">
        <v>4.502048873454434</v>
      </c>
      <c r="AX284" s="195">
        <v>168</v>
      </c>
      <c r="AY284" s="195">
        <v>1095</v>
      </c>
      <c r="AZ284" s="195">
        <v>0.15342465753424658</v>
      </c>
      <c r="BA284" s="195">
        <v>0.08840185733157811</v>
      </c>
      <c r="BB284" s="195">
        <v>0.186616</v>
      </c>
      <c r="BC284" s="195">
        <v>1869</v>
      </c>
      <c r="BD284" s="195">
        <v>1504</v>
      </c>
      <c r="BE284" s="195">
        <v>1.242686170212766</v>
      </c>
      <c r="BF284" s="195">
        <v>0.81174465217046</v>
      </c>
      <c r="BG284" s="195">
        <v>0</v>
      </c>
      <c r="BH284" s="195">
        <v>0</v>
      </c>
      <c r="BI284" s="195">
        <v>0</v>
      </c>
      <c r="BJ284" s="195">
        <v>-893.04</v>
      </c>
      <c r="BK284" s="195">
        <v>-15256.099999999999</v>
      </c>
      <c r="BL284" s="195">
        <v>-1041.88</v>
      </c>
      <c r="BM284" s="195">
        <v>-5321.03</v>
      </c>
      <c r="BN284" s="195">
        <v>-148.84</v>
      </c>
      <c r="BO284" s="195">
        <v>81614</v>
      </c>
      <c r="BP284" s="195">
        <v>-60025.21862186582</v>
      </c>
      <c r="BQ284" s="195">
        <v>-318033.87</v>
      </c>
      <c r="BR284" s="195">
        <v>104347.35000475124</v>
      </c>
      <c r="BS284" s="195">
        <v>384706</v>
      </c>
      <c r="BT284" s="195">
        <v>121762</v>
      </c>
      <c r="BU284" s="195">
        <v>310293.88668585266</v>
      </c>
      <c r="BV284" s="195">
        <v>16652.30352597964</v>
      </c>
      <c r="BW284" s="195">
        <v>51151.930757798465</v>
      </c>
      <c r="BX284" s="195">
        <v>148958.9285510253</v>
      </c>
      <c r="BY284" s="195">
        <v>218427.78682115505</v>
      </c>
      <c r="BZ284" s="195">
        <v>366883.5387637215</v>
      </c>
      <c r="CA284" s="195">
        <v>99821.69151734018</v>
      </c>
      <c r="CB284" s="195">
        <v>334.89</v>
      </c>
      <c r="CC284" s="195">
        <v>-60398.975403779266</v>
      </c>
      <c r="CD284" s="195">
        <v>1844778.5912238448</v>
      </c>
      <c r="CE284" s="195">
        <v>1334289.112601979</v>
      </c>
      <c r="CF284" s="195">
        <v>0</v>
      </c>
      <c r="CG284" s="229">
        <v>2082840.1729942851</v>
      </c>
      <c r="CH284" s="195">
        <v>21504</v>
      </c>
      <c r="CI284" s="195">
        <v>54687.278499999986</v>
      </c>
      <c r="CJ284" s="195">
        <v>11315388.401985161</v>
      </c>
      <c r="CL284" s="195">
        <v>3757</v>
      </c>
    </row>
    <row r="285" spans="1:90" ht="9.75">
      <c r="A285" s="195">
        <v>927</v>
      </c>
      <c r="B285" s="195" t="s">
        <v>352</v>
      </c>
      <c r="C285" s="195">
        <v>28967</v>
      </c>
      <c r="D285" s="195">
        <v>96541402.22999999</v>
      </c>
      <c r="E285" s="195">
        <v>24352931.020191863</v>
      </c>
      <c r="F285" s="195">
        <v>5624181.467896713</v>
      </c>
      <c r="G285" s="195">
        <v>126518514.71808857</v>
      </c>
      <c r="H285" s="195">
        <v>3540.31</v>
      </c>
      <c r="I285" s="195">
        <v>102552159.77</v>
      </c>
      <c r="J285" s="195">
        <v>23966354.94808857</v>
      </c>
      <c r="K285" s="195">
        <v>326739.91150390287</v>
      </c>
      <c r="L285" s="195">
        <v>2839447.7459958764</v>
      </c>
      <c r="M285" s="195">
        <v>0</v>
      </c>
      <c r="N285" s="195">
        <v>27132542.60558835</v>
      </c>
      <c r="O285" s="195">
        <v>-1619606.07796206</v>
      </c>
      <c r="P285" s="195">
        <v>25512936.52762629</v>
      </c>
      <c r="Q285" s="195">
        <v>2005</v>
      </c>
      <c r="R285" s="195">
        <v>428</v>
      </c>
      <c r="S285" s="195">
        <v>2438</v>
      </c>
      <c r="T285" s="195">
        <v>1147</v>
      </c>
      <c r="U285" s="195">
        <v>1173</v>
      </c>
      <c r="V285" s="195">
        <v>16772</v>
      </c>
      <c r="W285" s="195">
        <v>3202</v>
      </c>
      <c r="X285" s="195">
        <v>1346</v>
      </c>
      <c r="Y285" s="195">
        <v>456</v>
      </c>
      <c r="Z285" s="195">
        <v>484</v>
      </c>
      <c r="AA285" s="195">
        <v>1</v>
      </c>
      <c r="AB285" s="195">
        <v>27150</v>
      </c>
      <c r="AC285" s="195">
        <v>1332</v>
      </c>
      <c r="AD285" s="195">
        <v>5004</v>
      </c>
      <c r="AE285" s="195">
        <v>0.7401423701386569</v>
      </c>
      <c r="AF285" s="195">
        <v>24352931.020191863</v>
      </c>
      <c r="AG285" s="195">
        <v>5955489.831310357</v>
      </c>
      <c r="AH285" s="195">
        <v>1524979.9521865374</v>
      </c>
      <c r="AI285" s="195">
        <v>490552.73298968555</v>
      </c>
      <c r="AJ285" s="195">
        <v>1482</v>
      </c>
      <c r="AK285" s="195">
        <v>14741</v>
      </c>
      <c r="AL285" s="195">
        <v>0.7571812046884361</v>
      </c>
      <c r="AM285" s="195">
        <v>1332</v>
      </c>
      <c r="AN285" s="195">
        <v>0.04598336037559982</v>
      </c>
      <c r="AO285" s="195">
        <v>0.042015106407345855</v>
      </c>
      <c r="AP285" s="195">
        <v>0</v>
      </c>
      <c r="AQ285" s="195">
        <v>484</v>
      </c>
      <c r="AR285" s="195">
        <v>1</v>
      </c>
      <c r="AS285" s="195">
        <v>0</v>
      </c>
      <c r="AT285" s="195">
        <v>0</v>
      </c>
      <c r="AU285" s="195">
        <v>522.06</v>
      </c>
      <c r="AV285" s="195">
        <v>55.48595946826036</v>
      </c>
      <c r="AW285" s="195">
        <v>0.32630444319445057</v>
      </c>
      <c r="AX285" s="195">
        <v>1586</v>
      </c>
      <c r="AY285" s="195">
        <v>10352</v>
      </c>
      <c r="AZ285" s="195">
        <v>0.15320710973724885</v>
      </c>
      <c r="BA285" s="195">
        <v>0.08818430953458038</v>
      </c>
      <c r="BB285" s="195">
        <v>0</v>
      </c>
      <c r="BC285" s="195">
        <v>8030</v>
      </c>
      <c r="BD285" s="195">
        <v>13171</v>
      </c>
      <c r="BE285" s="195">
        <v>0.6096727659251385</v>
      </c>
      <c r="BF285" s="195">
        <v>0.17873124788283246</v>
      </c>
      <c r="BG285" s="195">
        <v>0</v>
      </c>
      <c r="BH285" s="195">
        <v>1</v>
      </c>
      <c r="BI285" s="195">
        <v>0</v>
      </c>
      <c r="BJ285" s="195">
        <v>-6952.08</v>
      </c>
      <c r="BK285" s="195">
        <v>-118764.69999999998</v>
      </c>
      <c r="BL285" s="195">
        <v>-8110.760000000001</v>
      </c>
      <c r="BM285" s="195">
        <v>-41422.81</v>
      </c>
      <c r="BN285" s="195">
        <v>-1158.68</v>
      </c>
      <c r="BO285" s="195">
        <v>-203115</v>
      </c>
      <c r="BP285" s="195">
        <v>-1685708.2229640651</v>
      </c>
      <c r="BQ285" s="195">
        <v>-2475809.4899999998</v>
      </c>
      <c r="BR285" s="195">
        <v>94447.8555355221</v>
      </c>
      <c r="BS285" s="195">
        <v>2001890</v>
      </c>
      <c r="BT285" s="195">
        <v>666810</v>
      </c>
      <c r="BU285" s="195">
        <v>1272981.3959105464</v>
      </c>
      <c r="BV285" s="195">
        <v>-2804.2325492603327</v>
      </c>
      <c r="BW285" s="195">
        <v>-241738.51153038506</v>
      </c>
      <c r="BX285" s="195">
        <v>313170.3837544156</v>
      </c>
      <c r="BY285" s="195">
        <v>1325133.6142187256</v>
      </c>
      <c r="BZ285" s="195">
        <v>2049572.9673950246</v>
      </c>
      <c r="CA285" s="195">
        <v>639786.4839790193</v>
      </c>
      <c r="CB285" s="195">
        <v>2607.0299999999997</v>
      </c>
      <c r="CC285" s="195">
        <v>111420.98224633394</v>
      </c>
      <c r="CD285" s="195">
        <v>8031900.988959941</v>
      </c>
      <c r="CE285" s="195">
        <v>2839447.7459958764</v>
      </c>
      <c r="CF285" s="195">
        <v>0</v>
      </c>
      <c r="CG285" s="229">
        <v>-1619606.07796206</v>
      </c>
      <c r="CH285" s="195">
        <v>-2730786</v>
      </c>
      <c r="CI285" s="195">
        <v>-187678.39658000006</v>
      </c>
      <c r="CJ285" s="195">
        <v>22782150.52762629</v>
      </c>
      <c r="CL285" s="195">
        <v>28919</v>
      </c>
    </row>
    <row r="286" spans="1:90" ht="9.75">
      <c r="A286" s="195">
        <v>931</v>
      </c>
      <c r="B286" s="195" t="s">
        <v>353</v>
      </c>
      <c r="C286" s="195">
        <v>6607</v>
      </c>
      <c r="D286" s="195">
        <v>23668033.349999998</v>
      </c>
      <c r="E286" s="195">
        <v>12206891.839047726</v>
      </c>
      <c r="F286" s="195">
        <v>1971020.7703426897</v>
      </c>
      <c r="G286" s="195">
        <v>37845945.95939042</v>
      </c>
      <c r="H286" s="195">
        <v>3540.31</v>
      </c>
      <c r="I286" s="195">
        <v>23390828.169999998</v>
      </c>
      <c r="J286" s="195">
        <v>14455117.789390419</v>
      </c>
      <c r="K286" s="195">
        <v>2382569.5617615036</v>
      </c>
      <c r="L286" s="195">
        <v>1997833.6282471968</v>
      </c>
      <c r="M286" s="195">
        <v>0</v>
      </c>
      <c r="N286" s="195">
        <v>18835520.97939912</v>
      </c>
      <c r="O286" s="195">
        <v>5175833.472590472</v>
      </c>
      <c r="P286" s="195">
        <v>24011354.45198959</v>
      </c>
      <c r="Q286" s="195">
        <v>286</v>
      </c>
      <c r="R286" s="195">
        <v>53</v>
      </c>
      <c r="S286" s="195">
        <v>325</v>
      </c>
      <c r="T286" s="195">
        <v>196</v>
      </c>
      <c r="U286" s="195">
        <v>211</v>
      </c>
      <c r="V286" s="195">
        <v>3433</v>
      </c>
      <c r="W286" s="195">
        <v>1080</v>
      </c>
      <c r="X286" s="195">
        <v>735</v>
      </c>
      <c r="Y286" s="195">
        <v>288</v>
      </c>
      <c r="Z286" s="195">
        <v>9</v>
      </c>
      <c r="AA286" s="195">
        <v>0</v>
      </c>
      <c r="AB286" s="195">
        <v>6525</v>
      </c>
      <c r="AC286" s="195">
        <v>73</v>
      </c>
      <c r="AD286" s="195">
        <v>2103</v>
      </c>
      <c r="AE286" s="195">
        <v>1.6265534414628335</v>
      </c>
      <c r="AF286" s="195">
        <v>12206891.839047726</v>
      </c>
      <c r="AG286" s="195">
        <v>6779724.549106906</v>
      </c>
      <c r="AH286" s="195">
        <v>2504060.0259159603</v>
      </c>
      <c r="AI286" s="195">
        <v>686773.8261855597</v>
      </c>
      <c r="AJ286" s="195">
        <v>504</v>
      </c>
      <c r="AK286" s="195">
        <v>2819</v>
      </c>
      <c r="AL286" s="195">
        <v>1.3465237818249325</v>
      </c>
      <c r="AM286" s="195">
        <v>73</v>
      </c>
      <c r="AN286" s="195">
        <v>0.011048887543514454</v>
      </c>
      <c r="AO286" s="195">
        <v>0.007080633575260486</v>
      </c>
      <c r="AP286" s="195">
        <v>0</v>
      </c>
      <c r="AQ286" s="195">
        <v>9</v>
      </c>
      <c r="AR286" s="195">
        <v>0</v>
      </c>
      <c r="AS286" s="195">
        <v>0</v>
      </c>
      <c r="AT286" s="195">
        <v>0</v>
      </c>
      <c r="AU286" s="195">
        <v>1248.48</v>
      </c>
      <c r="AV286" s="195">
        <v>5.292035114699474</v>
      </c>
      <c r="AW286" s="195">
        <v>3.421238657149145</v>
      </c>
      <c r="AX286" s="195">
        <v>254</v>
      </c>
      <c r="AY286" s="195">
        <v>1660</v>
      </c>
      <c r="AZ286" s="195">
        <v>0.1530120481927711</v>
      </c>
      <c r="BA286" s="195">
        <v>0.08798924799010262</v>
      </c>
      <c r="BB286" s="195">
        <v>1.046533</v>
      </c>
      <c r="BC286" s="195">
        <v>2207</v>
      </c>
      <c r="BD286" s="195">
        <v>2269</v>
      </c>
      <c r="BE286" s="195">
        <v>0.9726751873071838</v>
      </c>
      <c r="BF286" s="195">
        <v>0.5417336692648778</v>
      </c>
      <c r="BG286" s="195">
        <v>0</v>
      </c>
      <c r="BH286" s="195">
        <v>0</v>
      </c>
      <c r="BI286" s="195">
        <v>0</v>
      </c>
      <c r="BJ286" s="195">
        <v>-1585.6799999999998</v>
      </c>
      <c r="BK286" s="195">
        <v>-27088.699999999997</v>
      </c>
      <c r="BL286" s="195">
        <v>-1849.9600000000003</v>
      </c>
      <c r="BM286" s="195">
        <v>-9448.01</v>
      </c>
      <c r="BN286" s="195">
        <v>-264.28000000000003</v>
      </c>
      <c r="BO286" s="195">
        <v>142346</v>
      </c>
      <c r="BP286" s="195">
        <v>-237599.8237115522</v>
      </c>
      <c r="BQ286" s="195">
        <v>-564700.29</v>
      </c>
      <c r="BR286" s="195">
        <v>-29884.02446912974</v>
      </c>
      <c r="BS286" s="195">
        <v>657403</v>
      </c>
      <c r="BT286" s="195">
        <v>205740</v>
      </c>
      <c r="BU286" s="195">
        <v>515917.62991671666</v>
      </c>
      <c r="BV286" s="195">
        <v>27738.114858243203</v>
      </c>
      <c r="BW286" s="195">
        <v>74511.39124093392</v>
      </c>
      <c r="BX286" s="195">
        <v>279038.2165761009</v>
      </c>
      <c r="BY286" s="195">
        <v>384013.8091867772</v>
      </c>
      <c r="BZ286" s="195">
        <v>605953.8217100743</v>
      </c>
      <c r="CA286" s="195">
        <v>188450.17172082822</v>
      </c>
      <c r="CB286" s="195">
        <v>594.63</v>
      </c>
      <c r="CC286" s="195">
        <v>-16942.308781795873</v>
      </c>
      <c r="CD286" s="195">
        <v>3035276.871958749</v>
      </c>
      <c r="CE286" s="195">
        <v>1997833.6282471968</v>
      </c>
      <c r="CF286" s="195">
        <v>0</v>
      </c>
      <c r="CG286" s="229">
        <v>5175833.472590472</v>
      </c>
      <c r="CH286" s="195">
        <v>-676448</v>
      </c>
      <c r="CI286" s="195">
        <v>-4403883.7571</v>
      </c>
      <c r="CJ286" s="195">
        <v>23334906.45198959</v>
      </c>
      <c r="CL286" s="195">
        <v>6666</v>
      </c>
    </row>
    <row r="287" spans="1:90" ht="9.75">
      <c r="A287" s="195">
        <v>934</v>
      </c>
      <c r="B287" s="195" t="s">
        <v>354</v>
      </c>
      <c r="C287" s="195">
        <v>3025</v>
      </c>
      <c r="D287" s="195">
        <v>11154666.43</v>
      </c>
      <c r="E287" s="195">
        <v>4535377.3500624355</v>
      </c>
      <c r="F287" s="195">
        <v>474407.2918184588</v>
      </c>
      <c r="G287" s="195">
        <v>16164451.071880894</v>
      </c>
      <c r="H287" s="195">
        <v>3540.31</v>
      </c>
      <c r="I287" s="195">
        <v>10709437.75</v>
      </c>
      <c r="J287" s="195">
        <v>5455013.321880894</v>
      </c>
      <c r="K287" s="195">
        <v>86647.44723319102</v>
      </c>
      <c r="L287" s="195">
        <v>838463.1812191935</v>
      </c>
      <c r="M287" s="195">
        <v>0</v>
      </c>
      <c r="N287" s="195">
        <v>6380123.950333278</v>
      </c>
      <c r="O287" s="195">
        <v>2149203.8327406743</v>
      </c>
      <c r="P287" s="195">
        <v>8529327.783073952</v>
      </c>
      <c r="Q287" s="195">
        <v>157</v>
      </c>
      <c r="R287" s="195">
        <v>36</v>
      </c>
      <c r="S287" s="195">
        <v>217</v>
      </c>
      <c r="T287" s="195">
        <v>104</v>
      </c>
      <c r="U287" s="195">
        <v>108</v>
      </c>
      <c r="V287" s="195">
        <v>1616</v>
      </c>
      <c r="W287" s="195">
        <v>404</v>
      </c>
      <c r="X287" s="195">
        <v>259</v>
      </c>
      <c r="Y287" s="195">
        <v>124</v>
      </c>
      <c r="Z287" s="195">
        <v>4</v>
      </c>
      <c r="AA287" s="195">
        <v>0</v>
      </c>
      <c r="AB287" s="195">
        <v>3002</v>
      </c>
      <c r="AC287" s="195">
        <v>19</v>
      </c>
      <c r="AD287" s="195">
        <v>787</v>
      </c>
      <c r="AE287" s="195">
        <v>1.3199442701177067</v>
      </c>
      <c r="AF287" s="195">
        <v>4535377.3500624355</v>
      </c>
      <c r="AG287" s="195">
        <v>31415147.737212364</v>
      </c>
      <c r="AH287" s="195">
        <v>5742816.908854012</v>
      </c>
      <c r="AI287" s="195">
        <v>3398192.568528549</v>
      </c>
      <c r="AJ287" s="195">
        <v>136</v>
      </c>
      <c r="AK287" s="195">
        <v>1352</v>
      </c>
      <c r="AL287" s="195">
        <v>0.7576014275898874</v>
      </c>
      <c r="AM287" s="195">
        <v>19</v>
      </c>
      <c r="AN287" s="195">
        <v>0.00628099173553719</v>
      </c>
      <c r="AO287" s="195">
        <v>0.002312737767283222</v>
      </c>
      <c r="AP287" s="195">
        <v>0</v>
      </c>
      <c r="AQ287" s="195">
        <v>4</v>
      </c>
      <c r="AR287" s="195">
        <v>0</v>
      </c>
      <c r="AS287" s="195">
        <v>0</v>
      </c>
      <c r="AT287" s="195">
        <v>0</v>
      </c>
      <c r="AU287" s="195">
        <v>287.33</v>
      </c>
      <c r="AV287" s="195">
        <v>10.527964361535517</v>
      </c>
      <c r="AW287" s="195">
        <v>1.719735600126962</v>
      </c>
      <c r="AX287" s="195">
        <v>96</v>
      </c>
      <c r="AY287" s="195">
        <v>837</v>
      </c>
      <c r="AZ287" s="195">
        <v>0.11469534050179211</v>
      </c>
      <c r="BA287" s="195">
        <v>0.049672540299123644</v>
      </c>
      <c r="BB287" s="195">
        <v>0</v>
      </c>
      <c r="BC287" s="195">
        <v>1037</v>
      </c>
      <c r="BD287" s="195">
        <v>1172</v>
      </c>
      <c r="BE287" s="195">
        <v>0.8848122866894198</v>
      </c>
      <c r="BF287" s="195">
        <v>0.45387076864711373</v>
      </c>
      <c r="BG287" s="195">
        <v>0</v>
      </c>
      <c r="BH287" s="195">
        <v>0</v>
      </c>
      <c r="BI287" s="195">
        <v>0</v>
      </c>
      <c r="BJ287" s="195">
        <v>-726</v>
      </c>
      <c r="BK287" s="195">
        <v>-12402.499999999998</v>
      </c>
      <c r="BL287" s="195">
        <v>-847.0000000000001</v>
      </c>
      <c r="BM287" s="195">
        <v>-4325.75</v>
      </c>
      <c r="BN287" s="195">
        <v>-121</v>
      </c>
      <c r="BO287" s="195">
        <v>-23874</v>
      </c>
      <c r="BP287" s="195">
        <v>-64026.89986332354</v>
      </c>
      <c r="BQ287" s="195">
        <v>-258546.75</v>
      </c>
      <c r="BR287" s="195">
        <v>62305.717786749825</v>
      </c>
      <c r="BS287" s="195">
        <v>269532</v>
      </c>
      <c r="BT287" s="195">
        <v>84479</v>
      </c>
      <c r="BU287" s="195">
        <v>192990.46542252702</v>
      </c>
      <c r="BV287" s="195">
        <v>11427.029083337118</v>
      </c>
      <c r="BW287" s="195">
        <v>35994.07553765644</v>
      </c>
      <c r="BX287" s="195">
        <v>114257.76571970747</v>
      </c>
      <c r="BY287" s="195">
        <v>156334.3171932257</v>
      </c>
      <c r="BZ287" s="195">
        <v>279271.3493261858</v>
      </c>
      <c r="CA287" s="195">
        <v>79838.45679682326</v>
      </c>
      <c r="CB287" s="195">
        <v>272.25</v>
      </c>
      <c r="CC287" s="195">
        <v>5686.654216304178</v>
      </c>
      <c r="CD287" s="195">
        <v>1268696.581082517</v>
      </c>
      <c r="CE287" s="195">
        <v>838463.1812191935</v>
      </c>
      <c r="CF287" s="195">
        <v>0</v>
      </c>
      <c r="CG287" s="229">
        <v>2149203.8327406743</v>
      </c>
      <c r="CH287" s="195">
        <v>-766528</v>
      </c>
      <c r="CI287" s="195">
        <v>-2669573.514</v>
      </c>
      <c r="CJ287" s="195">
        <v>7762799.783073952</v>
      </c>
      <c r="CL287" s="195">
        <v>3073</v>
      </c>
    </row>
    <row r="288" spans="1:90" ht="9.75">
      <c r="A288" s="195">
        <v>935</v>
      </c>
      <c r="B288" s="195" t="s">
        <v>355</v>
      </c>
      <c r="C288" s="195">
        <v>3267</v>
      </c>
      <c r="D288" s="195">
        <v>11742041.4</v>
      </c>
      <c r="E288" s="195">
        <v>4996689.779368003</v>
      </c>
      <c r="F288" s="195">
        <v>1017201.5151046354</v>
      </c>
      <c r="G288" s="195">
        <v>17755932.69447264</v>
      </c>
      <c r="H288" s="195">
        <v>3540.31</v>
      </c>
      <c r="I288" s="195">
        <v>11566192.77</v>
      </c>
      <c r="J288" s="195">
        <v>6189739.924472641</v>
      </c>
      <c r="K288" s="195">
        <v>160498.6787351157</v>
      </c>
      <c r="L288" s="195">
        <v>855806.2886550718</v>
      </c>
      <c r="M288" s="195">
        <v>0</v>
      </c>
      <c r="N288" s="195">
        <v>7206044.891862828</v>
      </c>
      <c r="O288" s="195">
        <v>2159637.0922520007</v>
      </c>
      <c r="P288" s="195">
        <v>9365681.98411483</v>
      </c>
      <c r="Q288" s="195">
        <v>139</v>
      </c>
      <c r="R288" s="195">
        <v>32</v>
      </c>
      <c r="S288" s="195">
        <v>201</v>
      </c>
      <c r="T288" s="195">
        <v>106</v>
      </c>
      <c r="U288" s="195">
        <v>77</v>
      </c>
      <c r="V288" s="195">
        <v>1764</v>
      </c>
      <c r="W288" s="195">
        <v>519</v>
      </c>
      <c r="X288" s="195">
        <v>279</v>
      </c>
      <c r="Y288" s="195">
        <v>150</v>
      </c>
      <c r="Z288" s="195">
        <v>14</v>
      </c>
      <c r="AA288" s="195">
        <v>0</v>
      </c>
      <c r="AB288" s="195">
        <v>3047</v>
      </c>
      <c r="AC288" s="195">
        <v>206</v>
      </c>
      <c r="AD288" s="195">
        <v>948</v>
      </c>
      <c r="AE288" s="195">
        <v>1.3464827679463078</v>
      </c>
      <c r="AF288" s="195">
        <v>4996689.779368003</v>
      </c>
      <c r="AG288" s="195">
        <v>13582907.095152749</v>
      </c>
      <c r="AH288" s="195">
        <v>4595317.703536443</v>
      </c>
      <c r="AI288" s="195">
        <v>1382466.792970932</v>
      </c>
      <c r="AJ288" s="195">
        <v>182</v>
      </c>
      <c r="AK288" s="195">
        <v>1481</v>
      </c>
      <c r="AL288" s="195">
        <v>0.9255393696552312</v>
      </c>
      <c r="AM288" s="195">
        <v>206</v>
      </c>
      <c r="AN288" s="195">
        <v>0.0630547903275176</v>
      </c>
      <c r="AO288" s="195">
        <v>0.05908653635926363</v>
      </c>
      <c r="AP288" s="195">
        <v>0</v>
      </c>
      <c r="AQ288" s="195">
        <v>14</v>
      </c>
      <c r="AR288" s="195">
        <v>0</v>
      </c>
      <c r="AS288" s="195">
        <v>0</v>
      </c>
      <c r="AT288" s="195">
        <v>0</v>
      </c>
      <c r="AU288" s="195">
        <v>372</v>
      </c>
      <c r="AV288" s="195">
        <v>8.78225806451613</v>
      </c>
      <c r="AW288" s="195">
        <v>2.0615785799501083</v>
      </c>
      <c r="AX288" s="195">
        <v>161</v>
      </c>
      <c r="AY288" s="195">
        <v>1001</v>
      </c>
      <c r="AZ288" s="195">
        <v>0.16083916083916083</v>
      </c>
      <c r="BA288" s="195">
        <v>0.09581636063649236</v>
      </c>
      <c r="BB288" s="195">
        <v>0.050733</v>
      </c>
      <c r="BC288" s="195">
        <v>1333</v>
      </c>
      <c r="BD288" s="195">
        <v>1279</v>
      </c>
      <c r="BE288" s="195">
        <v>1.0422204847537138</v>
      </c>
      <c r="BF288" s="195">
        <v>0.6112789667114077</v>
      </c>
      <c r="BG288" s="195">
        <v>0</v>
      </c>
      <c r="BH288" s="195">
        <v>0</v>
      </c>
      <c r="BI288" s="195">
        <v>0</v>
      </c>
      <c r="BJ288" s="195">
        <v>-784.0799999999999</v>
      </c>
      <c r="BK288" s="195">
        <v>-13394.699999999999</v>
      </c>
      <c r="BL288" s="195">
        <v>-914.7600000000001</v>
      </c>
      <c r="BM288" s="195">
        <v>-4671.8099999999995</v>
      </c>
      <c r="BN288" s="195">
        <v>-130.68</v>
      </c>
      <c r="BO288" s="195">
        <v>-36833</v>
      </c>
      <c r="BP288" s="195">
        <v>-124552.32864037158</v>
      </c>
      <c r="BQ288" s="195">
        <v>-279230.49</v>
      </c>
      <c r="BR288" s="195">
        <v>62997.892044780776</v>
      </c>
      <c r="BS288" s="195">
        <v>336888</v>
      </c>
      <c r="BT288" s="195">
        <v>99871</v>
      </c>
      <c r="BU288" s="195">
        <v>256904.2450974227</v>
      </c>
      <c r="BV288" s="195">
        <v>13719.698860165583</v>
      </c>
      <c r="BW288" s="195">
        <v>-12878.79392371824</v>
      </c>
      <c r="BX288" s="195">
        <v>104242.25499510784</v>
      </c>
      <c r="BY288" s="195">
        <v>189902.3291538283</v>
      </c>
      <c r="BZ288" s="195">
        <v>282218.58446444175</v>
      </c>
      <c r="CA288" s="195">
        <v>97694.919083066</v>
      </c>
      <c r="CB288" s="195">
        <v>294.03</v>
      </c>
      <c r="CC288" s="195">
        <v>-19355.542479651456</v>
      </c>
      <c r="CD288" s="195">
        <v>1375861.6372954433</v>
      </c>
      <c r="CE288" s="195">
        <v>855806.2886550718</v>
      </c>
      <c r="CF288" s="195">
        <v>0</v>
      </c>
      <c r="CG288" s="229">
        <v>2159637.0922520007</v>
      </c>
      <c r="CH288" s="195">
        <v>-209717</v>
      </c>
      <c r="CI288" s="195">
        <v>1247417.4743999997</v>
      </c>
      <c r="CJ288" s="195">
        <v>9155964.98411483</v>
      </c>
      <c r="CL288" s="195">
        <v>3347</v>
      </c>
    </row>
    <row r="289" spans="1:90" ht="9.75">
      <c r="A289" s="195">
        <v>936</v>
      </c>
      <c r="B289" s="195" t="s">
        <v>356</v>
      </c>
      <c r="C289" s="195">
        <v>6917</v>
      </c>
      <c r="D289" s="195">
        <v>26023703.830000002</v>
      </c>
      <c r="E289" s="195">
        <v>11457920.29603696</v>
      </c>
      <c r="F289" s="195">
        <v>1878211.7311003078</v>
      </c>
      <c r="G289" s="195">
        <v>39359835.85713727</v>
      </c>
      <c r="H289" s="195">
        <v>3540.31</v>
      </c>
      <c r="I289" s="195">
        <v>24488324.27</v>
      </c>
      <c r="J289" s="195">
        <v>14871511.58713727</v>
      </c>
      <c r="K289" s="195">
        <v>865689.3172041669</v>
      </c>
      <c r="L289" s="195">
        <v>1874952.13441746</v>
      </c>
      <c r="M289" s="195">
        <v>0</v>
      </c>
      <c r="N289" s="195">
        <v>17612153.038758896</v>
      </c>
      <c r="O289" s="195">
        <v>5108307.397680983</v>
      </c>
      <c r="P289" s="195">
        <v>22720460.43643988</v>
      </c>
      <c r="Q289" s="195">
        <v>318</v>
      </c>
      <c r="R289" s="195">
        <v>56</v>
      </c>
      <c r="S289" s="195">
        <v>374</v>
      </c>
      <c r="T289" s="195">
        <v>215</v>
      </c>
      <c r="U289" s="195">
        <v>198</v>
      </c>
      <c r="V289" s="195">
        <v>3436</v>
      </c>
      <c r="W289" s="195">
        <v>1248</v>
      </c>
      <c r="X289" s="195">
        <v>716</v>
      </c>
      <c r="Y289" s="195">
        <v>356</v>
      </c>
      <c r="Z289" s="195">
        <v>9</v>
      </c>
      <c r="AA289" s="195">
        <v>0</v>
      </c>
      <c r="AB289" s="195">
        <v>6758</v>
      </c>
      <c r="AC289" s="195">
        <v>150</v>
      </c>
      <c r="AD289" s="195">
        <v>2320</v>
      </c>
      <c r="AE289" s="195">
        <v>1.4583291889034513</v>
      </c>
      <c r="AF289" s="195">
        <v>11457920.29603696</v>
      </c>
      <c r="AG289" s="195">
        <v>5760160.707503358</v>
      </c>
      <c r="AH289" s="195">
        <v>1366070.482520914</v>
      </c>
      <c r="AI289" s="195">
        <v>570824.9983879977</v>
      </c>
      <c r="AJ289" s="195">
        <v>390</v>
      </c>
      <c r="AK289" s="195">
        <v>2870</v>
      </c>
      <c r="AL289" s="195">
        <v>1.0234373866048263</v>
      </c>
      <c r="AM289" s="195">
        <v>150</v>
      </c>
      <c r="AN289" s="195">
        <v>0.02168570189388463</v>
      </c>
      <c r="AO289" s="195">
        <v>0.017717447925630663</v>
      </c>
      <c r="AP289" s="195">
        <v>0</v>
      </c>
      <c r="AQ289" s="195">
        <v>9</v>
      </c>
      <c r="AR289" s="195">
        <v>0</v>
      </c>
      <c r="AS289" s="195">
        <v>0</v>
      </c>
      <c r="AT289" s="195">
        <v>0</v>
      </c>
      <c r="AU289" s="195">
        <v>1162.57</v>
      </c>
      <c r="AV289" s="195">
        <v>5.9497492624100055</v>
      </c>
      <c r="AW289" s="195">
        <v>3.0430383384033246</v>
      </c>
      <c r="AX289" s="195">
        <v>260</v>
      </c>
      <c r="AY289" s="195">
        <v>1823</v>
      </c>
      <c r="AZ289" s="195">
        <v>0.1426220515633571</v>
      </c>
      <c r="BA289" s="195">
        <v>0.07759925136068864</v>
      </c>
      <c r="BB289" s="195">
        <v>0.447482</v>
      </c>
      <c r="BC289" s="195">
        <v>2242</v>
      </c>
      <c r="BD289" s="195">
        <v>2386</v>
      </c>
      <c r="BE289" s="195">
        <v>0.9396479463537301</v>
      </c>
      <c r="BF289" s="195">
        <v>0.508706428311424</v>
      </c>
      <c r="BG289" s="195">
        <v>0</v>
      </c>
      <c r="BH289" s="195">
        <v>0</v>
      </c>
      <c r="BI289" s="195">
        <v>0</v>
      </c>
      <c r="BJ289" s="195">
        <v>-1660.08</v>
      </c>
      <c r="BK289" s="195">
        <v>-28359.699999999997</v>
      </c>
      <c r="BL289" s="195">
        <v>-1936.7600000000002</v>
      </c>
      <c r="BM289" s="195">
        <v>-9891.31</v>
      </c>
      <c r="BN289" s="195">
        <v>-276.68</v>
      </c>
      <c r="BO289" s="195">
        <v>-107812</v>
      </c>
      <c r="BP289" s="195">
        <v>-309630.0860577912</v>
      </c>
      <c r="BQ289" s="195">
        <v>-591195.99</v>
      </c>
      <c r="BR289" s="195">
        <v>46812.20847382769</v>
      </c>
      <c r="BS289" s="195">
        <v>704678</v>
      </c>
      <c r="BT289" s="195">
        <v>221566</v>
      </c>
      <c r="BU289" s="195">
        <v>572270.7166943942</v>
      </c>
      <c r="BV289" s="195">
        <v>29515.069544133108</v>
      </c>
      <c r="BW289" s="195">
        <v>92555.46064005131</v>
      </c>
      <c r="BX289" s="195">
        <v>283008.96376369183</v>
      </c>
      <c r="BY289" s="195">
        <v>392803.3649215729</v>
      </c>
      <c r="BZ289" s="195">
        <v>629761.4540615771</v>
      </c>
      <c r="CA289" s="195">
        <v>197797.76755750383</v>
      </c>
      <c r="CB289" s="195">
        <v>622.53</v>
      </c>
      <c r="CC289" s="195">
        <v>-42040.31518150049</v>
      </c>
      <c r="CD289" s="195">
        <v>3021954.2404752513</v>
      </c>
      <c r="CE289" s="195">
        <v>1874952.13441746</v>
      </c>
      <c r="CF289" s="195">
        <v>0</v>
      </c>
      <c r="CG289" s="229">
        <v>5108307.397680983</v>
      </c>
      <c r="CH289" s="195">
        <v>244593</v>
      </c>
      <c r="CI289" s="195">
        <v>84931.4945</v>
      </c>
      <c r="CJ289" s="195">
        <v>22965053.43643988</v>
      </c>
      <c r="CL289" s="195">
        <v>7002</v>
      </c>
    </row>
    <row r="290" spans="1:90" ht="9.75">
      <c r="A290" s="195">
        <v>946</v>
      </c>
      <c r="B290" s="195" t="s">
        <v>357</v>
      </c>
      <c r="C290" s="195">
        <v>6684</v>
      </c>
      <c r="D290" s="195">
        <v>25009477.44</v>
      </c>
      <c r="E290" s="195">
        <v>6597306.065366083</v>
      </c>
      <c r="F290" s="195">
        <v>3551680.786176146</v>
      </c>
      <c r="G290" s="195">
        <v>35158464.29154223</v>
      </c>
      <c r="H290" s="195">
        <v>3540.31</v>
      </c>
      <c r="I290" s="195">
        <v>23663432.04</v>
      </c>
      <c r="J290" s="195">
        <v>11495032.251542233</v>
      </c>
      <c r="K290" s="195">
        <v>186331.2228326171</v>
      </c>
      <c r="L290" s="195">
        <v>2345498.941621936</v>
      </c>
      <c r="M290" s="195">
        <v>0</v>
      </c>
      <c r="N290" s="195">
        <v>14026862.415996786</v>
      </c>
      <c r="O290" s="195">
        <v>3393537.470236189</v>
      </c>
      <c r="P290" s="195">
        <v>17420399.886232976</v>
      </c>
      <c r="Q290" s="195">
        <v>484</v>
      </c>
      <c r="R290" s="195">
        <v>90</v>
      </c>
      <c r="S290" s="195">
        <v>452</v>
      </c>
      <c r="T290" s="195">
        <v>215</v>
      </c>
      <c r="U290" s="195">
        <v>239</v>
      </c>
      <c r="V290" s="195">
        <v>3563</v>
      </c>
      <c r="W290" s="195">
        <v>850</v>
      </c>
      <c r="X290" s="195">
        <v>522</v>
      </c>
      <c r="Y290" s="195">
        <v>269</v>
      </c>
      <c r="Z290" s="195">
        <v>5425</v>
      </c>
      <c r="AA290" s="195">
        <v>0</v>
      </c>
      <c r="AB290" s="195">
        <v>812</v>
      </c>
      <c r="AC290" s="195">
        <v>447</v>
      </c>
      <c r="AD290" s="195">
        <v>1641</v>
      </c>
      <c r="AE290" s="195">
        <v>0.8689559044615074</v>
      </c>
      <c r="AF290" s="195">
        <v>6597306.065366083</v>
      </c>
      <c r="AG290" s="195">
        <v>6157360.762714411</v>
      </c>
      <c r="AH290" s="195">
        <v>1603887.5040912677</v>
      </c>
      <c r="AI290" s="195">
        <v>606501.5607872476</v>
      </c>
      <c r="AJ290" s="195">
        <v>239</v>
      </c>
      <c r="AK290" s="195">
        <v>3170</v>
      </c>
      <c r="AL290" s="195">
        <v>0.5678285259191527</v>
      </c>
      <c r="AM290" s="195">
        <v>447</v>
      </c>
      <c r="AN290" s="195">
        <v>0.06687612208258528</v>
      </c>
      <c r="AO290" s="195">
        <v>0.06290786811433131</v>
      </c>
      <c r="AP290" s="195">
        <v>3</v>
      </c>
      <c r="AQ290" s="195">
        <v>5425</v>
      </c>
      <c r="AR290" s="195">
        <v>0</v>
      </c>
      <c r="AS290" s="195">
        <v>3</v>
      </c>
      <c r="AT290" s="195">
        <v>588</v>
      </c>
      <c r="AU290" s="195">
        <v>781.85</v>
      </c>
      <c r="AV290" s="195">
        <v>8.548954403018481</v>
      </c>
      <c r="AW290" s="195">
        <v>2.1178397094980284</v>
      </c>
      <c r="AX290" s="195">
        <v>270</v>
      </c>
      <c r="AY290" s="195">
        <v>1871</v>
      </c>
      <c r="AZ290" s="195">
        <v>0.14430785676109031</v>
      </c>
      <c r="BA290" s="195">
        <v>0.07928505655842184</v>
      </c>
      <c r="BB290" s="195">
        <v>0</v>
      </c>
      <c r="BC290" s="195">
        <v>2570</v>
      </c>
      <c r="BD290" s="195">
        <v>2945</v>
      </c>
      <c r="BE290" s="195">
        <v>0.8726655348047538</v>
      </c>
      <c r="BF290" s="195">
        <v>0.44172401676244777</v>
      </c>
      <c r="BG290" s="195">
        <v>0</v>
      </c>
      <c r="BH290" s="195">
        <v>0</v>
      </c>
      <c r="BI290" s="195">
        <v>0</v>
      </c>
      <c r="BJ290" s="195">
        <v>-1604.1599999999999</v>
      </c>
      <c r="BK290" s="195">
        <v>-27404.399999999998</v>
      </c>
      <c r="BL290" s="195">
        <v>-1871.5200000000002</v>
      </c>
      <c r="BM290" s="195">
        <v>-9558.119999999999</v>
      </c>
      <c r="BN290" s="195">
        <v>-267.36</v>
      </c>
      <c r="BO290" s="195">
        <v>-66992</v>
      </c>
      <c r="BP290" s="195">
        <v>-115548.54584709171</v>
      </c>
      <c r="BQ290" s="195">
        <v>-571281.48</v>
      </c>
      <c r="BR290" s="195">
        <v>511241.87484688405</v>
      </c>
      <c r="BS290" s="195">
        <v>610295</v>
      </c>
      <c r="BT290" s="195">
        <v>210910</v>
      </c>
      <c r="BU290" s="195">
        <v>522557.84133206314</v>
      </c>
      <c r="BV290" s="195">
        <v>25585.96697163288</v>
      </c>
      <c r="BW290" s="195">
        <v>37399.76454258622</v>
      </c>
      <c r="BX290" s="195">
        <v>185934.4408685002</v>
      </c>
      <c r="BY290" s="195">
        <v>417285.97748930304</v>
      </c>
      <c r="BZ290" s="195">
        <v>673219.1528353889</v>
      </c>
      <c r="CA290" s="195">
        <v>221322.4144961777</v>
      </c>
      <c r="CB290" s="195">
        <v>601.56</v>
      </c>
      <c r="CC290" s="195">
        <v>-79550.5059135086</v>
      </c>
      <c r="CD290" s="195">
        <v>3270212.527469028</v>
      </c>
      <c r="CE290" s="195">
        <v>2345498.941621936</v>
      </c>
      <c r="CF290" s="195">
        <v>0</v>
      </c>
      <c r="CG290" s="229">
        <v>3393537.470236189</v>
      </c>
      <c r="CH290" s="195">
        <v>516344</v>
      </c>
      <c r="CI290" s="195">
        <v>-105815.64710000003</v>
      </c>
      <c r="CJ290" s="195">
        <v>17936743.886232976</v>
      </c>
      <c r="CL290" s="195">
        <v>6714</v>
      </c>
    </row>
    <row r="291" spans="1:90" ht="9.75">
      <c r="A291" s="195">
        <v>976</v>
      </c>
      <c r="B291" s="195" t="s">
        <v>358</v>
      </c>
      <c r="C291" s="195">
        <v>4200</v>
      </c>
      <c r="D291" s="195">
        <v>15601693.580000002</v>
      </c>
      <c r="E291" s="195">
        <v>7423058.172885759</v>
      </c>
      <c r="F291" s="195">
        <v>2077178.0327848345</v>
      </c>
      <c r="G291" s="195">
        <v>25101929.785670593</v>
      </c>
      <c r="H291" s="195">
        <v>3540.31</v>
      </c>
      <c r="I291" s="195">
        <v>14869302</v>
      </c>
      <c r="J291" s="195">
        <v>10232627.785670593</v>
      </c>
      <c r="K291" s="195">
        <v>4233332.05468031</v>
      </c>
      <c r="L291" s="195">
        <v>1094660.4719676678</v>
      </c>
      <c r="M291" s="195">
        <v>0</v>
      </c>
      <c r="N291" s="195">
        <v>15560620.31231857</v>
      </c>
      <c r="O291" s="195">
        <v>3549206.44518649</v>
      </c>
      <c r="P291" s="195">
        <v>19109826.75750506</v>
      </c>
      <c r="Q291" s="195">
        <v>150</v>
      </c>
      <c r="R291" s="195">
        <v>39</v>
      </c>
      <c r="S291" s="195">
        <v>174</v>
      </c>
      <c r="T291" s="195">
        <v>121</v>
      </c>
      <c r="U291" s="195">
        <v>133</v>
      </c>
      <c r="V291" s="195">
        <v>2141</v>
      </c>
      <c r="W291" s="195">
        <v>703</v>
      </c>
      <c r="X291" s="195">
        <v>513</v>
      </c>
      <c r="Y291" s="195">
        <v>226</v>
      </c>
      <c r="Z291" s="195">
        <v>20</v>
      </c>
      <c r="AA291" s="195">
        <v>3</v>
      </c>
      <c r="AB291" s="195">
        <v>4145</v>
      </c>
      <c r="AC291" s="195">
        <v>32</v>
      </c>
      <c r="AD291" s="195">
        <v>1442</v>
      </c>
      <c r="AE291" s="195">
        <v>1.555969647381799</v>
      </c>
      <c r="AF291" s="195">
        <v>7423058.172885759</v>
      </c>
      <c r="AG291" s="195">
        <v>12805720.528963296</v>
      </c>
      <c r="AH291" s="195">
        <v>4455389.820962203</v>
      </c>
      <c r="AI291" s="195">
        <v>1105973.4343767457</v>
      </c>
      <c r="AJ291" s="195">
        <v>288</v>
      </c>
      <c r="AK291" s="195">
        <v>1778</v>
      </c>
      <c r="AL291" s="195">
        <v>1.219942323948091</v>
      </c>
      <c r="AM291" s="195">
        <v>32</v>
      </c>
      <c r="AN291" s="195">
        <v>0.007619047619047619</v>
      </c>
      <c r="AO291" s="195">
        <v>0.003650793650793651</v>
      </c>
      <c r="AP291" s="195">
        <v>0</v>
      </c>
      <c r="AQ291" s="195">
        <v>20</v>
      </c>
      <c r="AR291" s="195">
        <v>3</v>
      </c>
      <c r="AS291" s="195">
        <v>0</v>
      </c>
      <c r="AT291" s="195">
        <v>0</v>
      </c>
      <c r="AU291" s="195">
        <v>2028.74</v>
      </c>
      <c r="AV291" s="195">
        <v>2.0702505003105376</v>
      </c>
      <c r="AW291" s="195">
        <v>8.745470708344111</v>
      </c>
      <c r="AX291" s="195">
        <v>182</v>
      </c>
      <c r="AY291" s="195">
        <v>1030</v>
      </c>
      <c r="AZ291" s="195">
        <v>0.1766990291262136</v>
      </c>
      <c r="BA291" s="195">
        <v>0.11167622892354513</v>
      </c>
      <c r="BB291" s="195">
        <v>1.567</v>
      </c>
      <c r="BC291" s="195">
        <v>1319</v>
      </c>
      <c r="BD291" s="195">
        <v>1445</v>
      </c>
      <c r="BE291" s="195">
        <v>0.91280276816609</v>
      </c>
      <c r="BF291" s="195">
        <v>0.4818612501237839</v>
      </c>
      <c r="BG291" s="195">
        <v>0</v>
      </c>
      <c r="BH291" s="195">
        <v>3</v>
      </c>
      <c r="BI291" s="195">
        <v>0</v>
      </c>
      <c r="BJ291" s="195">
        <v>-1008</v>
      </c>
      <c r="BK291" s="195">
        <v>-17220</v>
      </c>
      <c r="BL291" s="195">
        <v>-1176</v>
      </c>
      <c r="BM291" s="195">
        <v>-6006</v>
      </c>
      <c r="BN291" s="195">
        <v>-168</v>
      </c>
      <c r="BO291" s="195">
        <v>-68703</v>
      </c>
      <c r="BP291" s="195">
        <v>-114548.12553672727</v>
      </c>
      <c r="BQ291" s="195">
        <v>-358974</v>
      </c>
      <c r="BR291" s="195">
        <v>-68346.25052626431</v>
      </c>
      <c r="BS291" s="195">
        <v>449076</v>
      </c>
      <c r="BT291" s="195">
        <v>136608</v>
      </c>
      <c r="BU291" s="195">
        <v>360895.7856342601</v>
      </c>
      <c r="BV291" s="195">
        <v>19702.819711007938</v>
      </c>
      <c r="BW291" s="195">
        <v>42803.14343171017</v>
      </c>
      <c r="BX291" s="195">
        <v>150987.586605333</v>
      </c>
      <c r="BY291" s="195">
        <v>227803.8682606217</v>
      </c>
      <c r="BZ291" s="195">
        <v>354584.16249509755</v>
      </c>
      <c r="CA291" s="195">
        <v>109728.77119912588</v>
      </c>
      <c r="CB291" s="195">
        <v>378</v>
      </c>
      <c r="CC291" s="195">
        <v>1889.7106935028714</v>
      </c>
      <c r="CD291" s="195">
        <v>1717660.597504395</v>
      </c>
      <c r="CE291" s="195">
        <v>1094660.4719676678</v>
      </c>
      <c r="CF291" s="195">
        <v>0</v>
      </c>
      <c r="CG291" s="229">
        <v>3549206.44518649</v>
      </c>
      <c r="CH291" s="195">
        <v>-710809</v>
      </c>
      <c r="CI291" s="195">
        <v>52080.018500000006</v>
      </c>
      <c r="CJ291" s="195">
        <v>18399017.75750506</v>
      </c>
      <c r="CL291" s="195">
        <v>4291</v>
      </c>
    </row>
    <row r="292" spans="1:90" ht="9.75">
      <c r="A292" s="195">
        <v>977</v>
      </c>
      <c r="B292" s="195" t="s">
        <v>359</v>
      </c>
      <c r="C292" s="195">
        <v>15199</v>
      </c>
      <c r="D292" s="195">
        <v>54857626.220000006</v>
      </c>
      <c r="E292" s="195">
        <v>20544181.21365894</v>
      </c>
      <c r="F292" s="195">
        <v>2205643.3435932696</v>
      </c>
      <c r="G292" s="195">
        <v>77607450.77725221</v>
      </c>
      <c r="H292" s="195">
        <v>3540.31</v>
      </c>
      <c r="I292" s="195">
        <v>53809171.69</v>
      </c>
      <c r="J292" s="195">
        <v>23798279.087252215</v>
      </c>
      <c r="K292" s="195">
        <v>596005.972933388</v>
      </c>
      <c r="L292" s="195">
        <v>2658029.978172168</v>
      </c>
      <c r="M292" s="195">
        <v>0</v>
      </c>
      <c r="N292" s="195">
        <v>27052315.038357772</v>
      </c>
      <c r="O292" s="195">
        <v>8545315.70066232</v>
      </c>
      <c r="P292" s="195">
        <v>35597630.739020094</v>
      </c>
      <c r="Q292" s="195">
        <v>1367</v>
      </c>
      <c r="R292" s="195">
        <v>233</v>
      </c>
      <c r="S292" s="195">
        <v>1283</v>
      </c>
      <c r="T292" s="195">
        <v>570</v>
      </c>
      <c r="U292" s="195">
        <v>562</v>
      </c>
      <c r="V292" s="195">
        <v>8446</v>
      </c>
      <c r="W292" s="195">
        <v>1533</v>
      </c>
      <c r="X292" s="195">
        <v>865</v>
      </c>
      <c r="Y292" s="195">
        <v>340</v>
      </c>
      <c r="Z292" s="195">
        <v>40</v>
      </c>
      <c r="AA292" s="195">
        <v>1</v>
      </c>
      <c r="AB292" s="195">
        <v>14937</v>
      </c>
      <c r="AC292" s="195">
        <v>221</v>
      </c>
      <c r="AD292" s="195">
        <v>2738</v>
      </c>
      <c r="AE292" s="195">
        <v>1.189984677626167</v>
      </c>
      <c r="AF292" s="195">
        <v>20544181.21365894</v>
      </c>
      <c r="AG292" s="195">
        <v>8901285.615923354</v>
      </c>
      <c r="AH292" s="195">
        <v>1811552.859486643</v>
      </c>
      <c r="AI292" s="195">
        <v>758126.9509840595</v>
      </c>
      <c r="AJ292" s="195">
        <v>884</v>
      </c>
      <c r="AK292" s="195">
        <v>6867</v>
      </c>
      <c r="AL292" s="195">
        <v>0.9695356554040964</v>
      </c>
      <c r="AM292" s="195">
        <v>221</v>
      </c>
      <c r="AN292" s="195">
        <v>0.014540430291466544</v>
      </c>
      <c r="AO292" s="195">
        <v>0.010572176323212576</v>
      </c>
      <c r="AP292" s="195">
        <v>0</v>
      </c>
      <c r="AQ292" s="195">
        <v>40</v>
      </c>
      <c r="AR292" s="195">
        <v>1</v>
      </c>
      <c r="AS292" s="195">
        <v>0</v>
      </c>
      <c r="AT292" s="195">
        <v>0</v>
      </c>
      <c r="AU292" s="195">
        <v>568.66</v>
      </c>
      <c r="AV292" s="195">
        <v>26.727745929026135</v>
      </c>
      <c r="AW292" s="195">
        <v>0.6773977557807563</v>
      </c>
      <c r="AX292" s="195">
        <v>420</v>
      </c>
      <c r="AY292" s="195">
        <v>4242</v>
      </c>
      <c r="AZ292" s="195">
        <v>0.09900990099009901</v>
      </c>
      <c r="BA292" s="195">
        <v>0.033987100787430544</v>
      </c>
      <c r="BB292" s="195">
        <v>0</v>
      </c>
      <c r="BC292" s="195">
        <v>6218</v>
      </c>
      <c r="BD292" s="195">
        <v>5909</v>
      </c>
      <c r="BE292" s="195">
        <v>1.0522931122017263</v>
      </c>
      <c r="BF292" s="195">
        <v>0.6213515941594202</v>
      </c>
      <c r="BG292" s="195">
        <v>0</v>
      </c>
      <c r="BH292" s="195">
        <v>1</v>
      </c>
      <c r="BI292" s="195">
        <v>0</v>
      </c>
      <c r="BJ292" s="195">
        <v>-3647.7599999999998</v>
      </c>
      <c r="BK292" s="195">
        <v>-62315.899999999994</v>
      </c>
      <c r="BL292" s="195">
        <v>-4255.72</v>
      </c>
      <c r="BM292" s="195">
        <v>-21734.57</v>
      </c>
      <c r="BN292" s="195">
        <v>-607.96</v>
      </c>
      <c r="BO292" s="195">
        <v>55920</v>
      </c>
      <c r="BP292" s="195">
        <v>-701794.8477206478</v>
      </c>
      <c r="BQ292" s="195">
        <v>-1299058.53</v>
      </c>
      <c r="BR292" s="195">
        <v>31894.618232842535</v>
      </c>
      <c r="BS292" s="195">
        <v>1105522</v>
      </c>
      <c r="BT292" s="195">
        <v>359322</v>
      </c>
      <c r="BU292" s="195">
        <v>800309.0794281153</v>
      </c>
      <c r="BV292" s="195">
        <v>28657.374442731707</v>
      </c>
      <c r="BW292" s="195">
        <v>20607.3296960915</v>
      </c>
      <c r="BX292" s="195">
        <v>400458.4208793326</v>
      </c>
      <c r="BY292" s="195">
        <v>780849.606266519</v>
      </c>
      <c r="BZ292" s="195">
        <v>1163766.1274462175</v>
      </c>
      <c r="CA292" s="195">
        <v>370270.77521788626</v>
      </c>
      <c r="CB292" s="195">
        <v>1367.9099999999999</v>
      </c>
      <c r="CC292" s="195">
        <v>79958.58428307927</v>
      </c>
      <c r="CD292" s="195">
        <v>5199815.765892816</v>
      </c>
      <c r="CE292" s="195">
        <v>2658029.978172168</v>
      </c>
      <c r="CF292" s="195">
        <v>0</v>
      </c>
      <c r="CG292" s="229">
        <v>8545315.70066232</v>
      </c>
      <c r="CH292" s="195">
        <v>-36342</v>
      </c>
      <c r="CI292" s="195">
        <v>319715.2575</v>
      </c>
      <c r="CJ292" s="195">
        <v>35561288.739020094</v>
      </c>
      <c r="CL292" s="195">
        <v>15039</v>
      </c>
    </row>
    <row r="293" spans="1:90" ht="9.75">
      <c r="A293" s="195">
        <v>980</v>
      </c>
      <c r="B293" s="195" t="s">
        <v>360</v>
      </c>
      <c r="C293" s="195">
        <v>32799</v>
      </c>
      <c r="D293" s="195">
        <v>116379401.44000003</v>
      </c>
      <c r="E293" s="195">
        <v>28082323.92921784</v>
      </c>
      <c r="F293" s="195">
        <v>5092659.862579281</v>
      </c>
      <c r="G293" s="195">
        <v>149554385.23179716</v>
      </c>
      <c r="H293" s="195">
        <v>3540.31</v>
      </c>
      <c r="I293" s="195">
        <v>116118627.69</v>
      </c>
      <c r="J293" s="195">
        <v>33435757.54179716</v>
      </c>
      <c r="K293" s="195">
        <v>506429.6964463182</v>
      </c>
      <c r="L293" s="195">
        <v>3374338.3761260957</v>
      </c>
      <c r="M293" s="195">
        <v>0</v>
      </c>
      <c r="N293" s="195">
        <v>37316525.61436957</v>
      </c>
      <c r="O293" s="195">
        <v>6831014.786759004</v>
      </c>
      <c r="P293" s="195">
        <v>44147540.401128575</v>
      </c>
      <c r="Q293" s="195">
        <v>2849</v>
      </c>
      <c r="R293" s="195">
        <v>494</v>
      </c>
      <c r="S293" s="195">
        <v>2990</v>
      </c>
      <c r="T293" s="195">
        <v>1425</v>
      </c>
      <c r="U293" s="195">
        <v>1218</v>
      </c>
      <c r="V293" s="195">
        <v>18398</v>
      </c>
      <c r="W293" s="195">
        <v>3283</v>
      </c>
      <c r="X293" s="195">
        <v>1614</v>
      </c>
      <c r="Y293" s="195">
        <v>528</v>
      </c>
      <c r="Z293" s="195">
        <v>110</v>
      </c>
      <c r="AA293" s="195">
        <v>0</v>
      </c>
      <c r="AB293" s="195">
        <v>31942</v>
      </c>
      <c r="AC293" s="195">
        <v>747</v>
      </c>
      <c r="AD293" s="195">
        <v>5425</v>
      </c>
      <c r="AE293" s="195">
        <v>0.7537719794058299</v>
      </c>
      <c r="AF293" s="195">
        <v>28082323.92921784</v>
      </c>
      <c r="AG293" s="195">
        <v>8991483.266125165</v>
      </c>
      <c r="AH293" s="195">
        <v>2541343.9385328293</v>
      </c>
      <c r="AI293" s="195">
        <v>749207.8103842471</v>
      </c>
      <c r="AJ293" s="195">
        <v>1937</v>
      </c>
      <c r="AK293" s="195">
        <v>15739</v>
      </c>
      <c r="AL293" s="195">
        <v>0.9268960959692948</v>
      </c>
      <c r="AM293" s="195">
        <v>747</v>
      </c>
      <c r="AN293" s="195">
        <v>0.022775084606237995</v>
      </c>
      <c r="AO293" s="195">
        <v>0.018806830637984027</v>
      </c>
      <c r="AP293" s="195">
        <v>0</v>
      </c>
      <c r="AQ293" s="195">
        <v>110</v>
      </c>
      <c r="AR293" s="195">
        <v>0</v>
      </c>
      <c r="AS293" s="195">
        <v>0</v>
      </c>
      <c r="AT293" s="195">
        <v>0</v>
      </c>
      <c r="AU293" s="195">
        <v>1115.72</v>
      </c>
      <c r="AV293" s="195">
        <v>29.397160577922776</v>
      </c>
      <c r="AW293" s="195">
        <v>0.6158865262312991</v>
      </c>
      <c r="AX293" s="195">
        <v>1137</v>
      </c>
      <c r="AY293" s="195">
        <v>11326</v>
      </c>
      <c r="AZ293" s="195">
        <v>0.1003884866678439</v>
      </c>
      <c r="BA293" s="195">
        <v>0.03536568646517543</v>
      </c>
      <c r="BB293" s="195">
        <v>0</v>
      </c>
      <c r="BC293" s="195">
        <v>9176</v>
      </c>
      <c r="BD293" s="195">
        <v>13582</v>
      </c>
      <c r="BE293" s="195">
        <v>0.6756000589014872</v>
      </c>
      <c r="BF293" s="195">
        <v>0.24465854085918115</v>
      </c>
      <c r="BG293" s="195">
        <v>0</v>
      </c>
      <c r="BH293" s="195">
        <v>0</v>
      </c>
      <c r="BI293" s="195">
        <v>0</v>
      </c>
      <c r="BJ293" s="195">
        <v>-7871.759999999999</v>
      </c>
      <c r="BK293" s="195">
        <v>-134475.9</v>
      </c>
      <c r="BL293" s="195">
        <v>-9183.720000000001</v>
      </c>
      <c r="BM293" s="195">
        <v>-46902.57</v>
      </c>
      <c r="BN293" s="195">
        <v>-1311.96</v>
      </c>
      <c r="BO293" s="195">
        <v>-15104</v>
      </c>
      <c r="BP293" s="195">
        <v>-1215510.677092783</v>
      </c>
      <c r="BQ293" s="195">
        <v>-2803330.53</v>
      </c>
      <c r="BR293" s="195">
        <v>-347209.93432351947</v>
      </c>
      <c r="BS293" s="195">
        <v>2053006</v>
      </c>
      <c r="BT293" s="195">
        <v>651254</v>
      </c>
      <c r="BU293" s="195">
        <v>1314597.2430768656</v>
      </c>
      <c r="BV293" s="195">
        <v>15734.767118453987</v>
      </c>
      <c r="BW293" s="195">
        <v>-104982.75987239247</v>
      </c>
      <c r="BX293" s="195">
        <v>676365.6684635072</v>
      </c>
      <c r="BY293" s="195">
        <v>1370714.847696324</v>
      </c>
      <c r="BZ293" s="195">
        <v>2239117.9938244843</v>
      </c>
      <c r="CA293" s="195">
        <v>671264.7716285778</v>
      </c>
      <c r="CB293" s="195">
        <v>2951.91</v>
      </c>
      <c r="CC293" s="195">
        <v>30817.545606577274</v>
      </c>
      <c r="CD293" s="195">
        <v>8560495.993218878</v>
      </c>
      <c r="CE293" s="195">
        <v>3374338.3761260957</v>
      </c>
      <c r="CF293" s="195">
        <v>0</v>
      </c>
      <c r="CG293" s="229">
        <v>6831014.786759004</v>
      </c>
      <c r="CH293" s="195">
        <v>-4031057</v>
      </c>
      <c r="CI293" s="195">
        <v>-613262.7500100003</v>
      </c>
      <c r="CJ293" s="195">
        <v>40116483.401128575</v>
      </c>
      <c r="CL293" s="195">
        <v>32738</v>
      </c>
    </row>
    <row r="294" spans="1:90" ht="9.75">
      <c r="A294" s="195">
        <v>981</v>
      </c>
      <c r="B294" s="195" t="s">
        <v>361</v>
      </c>
      <c r="C294" s="195">
        <v>2382</v>
      </c>
      <c r="D294" s="195">
        <v>8220047.91</v>
      </c>
      <c r="E294" s="195">
        <v>2441327.3957589413</v>
      </c>
      <c r="F294" s="195">
        <v>462402.57494209724</v>
      </c>
      <c r="G294" s="195">
        <v>11123777.880701039</v>
      </c>
      <c r="H294" s="195">
        <v>3540.31</v>
      </c>
      <c r="I294" s="195">
        <v>8433018.42</v>
      </c>
      <c r="J294" s="195">
        <v>2690759.460701039</v>
      </c>
      <c r="K294" s="195">
        <v>36172.996915729374</v>
      </c>
      <c r="L294" s="195">
        <v>795324.3048573185</v>
      </c>
      <c r="M294" s="195">
        <v>4289.585777677639</v>
      </c>
      <c r="N294" s="195">
        <v>3526546.3482517647</v>
      </c>
      <c r="O294" s="195">
        <v>1774176.0757561903</v>
      </c>
      <c r="P294" s="195">
        <v>5300722.424007955</v>
      </c>
      <c r="Q294" s="195">
        <v>105</v>
      </c>
      <c r="R294" s="195">
        <v>20</v>
      </c>
      <c r="S294" s="195">
        <v>148</v>
      </c>
      <c r="T294" s="195">
        <v>80</v>
      </c>
      <c r="U294" s="195">
        <v>78</v>
      </c>
      <c r="V294" s="195">
        <v>1326</v>
      </c>
      <c r="W294" s="195">
        <v>358</v>
      </c>
      <c r="X294" s="195">
        <v>174</v>
      </c>
      <c r="Y294" s="195">
        <v>93</v>
      </c>
      <c r="Z294" s="195">
        <v>14</v>
      </c>
      <c r="AA294" s="195">
        <v>0</v>
      </c>
      <c r="AB294" s="195">
        <v>2323</v>
      </c>
      <c r="AC294" s="195">
        <v>45</v>
      </c>
      <c r="AD294" s="195">
        <v>625</v>
      </c>
      <c r="AE294" s="195">
        <v>0.9023017812954948</v>
      </c>
      <c r="AF294" s="195">
        <v>2441327.3957589413</v>
      </c>
      <c r="AG294" s="195">
        <v>23106126.984848592</v>
      </c>
      <c r="AH294" s="195">
        <v>6167883.702089248</v>
      </c>
      <c r="AI294" s="195">
        <v>2791691.0077413013</v>
      </c>
      <c r="AJ294" s="195">
        <v>144</v>
      </c>
      <c r="AK294" s="195">
        <v>1182</v>
      </c>
      <c r="AL294" s="195">
        <v>0.9175369932232258</v>
      </c>
      <c r="AM294" s="195">
        <v>45</v>
      </c>
      <c r="AN294" s="195">
        <v>0.018891687657430732</v>
      </c>
      <c r="AO294" s="195">
        <v>0.014923433689176764</v>
      </c>
      <c r="AP294" s="195">
        <v>0</v>
      </c>
      <c r="AQ294" s="195">
        <v>14</v>
      </c>
      <c r="AR294" s="195">
        <v>0</v>
      </c>
      <c r="AS294" s="195">
        <v>0</v>
      </c>
      <c r="AT294" s="195">
        <v>0</v>
      </c>
      <c r="AU294" s="195">
        <v>182.76</v>
      </c>
      <c r="AV294" s="195">
        <v>13.03348653972423</v>
      </c>
      <c r="AW294" s="195">
        <v>1.38913828270111</v>
      </c>
      <c r="AX294" s="195">
        <v>104</v>
      </c>
      <c r="AY294" s="195">
        <v>718</v>
      </c>
      <c r="AZ294" s="195">
        <v>0.14484679665738162</v>
      </c>
      <c r="BA294" s="195">
        <v>0.07982399645471315</v>
      </c>
      <c r="BB294" s="195">
        <v>0</v>
      </c>
      <c r="BC294" s="195">
        <v>685</v>
      </c>
      <c r="BD294" s="195">
        <v>1020</v>
      </c>
      <c r="BE294" s="195">
        <v>0.6715686274509803</v>
      </c>
      <c r="BF294" s="195">
        <v>0.24062710940867427</v>
      </c>
      <c r="BG294" s="195">
        <v>0</v>
      </c>
      <c r="BH294" s="195">
        <v>0</v>
      </c>
      <c r="BI294" s="195">
        <v>0</v>
      </c>
      <c r="BJ294" s="195">
        <v>-571.68</v>
      </c>
      <c r="BK294" s="195">
        <v>-9766.199999999999</v>
      </c>
      <c r="BL294" s="195">
        <v>-666.96</v>
      </c>
      <c r="BM294" s="195">
        <v>-3406.2599999999998</v>
      </c>
      <c r="BN294" s="195">
        <v>-95.28</v>
      </c>
      <c r="BO294" s="195">
        <v>29176</v>
      </c>
      <c r="BP294" s="195">
        <v>-55023.11707004366</v>
      </c>
      <c r="BQ294" s="195">
        <v>-203589.54</v>
      </c>
      <c r="BR294" s="195">
        <v>26663.14650002122</v>
      </c>
      <c r="BS294" s="195">
        <v>230288</v>
      </c>
      <c r="BT294" s="195">
        <v>80816</v>
      </c>
      <c r="BU294" s="195">
        <v>184290.17484536598</v>
      </c>
      <c r="BV294" s="195">
        <v>9318.783464418157</v>
      </c>
      <c r="BW294" s="195">
        <v>30796.386826805596</v>
      </c>
      <c r="BX294" s="195">
        <v>74794.23220504644</v>
      </c>
      <c r="BY294" s="195">
        <v>147649.47010495246</v>
      </c>
      <c r="BZ294" s="195">
        <v>237874.01446903648</v>
      </c>
      <c r="CA294" s="195">
        <v>76310.3927469815</v>
      </c>
      <c r="CB294" s="195">
        <v>214.38</v>
      </c>
      <c r="CC294" s="195">
        <v>10378.44076473437</v>
      </c>
      <c r="CD294" s="195">
        <v>1138712.3419273621</v>
      </c>
      <c r="CE294" s="195">
        <v>795324.3048573185</v>
      </c>
      <c r="CF294" s="195">
        <v>4289.585777677639</v>
      </c>
      <c r="CG294" s="229">
        <v>1774176.0757561903</v>
      </c>
      <c r="CH294" s="195">
        <v>-528914</v>
      </c>
      <c r="CI294" s="195">
        <v>-13036.300000000003</v>
      </c>
      <c r="CJ294" s="195">
        <v>4771808.424007955</v>
      </c>
      <c r="CL294" s="195">
        <v>2411</v>
      </c>
    </row>
    <row r="295" spans="1:90" ht="9.75">
      <c r="A295" s="195">
        <v>989</v>
      </c>
      <c r="B295" s="195" t="s">
        <v>362</v>
      </c>
      <c r="C295" s="195">
        <v>5985</v>
      </c>
      <c r="D295" s="195">
        <v>21852397</v>
      </c>
      <c r="E295" s="195">
        <v>9979834.096944464</v>
      </c>
      <c r="F295" s="195">
        <v>1239843.2422982806</v>
      </c>
      <c r="G295" s="195">
        <v>33072074.339242745</v>
      </c>
      <c r="H295" s="195">
        <v>3540.31</v>
      </c>
      <c r="I295" s="195">
        <v>21188755.35</v>
      </c>
      <c r="J295" s="195">
        <v>11883318.989242744</v>
      </c>
      <c r="K295" s="195">
        <v>493418.7830625327</v>
      </c>
      <c r="L295" s="195">
        <v>1842747.7254617587</v>
      </c>
      <c r="M295" s="195">
        <v>0</v>
      </c>
      <c r="N295" s="195">
        <v>14219485.497767035</v>
      </c>
      <c r="O295" s="195">
        <v>4309828.5979272695</v>
      </c>
      <c r="P295" s="195">
        <v>18529314.095694304</v>
      </c>
      <c r="Q295" s="195">
        <v>296</v>
      </c>
      <c r="R295" s="195">
        <v>49</v>
      </c>
      <c r="S295" s="195">
        <v>386</v>
      </c>
      <c r="T295" s="195">
        <v>196</v>
      </c>
      <c r="U295" s="195">
        <v>192</v>
      </c>
      <c r="V295" s="195">
        <v>3097</v>
      </c>
      <c r="W295" s="195">
        <v>965</v>
      </c>
      <c r="X295" s="195">
        <v>549</v>
      </c>
      <c r="Y295" s="195">
        <v>255</v>
      </c>
      <c r="Z295" s="195">
        <v>3</v>
      </c>
      <c r="AA295" s="195">
        <v>0</v>
      </c>
      <c r="AB295" s="195">
        <v>5917</v>
      </c>
      <c r="AC295" s="195">
        <v>65</v>
      </c>
      <c r="AD295" s="195">
        <v>1769</v>
      </c>
      <c r="AE295" s="195">
        <v>1.4680022262439183</v>
      </c>
      <c r="AF295" s="195">
        <v>9979834.096944464</v>
      </c>
      <c r="AG295" s="195">
        <v>35746319.95794703</v>
      </c>
      <c r="AH295" s="195">
        <v>7500859.051649641</v>
      </c>
      <c r="AI295" s="195">
        <v>3567656.239924986</v>
      </c>
      <c r="AJ295" s="195">
        <v>313</v>
      </c>
      <c r="AK295" s="195">
        <v>2659</v>
      </c>
      <c r="AL295" s="195">
        <v>0.8865527225012118</v>
      </c>
      <c r="AM295" s="195">
        <v>65</v>
      </c>
      <c r="AN295" s="195">
        <v>0.01086048454469507</v>
      </c>
      <c r="AO295" s="195">
        <v>0.006892230576441102</v>
      </c>
      <c r="AP295" s="195">
        <v>0</v>
      </c>
      <c r="AQ295" s="195">
        <v>3</v>
      </c>
      <c r="AR295" s="195">
        <v>0</v>
      </c>
      <c r="AS295" s="195">
        <v>0</v>
      </c>
      <c r="AT295" s="195">
        <v>0</v>
      </c>
      <c r="AU295" s="195">
        <v>805.85</v>
      </c>
      <c r="AV295" s="195">
        <v>7.426940497611218</v>
      </c>
      <c r="AW295" s="195">
        <v>2.4377891697427625</v>
      </c>
      <c r="AX295" s="195">
        <v>193</v>
      </c>
      <c r="AY295" s="195">
        <v>1591</v>
      </c>
      <c r="AZ295" s="195">
        <v>0.1213073538654934</v>
      </c>
      <c r="BA295" s="195">
        <v>0.056284553662824935</v>
      </c>
      <c r="BB295" s="195">
        <v>0.237632</v>
      </c>
      <c r="BC295" s="195">
        <v>2151</v>
      </c>
      <c r="BD295" s="195">
        <v>2254</v>
      </c>
      <c r="BE295" s="195">
        <v>0.9543034605146407</v>
      </c>
      <c r="BF295" s="195">
        <v>0.5233619424723346</v>
      </c>
      <c r="BG295" s="195">
        <v>0</v>
      </c>
      <c r="BH295" s="195">
        <v>0</v>
      </c>
      <c r="BI295" s="195">
        <v>0</v>
      </c>
      <c r="BJ295" s="195">
        <v>-1436.3999999999999</v>
      </c>
      <c r="BK295" s="195">
        <v>-24538.499999999996</v>
      </c>
      <c r="BL295" s="195">
        <v>-1675.8000000000002</v>
      </c>
      <c r="BM295" s="195">
        <v>-8558.55</v>
      </c>
      <c r="BN295" s="195">
        <v>-239.4</v>
      </c>
      <c r="BO295" s="195">
        <v>126664</v>
      </c>
      <c r="BP295" s="195">
        <v>-212089.10579725922</v>
      </c>
      <c r="BQ295" s="195">
        <v>-511537.95</v>
      </c>
      <c r="BR295" s="195">
        <v>96496.76393330097</v>
      </c>
      <c r="BS295" s="195">
        <v>587503</v>
      </c>
      <c r="BT295" s="195">
        <v>170766</v>
      </c>
      <c r="BU295" s="195">
        <v>439282.3278928873</v>
      </c>
      <c r="BV295" s="195">
        <v>22135.671166588105</v>
      </c>
      <c r="BW295" s="195">
        <v>52404.35786021622</v>
      </c>
      <c r="BX295" s="195">
        <v>222121.41562959072</v>
      </c>
      <c r="BY295" s="195">
        <v>338418.62562740437</v>
      </c>
      <c r="BZ295" s="195">
        <v>547995.4616597563</v>
      </c>
      <c r="CA295" s="195">
        <v>174913.734527572</v>
      </c>
      <c r="CB295" s="195">
        <v>538.65</v>
      </c>
      <c r="CC295" s="195">
        <v>-218.17703829817037</v>
      </c>
      <c r="CD295" s="195">
        <v>2779380.931259018</v>
      </c>
      <c r="CE295" s="195">
        <v>1842747.7254617587</v>
      </c>
      <c r="CF295" s="195">
        <v>0</v>
      </c>
      <c r="CG295" s="229">
        <v>4309828.5979272695</v>
      </c>
      <c r="CH295" s="195">
        <v>-404126</v>
      </c>
      <c r="CI295" s="195">
        <v>26763.5239</v>
      </c>
      <c r="CJ295" s="195">
        <v>18125188.095694304</v>
      </c>
      <c r="CL295" s="195">
        <v>6068</v>
      </c>
    </row>
    <row r="296" spans="1:90" ht="9.75">
      <c r="A296" s="195">
        <v>992</v>
      </c>
      <c r="B296" s="195" t="s">
        <v>363</v>
      </c>
      <c r="C296" s="195">
        <v>19374</v>
      </c>
      <c r="D296" s="195">
        <v>67696254.62</v>
      </c>
      <c r="E296" s="195">
        <v>30248962.022560515</v>
      </c>
      <c r="F296" s="195">
        <v>3898060.66132379</v>
      </c>
      <c r="G296" s="195">
        <v>101843277.3038843</v>
      </c>
      <c r="H296" s="195">
        <v>3540.31</v>
      </c>
      <c r="I296" s="195">
        <v>68589965.94</v>
      </c>
      <c r="J296" s="195">
        <v>33253311.3638843</v>
      </c>
      <c r="K296" s="195">
        <v>729333.4090387298</v>
      </c>
      <c r="L296" s="195">
        <v>3845262.885833991</v>
      </c>
      <c r="M296" s="195">
        <v>0</v>
      </c>
      <c r="N296" s="195">
        <v>37827907.65875702</v>
      </c>
      <c r="O296" s="195">
        <v>5947788.847691165</v>
      </c>
      <c r="P296" s="195">
        <v>43775696.50644819</v>
      </c>
      <c r="Q296" s="195">
        <v>1181</v>
      </c>
      <c r="R296" s="195">
        <v>219</v>
      </c>
      <c r="S296" s="195">
        <v>1351</v>
      </c>
      <c r="T296" s="195">
        <v>703</v>
      </c>
      <c r="U296" s="195">
        <v>761</v>
      </c>
      <c r="V296" s="195">
        <v>10370</v>
      </c>
      <c r="W296" s="195">
        <v>2741</v>
      </c>
      <c r="X296" s="195">
        <v>1525</v>
      </c>
      <c r="Y296" s="195">
        <v>523</v>
      </c>
      <c r="Z296" s="195">
        <v>19</v>
      </c>
      <c r="AA296" s="195">
        <v>8</v>
      </c>
      <c r="AB296" s="195">
        <v>19028</v>
      </c>
      <c r="AC296" s="195">
        <v>319</v>
      </c>
      <c r="AD296" s="195">
        <v>4789</v>
      </c>
      <c r="AE296" s="195">
        <v>1.3745442596682378</v>
      </c>
      <c r="AF296" s="195">
        <v>30248962.022560515</v>
      </c>
      <c r="AG296" s="195">
        <v>3021555.202896057</v>
      </c>
      <c r="AH296" s="195">
        <v>848586.379570381</v>
      </c>
      <c r="AI296" s="195">
        <v>276493.35859418643</v>
      </c>
      <c r="AJ296" s="195">
        <v>1586</v>
      </c>
      <c r="AK296" s="195">
        <v>8731</v>
      </c>
      <c r="AL296" s="195">
        <v>1.3680997462902833</v>
      </c>
      <c r="AM296" s="195">
        <v>319</v>
      </c>
      <c r="AN296" s="195">
        <v>0.016465365954371838</v>
      </c>
      <c r="AO296" s="195">
        <v>0.01249711198611787</v>
      </c>
      <c r="AP296" s="195">
        <v>0</v>
      </c>
      <c r="AQ296" s="195">
        <v>19</v>
      </c>
      <c r="AR296" s="195">
        <v>8</v>
      </c>
      <c r="AS296" s="195">
        <v>0</v>
      </c>
      <c r="AT296" s="195">
        <v>0</v>
      </c>
      <c r="AU296" s="195">
        <v>884.49</v>
      </c>
      <c r="AV296" s="195">
        <v>21.904148153173015</v>
      </c>
      <c r="AW296" s="195">
        <v>0.8265701538718743</v>
      </c>
      <c r="AX296" s="195">
        <v>745</v>
      </c>
      <c r="AY296" s="195">
        <v>5802</v>
      </c>
      <c r="AZ296" s="195">
        <v>0.1284039986211651</v>
      </c>
      <c r="BA296" s="195">
        <v>0.06338119841849664</v>
      </c>
      <c r="BB296" s="195">
        <v>0</v>
      </c>
      <c r="BC296" s="195">
        <v>7077</v>
      </c>
      <c r="BD296" s="195">
        <v>6888</v>
      </c>
      <c r="BE296" s="195">
        <v>1.0274390243902438</v>
      </c>
      <c r="BF296" s="195">
        <v>0.5964975063479377</v>
      </c>
      <c r="BG296" s="195">
        <v>0</v>
      </c>
      <c r="BH296" s="195">
        <v>8</v>
      </c>
      <c r="BI296" s="195">
        <v>0</v>
      </c>
      <c r="BJ296" s="195">
        <v>-4649.76</v>
      </c>
      <c r="BK296" s="195">
        <v>-79433.4</v>
      </c>
      <c r="BL296" s="195">
        <v>-5424.72</v>
      </c>
      <c r="BM296" s="195">
        <v>-27704.82</v>
      </c>
      <c r="BN296" s="195">
        <v>-774.96</v>
      </c>
      <c r="BO296" s="195">
        <v>678179</v>
      </c>
      <c r="BP296" s="195">
        <v>-951899.9253117554</v>
      </c>
      <c r="BQ296" s="195">
        <v>-1655895.78</v>
      </c>
      <c r="BR296" s="195">
        <v>18012.54996163398</v>
      </c>
      <c r="BS296" s="195">
        <v>1489761</v>
      </c>
      <c r="BT296" s="195">
        <v>450815</v>
      </c>
      <c r="BU296" s="195">
        <v>1034431.5246544537</v>
      </c>
      <c r="BV296" s="195">
        <v>34021.999037244925</v>
      </c>
      <c r="BW296" s="195">
        <v>135664.67047937264</v>
      </c>
      <c r="BX296" s="195">
        <v>556663.5774633273</v>
      </c>
      <c r="BY296" s="195">
        <v>843413.5215587942</v>
      </c>
      <c r="BZ296" s="195">
        <v>1444256.7380260613</v>
      </c>
      <c r="CA296" s="195">
        <v>427421.03724652936</v>
      </c>
      <c r="CB296" s="195">
        <v>1743.6599999999999</v>
      </c>
      <c r="CC296" s="195">
        <v>27032.53271832975</v>
      </c>
      <c r="CD296" s="195">
        <v>7142579.251145747</v>
      </c>
      <c r="CE296" s="195">
        <v>3845262.885833991</v>
      </c>
      <c r="CF296" s="195">
        <v>0</v>
      </c>
      <c r="CG296" s="229">
        <v>5947788.847691165</v>
      </c>
      <c r="CH296" s="195">
        <v>-1641743</v>
      </c>
      <c r="CI296" s="195">
        <v>-69053.28110000002</v>
      </c>
      <c r="CJ296" s="195">
        <v>42133953.50644819</v>
      </c>
      <c r="CL296" s="195">
        <v>19646</v>
      </c>
    </row>
    <row r="298" spans="3:90" ht="9.75">
      <c r="C298" s="229"/>
      <c r="D298" s="229"/>
      <c r="E298" s="229"/>
      <c r="F298" s="229"/>
      <c r="G298" s="229"/>
      <c r="H298" s="229"/>
      <c r="I298" s="229"/>
      <c r="J298" s="229"/>
      <c r="K298" s="229"/>
      <c r="L298" s="229"/>
      <c r="M298" s="229"/>
      <c r="N298" s="229"/>
      <c r="O298" s="229"/>
      <c r="P298" s="229"/>
      <c r="Q298" s="229"/>
      <c r="R298" s="229"/>
      <c r="S298" s="229"/>
      <c r="T298" s="229"/>
      <c r="U298" s="229"/>
      <c r="V298" s="229"/>
      <c r="W298" s="229"/>
      <c r="X298" s="229"/>
      <c r="Y298" s="229"/>
      <c r="Z298" s="229"/>
      <c r="AA298" s="229"/>
      <c r="AB298" s="229"/>
      <c r="AC298" s="229"/>
      <c r="AD298" s="229"/>
      <c r="AE298" s="229"/>
      <c r="AF298" s="229"/>
      <c r="AG298" s="229"/>
      <c r="AH298" s="229"/>
      <c r="AI298" s="229"/>
      <c r="AJ298" s="229"/>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M103"/>
  <sheetViews>
    <sheetView zoomScalePageLayoutView="0" workbookViewId="0" topLeftCell="A1">
      <selection activeCell="A1" sqref="A1"/>
    </sheetView>
  </sheetViews>
  <sheetFormatPr defaultColWidth="9.140625" defaultRowHeight="12.75"/>
  <cols>
    <col min="1" max="4" width="2.7109375" style="0" customWidth="1"/>
    <col min="5" max="5" width="27.7109375" style="0" customWidth="1"/>
    <col min="6" max="6" width="11.140625" style="0" customWidth="1"/>
    <col min="7" max="7" width="13.7109375" style="0" customWidth="1"/>
    <col min="8" max="8" width="10.8515625" style="0" customWidth="1"/>
    <col min="9" max="9" width="8.00390625" style="0" customWidth="1"/>
    <col min="10" max="10" width="8.8515625" style="0" customWidth="1"/>
    <col min="11" max="11" width="12.7109375" style="0" customWidth="1"/>
    <col min="13" max="13" width="8.7109375" style="261" customWidth="1"/>
  </cols>
  <sheetData>
    <row r="1" spans="1:11" ht="15.75">
      <c r="A1" s="82" t="str">
        <f>'2.Yhteenveto'!A1</f>
        <v>3.10.2017, Kuntaliitto / SL</v>
      </c>
      <c r="E1" s="29"/>
      <c r="F1" s="8"/>
      <c r="G1" s="8"/>
      <c r="H1" s="8"/>
      <c r="I1" s="8"/>
      <c r="J1" s="8"/>
      <c r="K1" s="107" t="s">
        <v>400</v>
      </c>
    </row>
    <row r="2" spans="5:11" ht="12.75">
      <c r="E2" s="63"/>
      <c r="F2" s="8"/>
      <c r="G2" s="8"/>
      <c r="H2" s="8"/>
      <c r="I2" s="8"/>
      <c r="J2" s="8"/>
      <c r="K2" s="8"/>
    </row>
    <row r="3" spans="2:11" ht="18">
      <c r="B3" s="274" t="s">
        <v>646</v>
      </c>
      <c r="C3" s="275"/>
      <c r="D3" s="275"/>
      <c r="E3" s="275"/>
      <c r="F3" s="275"/>
      <c r="G3" s="275"/>
      <c r="H3" s="275"/>
      <c r="I3" s="275"/>
      <c r="J3" s="275"/>
      <c r="K3" s="276"/>
    </row>
    <row r="4" spans="5:10" ht="12.75">
      <c r="E4" s="8"/>
      <c r="F4" s="8"/>
      <c r="G4" s="8"/>
      <c r="H4" s="8"/>
      <c r="I4" s="8"/>
      <c r="J4" s="8"/>
    </row>
    <row r="5" spans="2:11" ht="12.75">
      <c r="B5" s="57" t="s">
        <v>48</v>
      </c>
      <c r="C5" s="28"/>
      <c r="D5" s="28"/>
      <c r="E5" s="42"/>
      <c r="F5" s="58" t="s">
        <v>375</v>
      </c>
      <c r="G5" s="8"/>
      <c r="H5" s="8"/>
      <c r="I5" s="8"/>
      <c r="J5" s="8"/>
      <c r="K5" s="8"/>
    </row>
    <row r="6" spans="2:11" ht="12.75">
      <c r="B6" s="28"/>
      <c r="C6" s="28"/>
      <c r="D6" s="28"/>
      <c r="E6" s="105"/>
      <c r="F6" s="58" t="s">
        <v>374</v>
      </c>
      <c r="G6" s="8"/>
      <c r="H6" s="8"/>
      <c r="I6" s="8"/>
      <c r="J6" s="8"/>
      <c r="K6" s="8"/>
    </row>
    <row r="7" spans="2:11" ht="12.75">
      <c r="B7" s="28"/>
      <c r="C7" s="28"/>
      <c r="D7" s="28"/>
      <c r="E7" s="8"/>
      <c r="F7" s="58"/>
      <c r="G7" s="8"/>
      <c r="H7" s="8"/>
      <c r="I7" s="8"/>
      <c r="J7" s="8"/>
      <c r="K7" s="8"/>
    </row>
    <row r="8" spans="2:11" ht="12.75">
      <c r="B8" s="120"/>
      <c r="C8" s="28"/>
      <c r="D8" s="28"/>
      <c r="E8" s="8"/>
      <c r="F8" s="58"/>
      <c r="G8" s="8"/>
      <c r="H8" s="8"/>
      <c r="I8" s="8"/>
      <c r="J8" s="8"/>
      <c r="K8" s="8"/>
    </row>
    <row r="9" spans="2:13" s="5" customFormat="1" ht="12.75">
      <c r="B9" s="87" t="s">
        <v>0</v>
      </c>
      <c r="F9" s="11" t="str">
        <f>'2.Yhteenveto'!G12</f>
        <v>Akaa</v>
      </c>
      <c r="G9" s="91"/>
      <c r="H9" s="28"/>
      <c r="I9" s="28"/>
      <c r="M9" s="261"/>
    </row>
    <row r="10" spans="2:13" s="5" customFormat="1" ht="12.75">
      <c r="B10" s="87" t="str">
        <f>'2.Yhteenveto'!B13</f>
        <v>Asukasluku 31.12.2016:</v>
      </c>
      <c r="F10" s="156">
        <f>'2.Yhteenveto'!$H$13</f>
        <v>16923</v>
      </c>
      <c r="G10" s="91"/>
      <c r="H10" s="28"/>
      <c r="I10" s="28"/>
      <c r="M10" s="261"/>
    </row>
    <row r="11" spans="3:11" ht="12.75">
      <c r="C11" s="36" t="s">
        <v>430</v>
      </c>
      <c r="F11" s="193"/>
      <c r="G11" s="120"/>
      <c r="H11" s="8"/>
      <c r="I11" s="8"/>
      <c r="J11" s="8"/>
      <c r="K11" s="27"/>
    </row>
    <row r="12" spans="3:11" ht="12.75">
      <c r="C12" s="36"/>
      <c r="F12" s="8"/>
      <c r="G12" s="120"/>
      <c r="H12" s="8"/>
      <c r="I12" s="8"/>
      <c r="J12" s="8"/>
      <c r="K12" s="27"/>
    </row>
    <row r="13" spans="2:11" ht="14.25">
      <c r="B13" s="28" t="s">
        <v>515</v>
      </c>
      <c r="F13" s="244">
        <f>INDEX(muutla_12,MATCH(F9,kunta,0),1,1)</f>
        <v>57.728125533003585</v>
      </c>
      <c r="G13" s="28" t="s">
        <v>588</v>
      </c>
      <c r="H13" s="74"/>
      <c r="I13" s="8"/>
      <c r="J13" s="8"/>
      <c r="K13" s="27"/>
    </row>
    <row r="14" spans="5:11" ht="12.75">
      <c r="E14" s="8"/>
      <c r="F14" s="9"/>
      <c r="G14" s="8"/>
      <c r="H14" s="8"/>
      <c r="I14" s="8"/>
      <c r="J14" s="8"/>
      <c r="K14" s="8"/>
    </row>
    <row r="15" spans="2:11" ht="12.75">
      <c r="B15" s="27" t="s">
        <v>431</v>
      </c>
      <c r="F15" s="8"/>
      <c r="G15" s="8"/>
      <c r="H15" s="8"/>
      <c r="I15" s="8"/>
      <c r="J15" s="8"/>
      <c r="K15" s="19"/>
    </row>
    <row r="16" spans="2:11" ht="12.75">
      <c r="B16" s="120" t="s">
        <v>656</v>
      </c>
      <c r="F16" s="8"/>
      <c r="G16" s="8"/>
      <c r="H16" s="8"/>
      <c r="I16" s="8"/>
      <c r="J16" s="8"/>
      <c r="K16" s="19"/>
    </row>
    <row r="17" spans="5:11" ht="12.75">
      <c r="E17" s="36"/>
      <c r="F17" s="62"/>
      <c r="G17" s="8"/>
      <c r="H17" s="75"/>
      <c r="I17" s="75"/>
      <c r="J17" s="8"/>
      <c r="K17" s="19"/>
    </row>
    <row r="18" spans="3:11" ht="12.75">
      <c r="C18" s="28" t="s">
        <v>62</v>
      </c>
      <c r="G18" s="74" t="s">
        <v>64</v>
      </c>
      <c r="J18" s="8"/>
      <c r="K18" s="37">
        <f>'10.Lukio'!J57</f>
        <v>0</v>
      </c>
    </row>
    <row r="19" spans="3:11" ht="12.75">
      <c r="C19" s="28" t="s">
        <v>17</v>
      </c>
      <c r="F19" s="8"/>
      <c r="G19" s="120" t="s">
        <v>18</v>
      </c>
      <c r="J19" s="8"/>
      <c r="K19" s="30"/>
    </row>
    <row r="20" spans="3:11" ht="12.75">
      <c r="C20" s="28" t="s">
        <v>65</v>
      </c>
      <c r="F20" s="8"/>
      <c r="G20" s="120" t="s">
        <v>18</v>
      </c>
      <c r="J20" s="8"/>
      <c r="K20" s="30"/>
    </row>
    <row r="21" spans="3:11" ht="12.75">
      <c r="C21" s="28" t="s">
        <v>63</v>
      </c>
      <c r="F21" s="8"/>
      <c r="G21" s="120" t="s">
        <v>18</v>
      </c>
      <c r="J21" s="8"/>
      <c r="K21" s="30"/>
    </row>
    <row r="22" spans="3:11" ht="12.75">
      <c r="C22" s="28" t="s">
        <v>19</v>
      </c>
      <c r="F22" s="8"/>
      <c r="G22" s="120" t="s">
        <v>18</v>
      </c>
      <c r="H22" s="8"/>
      <c r="I22" s="8"/>
      <c r="J22" s="8"/>
      <c r="K22" s="30"/>
    </row>
    <row r="23" spans="5:11" ht="12.75">
      <c r="E23" s="8"/>
      <c r="F23" s="8"/>
      <c r="G23" s="8"/>
      <c r="H23" s="8"/>
      <c r="I23" s="8"/>
      <c r="J23" s="8"/>
      <c r="K23" s="19"/>
    </row>
    <row r="24" spans="2:11" ht="12.75">
      <c r="B24" s="12" t="s">
        <v>385</v>
      </c>
      <c r="C24" s="134"/>
      <c r="D24" s="134"/>
      <c r="E24" s="134"/>
      <c r="F24" s="9"/>
      <c r="G24" s="9"/>
      <c r="H24" s="9"/>
      <c r="I24" s="9"/>
      <c r="J24" s="9"/>
      <c r="K24" s="109">
        <f>SUM(K17:K22)</f>
        <v>0</v>
      </c>
    </row>
    <row r="25" spans="5:11" ht="12.75">
      <c r="E25" s="8"/>
      <c r="F25" s="8"/>
      <c r="G25" s="8"/>
      <c r="H25" s="8"/>
      <c r="I25" s="8"/>
      <c r="J25" s="8"/>
      <c r="K25" s="19"/>
    </row>
    <row r="26" spans="2:11" ht="12.75">
      <c r="B26" s="27" t="s">
        <v>386</v>
      </c>
      <c r="G26" s="141">
        <v>255</v>
      </c>
      <c r="H26" s="8" t="s">
        <v>1</v>
      </c>
      <c r="I26" s="8"/>
      <c r="J26" s="19">
        <f>F10</f>
        <v>16923</v>
      </c>
      <c r="K26" s="16">
        <f>-G26*J26</f>
        <v>-4315365</v>
      </c>
    </row>
    <row r="27" spans="2:11" ht="12.75">
      <c r="B27" s="27"/>
      <c r="C27" s="68"/>
      <c r="G27" s="8"/>
      <c r="H27" s="8"/>
      <c r="I27" s="8"/>
      <c r="J27" s="19"/>
      <c r="K27" s="16"/>
    </row>
    <row r="28" spans="5:11" ht="12.75">
      <c r="E28" s="27"/>
      <c r="F28" s="38"/>
      <c r="G28" s="8"/>
      <c r="H28" s="19"/>
      <c r="I28" s="19"/>
      <c r="J28" s="8"/>
      <c r="K28" s="16"/>
    </row>
    <row r="29" spans="2:11" ht="12.75">
      <c r="B29" s="121" t="s">
        <v>387</v>
      </c>
      <c r="C29" s="93"/>
      <c r="D29" s="93"/>
      <c r="E29" s="93"/>
      <c r="F29" s="117"/>
      <c r="G29" s="116"/>
      <c r="H29" s="136"/>
      <c r="I29" s="136"/>
      <c r="J29" s="116"/>
      <c r="K29" s="118">
        <f>K24+K26</f>
        <v>-4315365</v>
      </c>
    </row>
    <row r="30" spans="5:11" ht="12.75">
      <c r="E30" s="8"/>
      <c r="F30" s="8"/>
      <c r="G30" s="8"/>
      <c r="H30" s="8"/>
      <c r="I30" s="8"/>
      <c r="J30" s="8"/>
      <c r="K30" s="19"/>
    </row>
    <row r="31" ht="14.25">
      <c r="E31" s="49"/>
    </row>
    <row r="32" spans="2:11" ht="12.75">
      <c r="B32" s="27" t="s">
        <v>388</v>
      </c>
      <c r="F32" s="8"/>
      <c r="G32" s="8"/>
      <c r="H32" s="8"/>
      <c r="I32" s="8"/>
      <c r="J32" s="8"/>
      <c r="K32" s="33"/>
    </row>
    <row r="33" spans="5:11" ht="12.75">
      <c r="E33" s="8"/>
      <c r="F33" s="8"/>
      <c r="G33" s="8"/>
      <c r="H33" s="8"/>
      <c r="I33" s="288"/>
      <c r="J33" s="8"/>
      <c r="K33" s="19"/>
    </row>
    <row r="34" spans="5:11" ht="12.75">
      <c r="E34" s="28" t="s">
        <v>589</v>
      </c>
      <c r="F34" s="100">
        <f>'8.Kotikuntakorvaukset'!F20</f>
        <v>6518.15</v>
      </c>
      <c r="G34" s="8"/>
      <c r="H34" s="8"/>
      <c r="I34" s="8"/>
      <c r="J34" s="8"/>
      <c r="K34" s="19"/>
    </row>
    <row r="35" spans="5:11" ht="13.5" thickBot="1">
      <c r="E35" s="110" t="s">
        <v>590</v>
      </c>
      <c r="F35" s="180">
        <f>-160.78-33.3-41.99</f>
        <v>-236.07</v>
      </c>
      <c r="G35" s="8"/>
      <c r="H35" s="8"/>
      <c r="I35" s="8"/>
      <c r="J35" s="8"/>
      <c r="K35" s="19"/>
    </row>
    <row r="36" spans="5:11" ht="13.5" thickTop="1">
      <c r="E36" s="28" t="s">
        <v>663</v>
      </c>
      <c r="F36" s="290">
        <f>F34+F35</f>
        <v>6282.08</v>
      </c>
      <c r="G36" s="8"/>
      <c r="H36" s="8"/>
      <c r="I36" s="8"/>
      <c r="J36" s="8"/>
      <c r="K36" s="19"/>
    </row>
    <row r="37" spans="5:11" ht="12.75">
      <c r="E37" s="28" t="s">
        <v>661</v>
      </c>
      <c r="F37" s="289">
        <v>0.9897</v>
      </c>
      <c r="G37" s="8"/>
      <c r="H37" s="8"/>
      <c r="I37" s="8"/>
      <c r="J37" s="8"/>
      <c r="K37" s="19"/>
    </row>
    <row r="38" spans="5:11" ht="12.75">
      <c r="E38" s="8"/>
      <c r="F38" s="8"/>
      <c r="G38" s="8"/>
      <c r="H38" s="8"/>
      <c r="I38" s="8"/>
      <c r="J38" s="8"/>
      <c r="K38" s="19"/>
    </row>
    <row r="39" spans="3:11" ht="12.75">
      <c r="C39" s="2"/>
      <c r="D39" s="2"/>
      <c r="E39" s="52"/>
      <c r="F39" s="137" t="s">
        <v>391</v>
      </c>
      <c r="G39" s="108"/>
      <c r="H39" s="108"/>
      <c r="I39" s="137" t="s">
        <v>392</v>
      </c>
      <c r="J39" s="108"/>
      <c r="K39" s="138"/>
    </row>
    <row r="40" spans="3:11" ht="12.75">
      <c r="C40" s="2"/>
      <c r="D40" s="2"/>
      <c r="E40" s="52"/>
      <c r="F40" s="137" t="s">
        <v>4</v>
      </c>
      <c r="G40" s="108" t="s">
        <v>390</v>
      </c>
      <c r="H40" s="108"/>
      <c r="I40" s="137" t="s">
        <v>5</v>
      </c>
      <c r="J40" s="108" t="s">
        <v>6</v>
      </c>
      <c r="K40" s="108" t="s">
        <v>372</v>
      </c>
    </row>
    <row r="41" spans="5:11" ht="12.75">
      <c r="E41" s="8"/>
      <c r="F41" s="8"/>
      <c r="G41" s="68"/>
      <c r="J41" s="8"/>
      <c r="K41" s="19"/>
    </row>
    <row r="42" spans="3:13" ht="12.75">
      <c r="C42" s="27" t="s">
        <v>36</v>
      </c>
      <c r="F42" s="46">
        <f>$F$36</f>
        <v>6282.08</v>
      </c>
      <c r="G42" s="120" t="s">
        <v>46</v>
      </c>
      <c r="I42" s="30"/>
      <c r="J42" s="8">
        <v>1.26</v>
      </c>
      <c r="K42" s="19">
        <f>F42*I42*J42*$F$37</f>
        <v>0</v>
      </c>
      <c r="M42" s="261">
        <f>J42*F42</f>
        <v>7915.4208</v>
      </c>
    </row>
    <row r="43" spans="3:11" ht="12.75">
      <c r="C43" s="27"/>
      <c r="F43" s="46"/>
      <c r="G43" s="120"/>
      <c r="I43" s="8"/>
      <c r="J43" s="8"/>
      <c r="K43" s="19"/>
    </row>
    <row r="44" spans="3:11" ht="12.75">
      <c r="C44" s="27" t="s">
        <v>35</v>
      </c>
      <c r="F44" s="8"/>
      <c r="J44" s="8"/>
      <c r="K44" s="19"/>
    </row>
    <row r="45" spans="4:13" ht="12.75">
      <c r="D45" s="28" t="s">
        <v>592</v>
      </c>
      <c r="F45" s="46">
        <f>$F$36</f>
        <v>6282.08</v>
      </c>
      <c r="G45" s="120" t="s">
        <v>46</v>
      </c>
      <c r="I45" s="30"/>
      <c r="J45" s="8">
        <v>4.76</v>
      </c>
      <c r="K45" s="19">
        <f>F45*I45*J45*$F$37</f>
        <v>0</v>
      </c>
      <c r="M45" s="261">
        <f>J45*F45</f>
        <v>29902.7008</v>
      </c>
    </row>
    <row r="46" spans="4:13" ht="12.75">
      <c r="D46" s="28" t="s">
        <v>662</v>
      </c>
      <c r="F46" s="46">
        <f>$F$36</f>
        <v>6282.08</v>
      </c>
      <c r="G46" s="120" t="s">
        <v>46</v>
      </c>
      <c r="I46" s="30"/>
      <c r="J46" s="8">
        <v>2.97</v>
      </c>
      <c r="K46" s="19">
        <f>F46*I46*J46*$F$37</f>
        <v>0</v>
      </c>
      <c r="M46" s="261">
        <f>J46*F46</f>
        <v>18657.7776</v>
      </c>
    </row>
    <row r="47" spans="5:11" ht="12.75">
      <c r="E47" s="8"/>
      <c r="F47" s="8"/>
      <c r="G47" s="68"/>
      <c r="J47" s="8"/>
      <c r="K47" s="19"/>
    </row>
    <row r="48" spans="3:13" ht="12.75">
      <c r="C48" s="27" t="s">
        <v>53</v>
      </c>
      <c r="F48" s="46">
        <f>$F$36</f>
        <v>6282.08</v>
      </c>
      <c r="G48" s="120" t="s">
        <v>46</v>
      </c>
      <c r="I48" s="30"/>
      <c r="J48" s="8">
        <v>0.46</v>
      </c>
      <c r="K48" s="19">
        <f>F48*I48*J48*$F$37</f>
        <v>0</v>
      </c>
      <c r="M48" s="261">
        <f>J48*F48</f>
        <v>2889.7568</v>
      </c>
    </row>
    <row r="49" spans="3:13" ht="12.75">
      <c r="C49" s="27" t="s">
        <v>591</v>
      </c>
      <c r="F49" s="46">
        <f>$F$36</f>
        <v>6282.08</v>
      </c>
      <c r="G49" s="120" t="s">
        <v>46</v>
      </c>
      <c r="I49" s="30"/>
      <c r="J49" s="8">
        <v>1.86</v>
      </c>
      <c r="K49" s="19">
        <f>F49*I49*J49*$F$37</f>
        <v>0</v>
      </c>
      <c r="M49" s="261">
        <f>J49*F49</f>
        <v>11684.668800000001</v>
      </c>
    </row>
    <row r="50" spans="5:11" ht="12.75">
      <c r="E50" s="27"/>
      <c r="F50" s="62"/>
      <c r="G50" s="120"/>
      <c r="I50" s="33"/>
      <c r="J50" s="8"/>
      <c r="K50" s="19"/>
    </row>
    <row r="51" spans="3:11" ht="12.75">
      <c r="C51" s="27" t="s">
        <v>37</v>
      </c>
      <c r="G51" s="68"/>
      <c r="K51" s="66"/>
    </row>
    <row r="52" spans="4:13" ht="12.75">
      <c r="D52" s="28" t="s">
        <v>617</v>
      </c>
      <c r="F52" s="46">
        <f>$F$34+$F$35</f>
        <v>6282.08</v>
      </c>
      <c r="G52" s="120" t="s">
        <v>46</v>
      </c>
      <c r="I52" s="30"/>
      <c r="J52" s="8">
        <v>1.41</v>
      </c>
      <c r="K52" s="19">
        <f>F52*I52*J52*$F$37</f>
        <v>0</v>
      </c>
      <c r="M52" s="261">
        <f>J52*F52</f>
        <v>8857.7328</v>
      </c>
    </row>
    <row r="53" spans="4:11" ht="12.75">
      <c r="D53" s="28"/>
      <c r="F53" s="46"/>
      <c r="G53" s="120"/>
      <c r="I53" s="120" t="s">
        <v>665</v>
      </c>
      <c r="J53" s="8"/>
      <c r="K53" s="19"/>
    </row>
    <row r="54" spans="4:13" ht="12.75">
      <c r="D54" s="28" t="s">
        <v>664</v>
      </c>
      <c r="F54" s="46">
        <f>$F$34+$F$35</f>
        <v>6282.08</v>
      </c>
      <c r="G54" s="120" t="s">
        <v>46</v>
      </c>
      <c r="I54" s="30"/>
      <c r="J54" s="8">
        <v>0.046</v>
      </c>
      <c r="K54" s="19">
        <f>F54*I54*J54*$F$37</f>
        <v>0</v>
      </c>
      <c r="M54" s="261">
        <f>J54*F54</f>
        <v>288.97568</v>
      </c>
    </row>
    <row r="55" spans="4:13" ht="14.25">
      <c r="D55" s="28" t="s">
        <v>666</v>
      </c>
      <c r="F55" s="46">
        <v>239.63</v>
      </c>
      <c r="G55" s="120" t="s">
        <v>52</v>
      </c>
      <c r="I55" s="30"/>
      <c r="J55" s="198" t="s">
        <v>49</v>
      </c>
      <c r="K55" s="19">
        <f>F55*I55*$F$37</f>
        <v>0</v>
      </c>
      <c r="M55" s="261">
        <f>F55</f>
        <v>239.63</v>
      </c>
    </row>
    <row r="56" spans="5:11" ht="12.75">
      <c r="E56" s="291" t="s">
        <v>667</v>
      </c>
      <c r="G56" s="120"/>
      <c r="I56" s="8"/>
      <c r="K56" s="19"/>
    </row>
    <row r="57" spans="2:11" ht="14.25">
      <c r="B57" s="139"/>
      <c r="K57" s="66"/>
    </row>
    <row r="58" spans="3:11" ht="12.75">
      <c r="C58" s="27" t="s">
        <v>51</v>
      </c>
      <c r="F58" s="62"/>
      <c r="G58" s="120"/>
      <c r="I58" s="33"/>
      <c r="J58" s="8"/>
      <c r="K58" s="19"/>
    </row>
    <row r="59" spans="4:13" ht="12.75">
      <c r="D59" s="27" t="s">
        <v>50</v>
      </c>
      <c r="F59" s="46">
        <v>3100</v>
      </c>
      <c r="G59" s="120" t="s">
        <v>52</v>
      </c>
      <c r="I59" s="30"/>
      <c r="J59" s="8"/>
      <c r="K59" s="19">
        <f>F59*I59</f>
        <v>0</v>
      </c>
      <c r="M59" s="261">
        <v>3100</v>
      </c>
    </row>
    <row r="60" spans="3:11" ht="12.75">
      <c r="C60" s="27"/>
      <c r="F60" s="62"/>
      <c r="G60" s="120"/>
      <c r="I60" s="33"/>
      <c r="J60" s="8"/>
      <c r="K60" s="19"/>
    </row>
    <row r="61" spans="3:11" ht="12.75">
      <c r="C61" s="27" t="s">
        <v>44</v>
      </c>
      <c r="G61" s="68"/>
      <c r="I61" s="120" t="s">
        <v>668</v>
      </c>
      <c r="K61" s="66"/>
    </row>
    <row r="62" spans="4:13" ht="12.75">
      <c r="D62" s="27" t="s">
        <v>45</v>
      </c>
      <c r="F62" s="46">
        <f>$F$34+$F$35</f>
        <v>6282.08</v>
      </c>
      <c r="G62" s="120" t="s">
        <v>46</v>
      </c>
      <c r="I62" s="30"/>
      <c r="J62" s="8">
        <v>0.186</v>
      </c>
      <c r="K62" s="19">
        <f>F62*I62*J62*$F$37</f>
        <v>0</v>
      </c>
      <c r="M62" s="261">
        <f>J62*F62</f>
        <v>1168.46688</v>
      </c>
    </row>
    <row r="63" spans="4:11" ht="12.75">
      <c r="D63" s="28"/>
      <c r="F63" s="46"/>
      <c r="G63" s="120"/>
      <c r="J63" s="8"/>
      <c r="K63" s="19"/>
    </row>
    <row r="64" spans="5:11" ht="12.75">
      <c r="E64" s="8"/>
      <c r="F64" s="8"/>
      <c r="G64" s="8"/>
      <c r="H64" s="8"/>
      <c r="I64" s="8"/>
      <c r="J64" s="8"/>
      <c r="K64" s="19"/>
    </row>
    <row r="65" spans="2:11" ht="12.75">
      <c r="B65" s="92" t="s">
        <v>393</v>
      </c>
      <c r="C65" s="93"/>
      <c r="D65" s="93"/>
      <c r="E65" s="115"/>
      <c r="F65" s="116"/>
      <c r="G65" s="116"/>
      <c r="H65" s="116"/>
      <c r="I65" s="116"/>
      <c r="J65" s="116"/>
      <c r="K65" s="118">
        <f>SUM(K42:K63)</f>
        <v>0</v>
      </c>
    </row>
    <row r="66" spans="5:11" ht="12.75">
      <c r="E66" s="8"/>
      <c r="F66" s="8"/>
      <c r="G66" s="8"/>
      <c r="H66" s="8"/>
      <c r="I66" s="8"/>
      <c r="J66" s="8"/>
      <c r="K66" s="19"/>
    </row>
    <row r="67" spans="5:11" ht="14.25">
      <c r="E67" s="49"/>
      <c r="K67" s="66"/>
    </row>
    <row r="68" spans="5:11" ht="14.25">
      <c r="E68" s="49"/>
      <c r="K68" s="126" t="s">
        <v>401</v>
      </c>
    </row>
    <row r="69" spans="2:11" ht="12.75">
      <c r="B69" s="1" t="s">
        <v>389</v>
      </c>
      <c r="E69" s="27"/>
      <c r="F69" s="27"/>
      <c r="G69" s="8"/>
      <c r="H69" s="27"/>
      <c r="I69" s="27"/>
      <c r="J69" s="27"/>
      <c r="K69" s="19"/>
    </row>
    <row r="70" spans="5:11" ht="12.75">
      <c r="E70" s="8"/>
      <c r="F70" s="27"/>
      <c r="G70" s="8"/>
      <c r="H70" s="27"/>
      <c r="I70" s="27"/>
      <c r="J70" s="27"/>
      <c r="K70" s="19"/>
    </row>
    <row r="71" spans="3:11" ht="12.75">
      <c r="C71" s="2"/>
      <c r="D71" s="2"/>
      <c r="E71" s="52"/>
      <c r="F71" s="137" t="s">
        <v>391</v>
      </c>
      <c r="G71" s="137"/>
      <c r="H71" s="137" t="s">
        <v>394</v>
      </c>
      <c r="I71" s="137" t="s">
        <v>395</v>
      </c>
      <c r="J71" s="137" t="s">
        <v>397</v>
      </c>
      <c r="K71" s="245"/>
    </row>
    <row r="72" spans="3:11" ht="12.75">
      <c r="C72" s="2"/>
      <c r="D72" s="2"/>
      <c r="E72" s="52"/>
      <c r="F72" s="137" t="s">
        <v>4</v>
      </c>
      <c r="G72" s="137" t="s">
        <v>390</v>
      </c>
      <c r="H72" s="137" t="s">
        <v>5</v>
      </c>
      <c r="I72" s="137" t="s">
        <v>396</v>
      </c>
      <c r="J72" s="137" t="s">
        <v>6</v>
      </c>
      <c r="K72" s="245" t="s">
        <v>372</v>
      </c>
    </row>
    <row r="73" spans="5:11" ht="12.75">
      <c r="E73" s="8"/>
      <c r="F73" s="27"/>
      <c r="G73" s="8"/>
      <c r="H73" s="27"/>
      <c r="I73" s="27"/>
      <c r="J73" s="27"/>
      <c r="K73" s="19"/>
    </row>
    <row r="74" spans="3:11" ht="12.75">
      <c r="C74" s="27" t="s">
        <v>7</v>
      </c>
      <c r="F74" s="46">
        <v>26</v>
      </c>
      <c r="G74" s="120" t="s">
        <v>669</v>
      </c>
      <c r="H74" s="42"/>
      <c r="I74" s="32">
        <v>0.57</v>
      </c>
      <c r="J74" s="27"/>
      <c r="K74" s="19">
        <f>F74*H74*I74</f>
        <v>0</v>
      </c>
    </row>
    <row r="75" spans="5:11" ht="12.75">
      <c r="E75" s="28"/>
      <c r="F75" s="46"/>
      <c r="G75" s="120"/>
      <c r="H75" s="8"/>
      <c r="I75" s="8"/>
      <c r="J75" s="8"/>
      <c r="K75" s="19"/>
    </row>
    <row r="76" spans="3:11" ht="12.75">
      <c r="C76" s="27" t="s">
        <v>682</v>
      </c>
      <c r="F76" s="46"/>
      <c r="G76" s="120"/>
      <c r="H76" s="8"/>
      <c r="I76" s="8"/>
      <c r="J76" s="8"/>
      <c r="K76" s="19"/>
    </row>
    <row r="77" spans="4:11" ht="12.75">
      <c r="D77" s="28" t="s">
        <v>683</v>
      </c>
      <c r="F77" s="46">
        <v>77.14</v>
      </c>
      <c r="G77" s="120" t="s">
        <v>671</v>
      </c>
      <c r="H77" s="30"/>
      <c r="I77" s="34">
        <v>0.57</v>
      </c>
      <c r="J77" s="26"/>
      <c r="K77" s="19">
        <f>F77*H77*I77</f>
        <v>0</v>
      </c>
    </row>
    <row r="78" spans="4:11" ht="12.75">
      <c r="D78" s="8"/>
      <c r="F78" s="46"/>
      <c r="G78" s="120"/>
      <c r="H78" s="120"/>
      <c r="I78" s="34"/>
      <c r="J78" s="26"/>
      <c r="K78" s="19"/>
    </row>
    <row r="79" spans="3:11" ht="12.75">
      <c r="C79" s="27" t="s">
        <v>8</v>
      </c>
      <c r="F79" s="46">
        <v>83.77</v>
      </c>
      <c r="G79" s="120" t="s">
        <v>671</v>
      </c>
      <c r="H79" s="30"/>
      <c r="I79" s="34">
        <v>0.57</v>
      </c>
      <c r="J79" s="8"/>
      <c r="K79" s="19">
        <f>F79*H79*I79</f>
        <v>0</v>
      </c>
    </row>
    <row r="80" spans="4:6" ht="12.75">
      <c r="D80" s="28"/>
      <c r="F80" s="46"/>
    </row>
    <row r="81" spans="3:11" ht="12.75">
      <c r="C81" s="27" t="s">
        <v>670</v>
      </c>
      <c r="F81" s="46">
        <v>297.48</v>
      </c>
      <c r="G81" s="292" t="s">
        <v>672</v>
      </c>
      <c r="H81" s="30"/>
      <c r="I81" s="34">
        <v>0.57</v>
      </c>
      <c r="J81" s="8"/>
      <c r="K81" s="19">
        <f>F81*H81*I81</f>
        <v>0</v>
      </c>
    </row>
    <row r="82" spans="3:11" ht="12.75">
      <c r="C82" s="27"/>
      <c r="F82" s="273" t="s">
        <v>681</v>
      </c>
      <c r="G82" s="292"/>
      <c r="H82" s="34"/>
      <c r="I82" s="34"/>
      <c r="J82" s="8"/>
      <c r="K82" s="19"/>
    </row>
    <row r="83" spans="5:11" ht="12.75">
      <c r="E83" s="8"/>
      <c r="F83" s="46"/>
      <c r="G83" s="120"/>
      <c r="H83" s="8"/>
      <c r="I83" s="8"/>
      <c r="J83" s="8"/>
      <c r="K83" s="19"/>
    </row>
    <row r="84" spans="3:11" ht="12.75">
      <c r="C84" s="27" t="s">
        <v>673</v>
      </c>
      <c r="F84" s="46">
        <v>123.58</v>
      </c>
      <c r="G84" s="120" t="s">
        <v>671</v>
      </c>
      <c r="H84" s="30"/>
      <c r="I84" s="34">
        <v>0.65</v>
      </c>
      <c r="J84" s="8"/>
      <c r="K84" s="19">
        <f>F84*H84*I84</f>
        <v>0</v>
      </c>
    </row>
    <row r="85" spans="5:11" ht="12.75">
      <c r="E85" s="8"/>
      <c r="F85" s="46"/>
      <c r="G85" s="120"/>
      <c r="H85" s="8"/>
      <c r="I85" s="8"/>
      <c r="J85" s="8"/>
      <c r="K85" s="19"/>
    </row>
    <row r="86" spans="3:11" ht="12.75">
      <c r="C86" s="27" t="s">
        <v>674</v>
      </c>
      <c r="F86" s="46">
        <v>156.94</v>
      </c>
      <c r="G86" s="120" t="s">
        <v>671</v>
      </c>
      <c r="H86" s="30"/>
      <c r="I86" s="34">
        <v>0.57</v>
      </c>
      <c r="J86" s="8"/>
      <c r="K86" s="19">
        <f>F86*H86*I86</f>
        <v>0</v>
      </c>
    </row>
    <row r="87" spans="5:11" ht="12.75">
      <c r="E87" s="8"/>
      <c r="F87" s="46"/>
      <c r="G87" s="120"/>
      <c r="H87" s="8"/>
      <c r="I87" s="8"/>
      <c r="J87" s="8"/>
      <c r="K87" s="19"/>
    </row>
    <row r="88" spans="3:11" ht="12.75">
      <c r="C88" s="27" t="s">
        <v>675</v>
      </c>
      <c r="F88" s="46">
        <v>95.9</v>
      </c>
      <c r="G88" s="120" t="s">
        <v>676</v>
      </c>
      <c r="H88" s="30"/>
      <c r="I88" s="34">
        <v>0.65</v>
      </c>
      <c r="J88" s="8"/>
      <c r="K88" s="19">
        <f>F88*H88*I88</f>
        <v>0</v>
      </c>
    </row>
    <row r="89" spans="5:11" ht="12.75">
      <c r="E89" s="8"/>
      <c r="F89" s="46"/>
      <c r="G89" s="120"/>
      <c r="H89" s="8"/>
      <c r="I89" s="8"/>
      <c r="J89" s="8"/>
      <c r="K89" s="19"/>
    </row>
    <row r="90" spans="3:11" ht="12.75">
      <c r="C90" s="27" t="s">
        <v>9</v>
      </c>
      <c r="F90" s="46">
        <v>12</v>
      </c>
      <c r="G90" s="120" t="s">
        <v>1</v>
      </c>
      <c r="H90" s="19">
        <f>F10</f>
        <v>16923</v>
      </c>
      <c r="I90" s="35">
        <v>0.297</v>
      </c>
      <c r="J90" s="26"/>
      <c r="K90" s="19">
        <f>F90*H90*I90</f>
        <v>60313.572</v>
      </c>
    </row>
    <row r="91" spans="3:11" ht="12.75">
      <c r="C91" s="8"/>
      <c r="F91" s="46"/>
      <c r="G91" s="120"/>
      <c r="H91" s="8"/>
      <c r="I91" s="8"/>
      <c r="J91" s="26"/>
      <c r="K91" s="19"/>
    </row>
    <row r="92" spans="3:11" ht="12.75">
      <c r="C92" s="27" t="s">
        <v>10</v>
      </c>
      <c r="F92" s="46">
        <v>15</v>
      </c>
      <c r="G92" s="120" t="s">
        <v>11</v>
      </c>
      <c r="H92" s="33">
        <f>F11</f>
        <v>0</v>
      </c>
      <c r="I92" s="35">
        <v>0.297</v>
      </c>
      <c r="J92" s="26"/>
      <c r="K92" s="19">
        <f>F92*H92*I92</f>
        <v>0</v>
      </c>
    </row>
    <row r="93" spans="3:11" ht="12.75">
      <c r="C93" s="8"/>
      <c r="F93" s="46"/>
      <c r="G93" s="120"/>
      <c r="H93" s="8"/>
      <c r="I93" s="8"/>
      <c r="J93" s="26"/>
      <c r="K93" s="19"/>
    </row>
    <row r="94" spans="3:11" ht="12.75">
      <c r="C94" s="27" t="s">
        <v>12</v>
      </c>
      <c r="F94" s="66">
        <v>64479</v>
      </c>
      <c r="G94" s="120" t="s">
        <v>13</v>
      </c>
      <c r="H94" s="30"/>
      <c r="I94" s="34">
        <v>0.37</v>
      </c>
      <c r="J94" s="26"/>
      <c r="K94" s="19">
        <f>F94*H94*I94</f>
        <v>0</v>
      </c>
    </row>
    <row r="95" spans="3:11" ht="12.75">
      <c r="C95" s="8"/>
      <c r="F95" s="66"/>
      <c r="G95" s="120"/>
      <c r="H95" s="19"/>
      <c r="I95" s="8"/>
      <c r="J95" s="26"/>
      <c r="K95" s="19"/>
    </row>
    <row r="96" spans="3:11" ht="12.75">
      <c r="C96" s="27" t="s">
        <v>14</v>
      </c>
      <c r="F96" s="66">
        <v>53639</v>
      </c>
      <c r="G96" s="120" t="s">
        <v>13</v>
      </c>
      <c r="H96" s="30"/>
      <c r="I96" s="34">
        <v>0.37</v>
      </c>
      <c r="J96" s="26"/>
      <c r="K96" s="19">
        <f>F96*H96*I96</f>
        <v>0</v>
      </c>
    </row>
    <row r="97" spans="3:11" ht="12.75">
      <c r="C97" s="8"/>
      <c r="F97" s="66"/>
      <c r="G97" s="120"/>
      <c r="H97" s="19"/>
      <c r="I97" s="8"/>
      <c r="J97" s="26"/>
      <c r="K97" s="19"/>
    </row>
    <row r="98" spans="3:11" ht="12.75">
      <c r="C98" s="27" t="s">
        <v>15</v>
      </c>
      <c r="F98" s="66">
        <v>49550</v>
      </c>
      <c r="G98" s="120" t="s">
        <v>13</v>
      </c>
      <c r="H98" s="30"/>
      <c r="I98" s="34">
        <v>0.37</v>
      </c>
      <c r="J98" s="26"/>
      <c r="K98" s="19">
        <f>F98*H98*I98</f>
        <v>0</v>
      </c>
    </row>
    <row r="99" spans="5:11" ht="12.75">
      <c r="E99" s="8"/>
      <c r="F99" s="8"/>
      <c r="G99" s="120"/>
      <c r="H99" s="8"/>
      <c r="I99" s="8"/>
      <c r="J99" s="8"/>
      <c r="K99" s="19"/>
    </row>
    <row r="100" spans="2:11" ht="12.75">
      <c r="B100" s="92" t="s">
        <v>399</v>
      </c>
      <c r="C100" s="93"/>
      <c r="D100" s="93"/>
      <c r="E100" s="115"/>
      <c r="F100" s="116"/>
      <c r="G100" s="116"/>
      <c r="H100" s="116"/>
      <c r="I100" s="116"/>
      <c r="J100" s="116"/>
      <c r="K100" s="118">
        <f>SUM(K74:K99)</f>
        <v>60313.572</v>
      </c>
    </row>
    <row r="101" spans="5:11" ht="12">
      <c r="E101" s="8"/>
      <c r="F101" s="8"/>
      <c r="G101" s="8"/>
      <c r="H101" s="8"/>
      <c r="I101" s="8"/>
      <c r="J101" s="8"/>
      <c r="K101" s="19"/>
    </row>
    <row r="102" spans="5:11" ht="12">
      <c r="E102" s="8"/>
      <c r="F102" s="8"/>
      <c r="G102" s="8"/>
      <c r="H102" s="8"/>
      <c r="I102" s="8"/>
      <c r="J102" s="8"/>
      <c r="K102" s="19"/>
    </row>
    <row r="103" spans="2:11" ht="12.75">
      <c r="B103" s="95" t="s">
        <v>398</v>
      </c>
      <c r="C103" s="85"/>
      <c r="D103" s="85"/>
      <c r="E103" s="96"/>
      <c r="F103" s="135"/>
      <c r="G103" s="135"/>
      <c r="H103" s="135"/>
      <c r="I103" s="135"/>
      <c r="J103" s="135"/>
      <c r="K103" s="102">
        <f>K29+K65+K100</f>
        <v>-4255051.428</v>
      </c>
    </row>
  </sheetData>
  <sheetProtection/>
  <protectedRanges>
    <protectedRange sqref="J79 J81:J82 J84 J86 J88" name="Alue9_1"/>
    <protectedRange sqref="H74:H77 H79 H81 H83:H98" name="Alue8_1"/>
    <protectedRange sqref="F74:F77 F79 F81:F98" name="Alue7_1"/>
    <protectedRange sqref="I54:I55 I58:I60 I41:I42 I62:I63 I45:I52" name="Alue5_1"/>
    <protectedRange sqref="F34:F37 F47 F50 F58 F60 F41" name="Alue4_1"/>
    <protectedRange sqref="G26" name="Alue3_1"/>
    <protectedRange sqref="K19:K22" name="Alue2_1"/>
    <protectedRange sqref="F11:F13" name="Alue1_1"/>
  </protectedRanges>
  <mergeCells count="1">
    <mergeCell ref="B3:K3"/>
  </mergeCells>
  <printOptions/>
  <pageMargins left="0.75" right="0.75" top="1" bottom="1" header="0.4921259845" footer="0.4921259845"/>
  <pageSetup fitToHeight="0" fitToWidth="1" horizontalDpi="600" verticalDpi="600" orientation="portrait" paperSize="9" scale="86" r:id="rId3"/>
  <rowBreaks count="1" manualBreakCount="1">
    <brk id="68" max="10" man="1"/>
  </rowBreaks>
  <legacyDrawing r:id="rId2"/>
</worksheet>
</file>

<file path=xl/worksheets/sheet11.xml><?xml version="1.0" encoding="utf-8"?>
<worksheet xmlns="http://schemas.openxmlformats.org/spreadsheetml/2006/main" xmlns:r="http://schemas.openxmlformats.org/officeDocument/2006/relationships">
  <sheetPr>
    <tabColor theme="8" tint="0.39998000860214233"/>
    <pageSetUpPr fitToPage="1"/>
  </sheetPr>
  <dimension ref="A1:M58"/>
  <sheetViews>
    <sheetView zoomScalePageLayoutView="0" workbookViewId="0" topLeftCell="A1">
      <selection activeCell="A1" sqref="A1"/>
    </sheetView>
  </sheetViews>
  <sheetFormatPr defaultColWidth="9.140625" defaultRowHeight="12.75"/>
  <cols>
    <col min="1" max="4" width="3.00390625" style="0" customWidth="1"/>
    <col min="5" max="5" width="11.8515625" style="0" customWidth="1"/>
    <col min="6" max="7" width="10.00390625" style="0" customWidth="1"/>
    <col min="8" max="8" width="11.57421875" style="0" customWidth="1"/>
    <col min="9" max="9" width="10.57421875" style="0" customWidth="1"/>
    <col min="10" max="11" width="11.7109375" style="0" customWidth="1"/>
    <col min="12" max="12" width="21.140625" style="0" bestFit="1" customWidth="1"/>
    <col min="13" max="13" width="11.57421875" style="0" bestFit="1" customWidth="1"/>
    <col min="14" max="14" width="13.421875" style="0" customWidth="1"/>
  </cols>
  <sheetData>
    <row r="1" spans="1:5" ht="18">
      <c r="A1" s="82" t="str">
        <f>'2.Yhteenveto'!A1</f>
        <v>3.10.2017, Kuntaliitto / SL</v>
      </c>
      <c r="E1" s="39"/>
    </row>
    <row r="2" ht="12.75">
      <c r="E2" s="63"/>
    </row>
    <row r="3" spans="2:10" ht="18">
      <c r="B3" s="274" t="s">
        <v>647</v>
      </c>
      <c r="C3" s="275"/>
      <c r="D3" s="275"/>
      <c r="E3" s="275"/>
      <c r="F3" s="275"/>
      <c r="G3" s="275"/>
      <c r="H3" s="275"/>
      <c r="I3" s="275"/>
      <c r="J3" s="276"/>
    </row>
    <row r="5" spans="2:6" ht="12.75">
      <c r="B5" s="57" t="s">
        <v>48</v>
      </c>
      <c r="C5" s="28"/>
      <c r="D5" s="28"/>
      <c r="E5" s="42"/>
      <c r="F5" s="58" t="s">
        <v>375</v>
      </c>
    </row>
    <row r="6" spans="2:6" ht="12.75">
      <c r="B6" s="28"/>
      <c r="C6" s="28"/>
      <c r="D6" s="28"/>
      <c r="E6" s="105"/>
      <c r="F6" s="58" t="s">
        <v>374</v>
      </c>
    </row>
    <row r="7" ht="12.75">
      <c r="M7" s="2"/>
    </row>
    <row r="8" spans="2:13" s="5" customFormat="1" ht="12.75">
      <c r="B8" s="87" t="s">
        <v>0</v>
      </c>
      <c r="F8" s="11" t="str">
        <f>'2.Yhteenveto'!G12</f>
        <v>Akaa</v>
      </c>
      <c r="G8" s="91"/>
      <c r="H8" s="303" t="s">
        <v>690</v>
      </c>
      <c r="I8" s="28"/>
      <c r="L8" s="190"/>
      <c r="M8" s="190"/>
    </row>
    <row r="9" spans="2:12" s="5" customFormat="1" ht="12.75">
      <c r="B9" s="87" t="str">
        <f>'2.Yhteenveto'!B13</f>
        <v>Asukasluku 31.12.2016:</v>
      </c>
      <c r="F9" s="156">
        <f>'2.Yhteenveto'!$H$13</f>
        <v>16923</v>
      </c>
      <c r="G9" s="91"/>
      <c r="H9" s="303" t="s">
        <v>689</v>
      </c>
      <c r="I9" s="28"/>
      <c r="L9" s="263" t="s">
        <v>648</v>
      </c>
    </row>
    <row r="10" spans="12:13" ht="12.75">
      <c r="L10" s="190" t="s">
        <v>52</v>
      </c>
      <c r="M10" s="264">
        <v>6070.92</v>
      </c>
    </row>
    <row r="11" spans="2:13" ht="15.75">
      <c r="B11" s="1" t="s">
        <v>402</v>
      </c>
      <c r="E11" s="4"/>
      <c r="L11" s="190" t="s">
        <v>618</v>
      </c>
      <c r="M11" s="264">
        <v>603543000</v>
      </c>
    </row>
    <row r="12" spans="3:13" ht="12.75">
      <c r="C12" s="2" t="s">
        <v>20</v>
      </c>
      <c r="E12" s="2"/>
      <c r="F12" s="40"/>
      <c r="G12" s="2"/>
      <c r="H12" s="100">
        <v>6070.92</v>
      </c>
      <c r="J12" s="2"/>
      <c r="L12" s="190" t="s">
        <v>619</v>
      </c>
      <c r="M12" s="265">
        <v>-441007000</v>
      </c>
    </row>
    <row r="13" spans="3:13" ht="12.75">
      <c r="C13" s="5" t="s">
        <v>686</v>
      </c>
      <c r="F13" s="2"/>
      <c r="G13" s="2"/>
      <c r="H13" s="100">
        <v>6004.29</v>
      </c>
      <c r="I13" s="300">
        <f>H13-H12</f>
        <v>-66.63000000000011</v>
      </c>
      <c r="J13" s="2"/>
      <c r="K13" s="2"/>
      <c r="L13" s="190" t="s">
        <v>620</v>
      </c>
      <c r="M13" s="264"/>
    </row>
    <row r="14" spans="3:13" ht="12.75">
      <c r="C14" s="5" t="s">
        <v>21</v>
      </c>
      <c r="F14" s="2"/>
      <c r="G14" s="2"/>
      <c r="H14" s="301">
        <v>0.9146278</v>
      </c>
      <c r="J14" s="2"/>
      <c r="K14" s="2"/>
      <c r="L14" s="266" t="s">
        <v>621</v>
      </c>
      <c r="M14" s="267"/>
    </row>
    <row r="15" spans="5:13" ht="12.75">
      <c r="E15" s="2"/>
      <c r="F15" s="2"/>
      <c r="G15" s="2"/>
      <c r="H15" s="41"/>
      <c r="I15" s="2"/>
      <c r="J15" s="2"/>
      <c r="K15" s="2"/>
      <c r="L15" s="262" t="s">
        <v>622</v>
      </c>
      <c r="M15" s="261">
        <f>I13</f>
        <v>-66.63000000000011</v>
      </c>
    </row>
    <row r="16" spans="5:12" ht="12.75">
      <c r="E16" s="2"/>
      <c r="F16" s="2"/>
      <c r="G16" s="2"/>
      <c r="I16" s="152" t="s">
        <v>22</v>
      </c>
      <c r="K16" s="2"/>
      <c r="L16" s="2"/>
    </row>
    <row r="17" spans="5:12" ht="12.75">
      <c r="E17" s="2"/>
      <c r="F17" s="2"/>
      <c r="G17" s="2"/>
      <c r="I17" s="152" t="s">
        <v>24</v>
      </c>
      <c r="J17" s="153" t="s">
        <v>23</v>
      </c>
      <c r="K17" s="2"/>
      <c r="L17" s="2"/>
    </row>
    <row r="18" spans="4:12" ht="12.75">
      <c r="D18" s="194" t="s">
        <v>684</v>
      </c>
      <c r="F18" s="2"/>
      <c r="G18" s="2"/>
      <c r="I18" s="42"/>
      <c r="J18" s="2">
        <f>IF(I18=0,0,IF(I18&lt;40,206,IF(I18&lt;60,100+0.4*(200-I18)+2.1*(60-I18),IF(I18&lt;200,100+0.4*(200-I18),IF(I18&gt;199,100)))))</f>
        <v>0</v>
      </c>
      <c r="K18" s="2"/>
      <c r="L18" s="2"/>
    </row>
    <row r="19" spans="4:12" ht="12.75">
      <c r="D19" s="194" t="s">
        <v>685</v>
      </c>
      <c r="F19" s="2"/>
      <c r="G19" s="2"/>
      <c r="I19" s="42"/>
      <c r="J19" s="2">
        <f>IF(I19=0,0,IF(I19&lt;40,206,IF(I19&lt;60,100+0.4*(200-I19)+2.1*(60-I19),IF(I19&lt;200,100+0.4*(200-I19),IF(I19&gt;199,100)))))</f>
        <v>0</v>
      </c>
      <c r="K19" s="2"/>
      <c r="L19" s="2"/>
    </row>
    <row r="20" spans="3:12" ht="12.75">
      <c r="C20" s="2" t="s">
        <v>3</v>
      </c>
      <c r="F20" s="2"/>
      <c r="G20" s="2"/>
      <c r="I20" s="43">
        <f>I18+I19</f>
        <v>0</v>
      </c>
      <c r="J20" s="2"/>
      <c r="K20" s="2"/>
      <c r="L20" s="2"/>
    </row>
    <row r="21" spans="6:12" ht="12.75">
      <c r="F21" s="2"/>
      <c r="G21" s="2"/>
      <c r="H21" s="41"/>
      <c r="I21" s="2"/>
      <c r="J21" s="2"/>
      <c r="K21" s="2"/>
      <c r="L21" s="2"/>
    </row>
    <row r="22" spans="3:12" ht="12.75">
      <c r="C22" s="2" t="s">
        <v>25</v>
      </c>
      <c r="F22" s="2"/>
      <c r="G22" s="2"/>
      <c r="H22" s="41"/>
      <c r="I22" s="2"/>
      <c r="J22" s="44">
        <f>IF(I20=0,100,((I18*J18+I19*J19)/I20))</f>
        <v>100</v>
      </c>
      <c r="K22" s="2"/>
      <c r="L22" s="2"/>
    </row>
    <row r="23" spans="6:12" ht="12.75">
      <c r="F23" s="2"/>
      <c r="G23" s="2"/>
      <c r="H23" s="41"/>
      <c r="I23" s="2"/>
      <c r="J23" s="2"/>
      <c r="K23" s="2"/>
      <c r="L23" s="2"/>
    </row>
    <row r="24" spans="3:12" ht="12.75">
      <c r="C24" s="5" t="s">
        <v>407</v>
      </c>
      <c r="F24" s="2"/>
      <c r="G24" s="2"/>
      <c r="H24" s="41"/>
      <c r="I24" s="2"/>
      <c r="J24" s="45">
        <f>IF(I20=0,H13*H14,H13*H14*J22/100)</f>
        <v>5491.690553262</v>
      </c>
      <c r="K24" s="2"/>
      <c r="L24" s="2"/>
    </row>
    <row r="25" spans="6:12" ht="12.75">
      <c r="F25" s="2"/>
      <c r="G25" s="2"/>
      <c r="H25" s="41"/>
      <c r="I25" s="2"/>
      <c r="J25" s="2"/>
      <c r="K25" s="2"/>
      <c r="L25" s="2"/>
    </row>
    <row r="26" spans="3:12" ht="12.75">
      <c r="C26" s="5" t="s">
        <v>406</v>
      </c>
      <c r="F26" s="2"/>
      <c r="G26" s="2"/>
      <c r="H26" s="41"/>
      <c r="I26" s="2"/>
      <c r="J26" s="31"/>
      <c r="K26" s="2"/>
      <c r="L26" s="2"/>
    </row>
    <row r="27" spans="6:12" ht="12.75">
      <c r="F27" s="2"/>
      <c r="G27" s="2"/>
      <c r="H27" s="41"/>
      <c r="I27" s="2"/>
      <c r="J27" s="2"/>
      <c r="K27" s="2"/>
      <c r="L27" s="2"/>
    </row>
    <row r="28" spans="2:11" ht="12.75">
      <c r="B28" s="142" t="s">
        <v>436</v>
      </c>
      <c r="C28" s="143"/>
      <c r="D28" s="143"/>
      <c r="E28" s="143"/>
      <c r="F28" s="143"/>
      <c r="G28" s="143"/>
      <c r="H28" s="144"/>
      <c r="I28" s="145">
        <f>ROUND(J24+(J24*J26/100),2)</f>
        <v>5491.69</v>
      </c>
      <c r="J28" s="146" t="s">
        <v>16</v>
      </c>
      <c r="K28" s="2"/>
    </row>
    <row r="29" spans="2:11" ht="12.75">
      <c r="B29" s="147" t="s">
        <v>437</v>
      </c>
      <c r="C29" s="148"/>
      <c r="D29" s="148"/>
      <c r="E29" s="148"/>
      <c r="F29" s="148"/>
      <c r="G29" s="148"/>
      <c r="H29" s="149"/>
      <c r="I29" s="150">
        <f>ROUND(0.58*I28,2)</f>
        <v>3185.18</v>
      </c>
      <c r="J29" s="151" t="s">
        <v>16</v>
      </c>
      <c r="K29" s="2"/>
    </row>
    <row r="30" spans="6:12" ht="12.75">
      <c r="F30" s="2"/>
      <c r="G30" s="2"/>
      <c r="H30" s="41"/>
      <c r="I30" s="2"/>
      <c r="J30" s="2"/>
      <c r="K30" s="2"/>
      <c r="L30" s="2"/>
    </row>
    <row r="31" spans="2:12" ht="12.75">
      <c r="B31" s="57" t="s">
        <v>403</v>
      </c>
      <c r="F31" s="2"/>
      <c r="G31" s="2"/>
      <c r="H31" s="41"/>
      <c r="I31" s="2"/>
      <c r="J31" s="2"/>
      <c r="K31" s="2"/>
      <c r="L31" s="2"/>
    </row>
    <row r="32" spans="3:12" ht="12.75">
      <c r="C32" s="195" t="s">
        <v>688</v>
      </c>
      <c r="F32" s="2"/>
      <c r="G32" s="2"/>
      <c r="H32" s="41"/>
      <c r="I32" s="2"/>
      <c r="J32" s="2"/>
      <c r="K32" s="2"/>
      <c r="L32" s="2"/>
    </row>
    <row r="33" spans="3:12" ht="12.75">
      <c r="C33" s="302" t="s">
        <v>687</v>
      </c>
      <c r="F33" s="2"/>
      <c r="G33" s="2"/>
      <c r="H33" s="41"/>
      <c r="I33" s="2"/>
      <c r="J33" s="2"/>
      <c r="K33" s="2"/>
      <c r="L33" s="2"/>
    </row>
    <row r="34" spans="6:12" ht="12.75">
      <c r="F34" s="2"/>
      <c r="G34" s="2"/>
      <c r="H34" s="41"/>
      <c r="I34" s="2"/>
      <c r="J34" s="2"/>
      <c r="K34" s="2"/>
      <c r="L34" s="2"/>
    </row>
    <row r="35" spans="2:12" ht="15.75">
      <c r="B35" s="1" t="s">
        <v>404</v>
      </c>
      <c r="E35" s="4"/>
      <c r="F35" s="2"/>
      <c r="G35" s="2"/>
      <c r="H35" s="41"/>
      <c r="I35" s="2"/>
      <c r="J35" s="2"/>
      <c r="K35" s="2"/>
      <c r="L35" s="2"/>
    </row>
    <row r="36" spans="6:12" ht="12.75">
      <c r="F36" s="2"/>
      <c r="G36" s="2"/>
      <c r="H36" s="41"/>
      <c r="I36" s="2"/>
      <c r="J36" s="2"/>
      <c r="K36" s="2"/>
      <c r="L36" s="2"/>
    </row>
    <row r="37" spans="6:12" ht="12.75">
      <c r="F37" s="2"/>
      <c r="G37" s="2"/>
      <c r="H37" s="152" t="s">
        <v>22</v>
      </c>
      <c r="I37" s="153" t="s">
        <v>26</v>
      </c>
      <c r="J37" s="2"/>
      <c r="K37" s="2"/>
      <c r="L37" s="2"/>
    </row>
    <row r="38" spans="6:12" ht="12.75">
      <c r="F38" s="2"/>
      <c r="G38" s="2"/>
      <c r="H38" s="152" t="s">
        <v>5</v>
      </c>
      <c r="I38" s="153" t="s">
        <v>27</v>
      </c>
      <c r="J38" s="2"/>
      <c r="K38" s="2"/>
      <c r="L38" s="2"/>
    </row>
    <row r="39" spans="4:12" ht="12.75">
      <c r="D39" s="5" t="s">
        <v>602</v>
      </c>
      <c r="F39" s="2"/>
      <c r="G39" s="2"/>
      <c r="H39" s="42"/>
      <c r="I39" s="31"/>
      <c r="J39" s="9"/>
      <c r="K39" s="2"/>
      <c r="L39" s="2"/>
    </row>
    <row r="40" spans="4:12" ht="12.75">
      <c r="D40" s="5" t="s">
        <v>603</v>
      </c>
      <c r="F40" s="2"/>
      <c r="G40" s="2"/>
      <c r="H40" s="42"/>
      <c r="I40" s="31"/>
      <c r="J40" s="9"/>
      <c r="K40" s="2"/>
      <c r="L40" s="2"/>
    </row>
    <row r="41" spans="3:12" ht="12.75">
      <c r="C41" t="s">
        <v>28</v>
      </c>
      <c r="F41" s="2"/>
      <c r="G41" s="2"/>
      <c r="H41" s="47">
        <f>(H39*7/12)+(H40*5/12)</f>
        <v>0</v>
      </c>
      <c r="I41" s="47">
        <f>(I39*7/12)+(I40*5/12)</f>
        <v>0</v>
      </c>
      <c r="J41" s="2"/>
      <c r="K41" s="2"/>
      <c r="L41" s="2"/>
    </row>
    <row r="42" spans="6:12" ht="12.75">
      <c r="F42" s="2"/>
      <c r="G42" s="2"/>
      <c r="H42" s="41"/>
      <c r="I42" s="2"/>
      <c r="J42" s="2"/>
      <c r="K42" s="2"/>
      <c r="L42" s="2"/>
    </row>
    <row r="43" spans="3:12" ht="12.75">
      <c r="C43" t="s">
        <v>29</v>
      </c>
      <c r="F43" s="2"/>
      <c r="G43" s="2"/>
      <c r="H43" s="41"/>
      <c r="I43" s="2"/>
      <c r="J43" s="31"/>
      <c r="K43" s="2"/>
      <c r="L43" s="2"/>
    </row>
    <row r="44" spans="6:12" ht="12">
      <c r="F44" s="2"/>
      <c r="G44" s="2"/>
      <c r="H44" s="41"/>
      <c r="I44" s="2"/>
      <c r="J44" s="2"/>
      <c r="K44" s="2"/>
      <c r="L44" s="2"/>
    </row>
    <row r="45" spans="6:12" ht="12">
      <c r="F45" s="2"/>
      <c r="G45" s="2"/>
      <c r="H45" s="41"/>
      <c r="I45" s="2"/>
      <c r="J45" s="2"/>
      <c r="K45" s="2"/>
      <c r="L45" s="2"/>
    </row>
    <row r="46" spans="3:12" ht="12">
      <c r="C46" s="5" t="s">
        <v>30</v>
      </c>
      <c r="F46" s="2"/>
      <c r="G46" s="2"/>
      <c r="H46" s="41"/>
      <c r="I46" s="2"/>
      <c r="J46" s="48">
        <f>I28*(H39*7/12+H40*5/12)</f>
        <v>0</v>
      </c>
      <c r="K46" s="2"/>
      <c r="L46" s="2"/>
    </row>
    <row r="47" spans="3:12" ht="12">
      <c r="C47" s="5" t="s">
        <v>31</v>
      </c>
      <c r="F47" s="2"/>
      <c r="G47" s="2"/>
      <c r="H47" s="41"/>
      <c r="I47" s="2"/>
      <c r="J47" s="48">
        <f>I29*(I39*7/12+I40*5/12)</f>
        <v>0</v>
      </c>
      <c r="K47" s="2"/>
      <c r="L47" s="2"/>
    </row>
    <row r="48" spans="3:12" ht="12">
      <c r="C48" s="5" t="s">
        <v>32</v>
      </c>
      <c r="F48" s="2"/>
      <c r="G48" s="2"/>
      <c r="H48" s="41"/>
      <c r="I48" s="2"/>
      <c r="J48" s="48">
        <f>I29*J43</f>
        <v>0</v>
      </c>
      <c r="K48" s="2"/>
      <c r="L48" s="2"/>
    </row>
    <row r="49" spans="3:12" ht="12">
      <c r="C49" s="5"/>
      <c r="F49" s="2"/>
      <c r="G49" s="2"/>
      <c r="H49" s="41"/>
      <c r="I49" s="2"/>
      <c r="J49" s="48"/>
      <c r="K49" s="2"/>
      <c r="L49" s="2"/>
    </row>
    <row r="50" spans="3:12" ht="12">
      <c r="C50" s="5" t="s">
        <v>623</v>
      </c>
      <c r="F50" s="2"/>
      <c r="G50" s="2"/>
      <c r="H50" s="41"/>
      <c r="I50" s="2"/>
      <c r="J50" s="48"/>
      <c r="K50" s="2"/>
      <c r="L50" s="2"/>
    </row>
    <row r="51" spans="3:12" ht="12">
      <c r="C51" s="5" t="s">
        <v>624</v>
      </c>
      <c r="F51" s="2"/>
      <c r="G51" s="2"/>
      <c r="H51" s="41"/>
      <c r="I51" s="2"/>
      <c r="J51" s="48"/>
      <c r="K51" s="2"/>
      <c r="L51" s="2"/>
    </row>
    <row r="52" spans="3:12" ht="12">
      <c r="C52" s="5"/>
      <c r="F52" s="2"/>
      <c r="G52" s="2"/>
      <c r="H52" s="41"/>
      <c r="I52" s="2"/>
      <c r="J52" s="48"/>
      <c r="K52" s="2"/>
      <c r="L52" s="2"/>
    </row>
    <row r="53" spans="2:12" ht="12">
      <c r="B53" s="57" t="s">
        <v>33</v>
      </c>
      <c r="L53" s="2"/>
    </row>
    <row r="54" spans="2:12" ht="12">
      <c r="B54" s="57" t="s">
        <v>61</v>
      </c>
      <c r="L54" s="2"/>
    </row>
    <row r="55" ht="12">
      <c r="B55" s="57" t="s">
        <v>34</v>
      </c>
    </row>
    <row r="56" spans="3:11" ht="12">
      <c r="C56" s="5"/>
      <c r="F56" s="2"/>
      <c r="G56" s="2"/>
      <c r="H56" s="41"/>
      <c r="I56" s="2"/>
      <c r="J56" s="48"/>
      <c r="K56" s="2"/>
    </row>
    <row r="57" spans="2:11" ht="12.75">
      <c r="B57" s="84" t="s">
        <v>405</v>
      </c>
      <c r="C57" s="85"/>
      <c r="D57" s="85"/>
      <c r="E57" s="104"/>
      <c r="F57" s="85"/>
      <c r="G57" s="85"/>
      <c r="H57" s="154"/>
      <c r="I57" s="85"/>
      <c r="J57" s="86">
        <f>SUM(J46:J48)</f>
        <v>0</v>
      </c>
      <c r="K57" s="2"/>
    </row>
    <row r="58" spans="6:10" ht="12">
      <c r="F58" s="2"/>
      <c r="G58" s="2"/>
      <c r="H58" s="41"/>
      <c r="I58" s="2"/>
      <c r="J58" s="2"/>
    </row>
  </sheetData>
  <sheetProtection/>
  <protectedRanges>
    <protectedRange sqref="J43" name="Alue5_1"/>
    <protectedRange sqref="H39:I40" name="Alue4_1"/>
    <protectedRange sqref="J26" name="Alue3_1"/>
    <protectedRange sqref="I18:I19" name="Alue2_1"/>
    <protectedRange sqref="H13:H14" name="Alue1_1"/>
  </protectedRanges>
  <mergeCells count="1">
    <mergeCell ref="B3:J3"/>
  </mergeCells>
  <hyperlinks>
    <hyperlink ref="C33" r:id="rId1" display="https://vos.oph.fi/cgi-bin/tiedot2.cgi?saaja=9053;tnimi=vos/v17/v06yt7s17.lis"/>
    <hyperlink ref="H8" r:id="rId2" display="Lisätiedot / OPH"/>
    <hyperlink ref="H9" r:id="rId3" display="Raportti vuoden 2017 yksikköhinnoista / OPH"/>
  </hyperlinks>
  <printOptions/>
  <pageMargins left="0.75" right="0.75" top="1" bottom="1" header="0.4921259845" footer="0.4921259845"/>
  <pageSetup fitToHeight="0" fitToWidth="1" horizontalDpi="600" verticalDpi="600" orientation="portrait" paperSize="9" r:id="rId6"/>
  <legacyDrawing r:id="rId5"/>
</worksheet>
</file>

<file path=xl/worksheets/sheet2.xml><?xml version="1.0" encoding="utf-8"?>
<worksheet xmlns="http://schemas.openxmlformats.org/spreadsheetml/2006/main" xmlns:r="http://schemas.openxmlformats.org/officeDocument/2006/relationships">
  <sheetPr>
    <tabColor theme="1"/>
    <pageSetUpPr fitToPage="1"/>
  </sheetPr>
  <dimension ref="A1:N19"/>
  <sheetViews>
    <sheetView workbookViewId="0" topLeftCell="A1">
      <selection activeCell="N13" sqref="N13"/>
    </sheetView>
  </sheetViews>
  <sheetFormatPr defaultColWidth="9.140625" defaultRowHeight="12.75"/>
  <cols>
    <col min="9" max="9" width="13.28125" style="0" customWidth="1"/>
    <col min="11" max="11" width="10.8515625" style="0" customWidth="1"/>
    <col min="12" max="12" width="3.57421875" style="0" customWidth="1"/>
    <col min="13" max="13" width="1.421875" style="0" customWidth="1"/>
  </cols>
  <sheetData>
    <row r="1" spans="1:12" ht="12.75">
      <c r="A1" s="64"/>
      <c r="L1" s="64"/>
    </row>
    <row r="2" spans="1:12" ht="12.75">
      <c r="A2" s="64"/>
      <c r="L2" s="64"/>
    </row>
    <row r="11" spans="1:14" ht="12">
      <c r="A11" s="5"/>
      <c r="B11" s="5"/>
      <c r="C11" s="5"/>
      <c r="D11" s="5"/>
      <c r="E11" s="5"/>
      <c r="F11" s="5"/>
      <c r="G11" s="5"/>
      <c r="H11" s="5"/>
      <c r="I11" s="5"/>
      <c r="L11" s="5"/>
      <c r="M11" s="5"/>
      <c r="N11" s="5"/>
    </row>
    <row r="12" spans="1:14" ht="12">
      <c r="A12" s="5"/>
      <c r="B12" s="5"/>
      <c r="C12" s="5"/>
      <c r="D12" s="5"/>
      <c r="E12" s="5"/>
      <c r="F12" s="5"/>
      <c r="G12" s="5"/>
      <c r="H12" s="5"/>
      <c r="I12" s="5"/>
      <c r="L12" s="5"/>
      <c r="M12" s="5"/>
      <c r="N12" s="5"/>
    </row>
    <row r="13" spans="1:14" ht="12">
      <c r="A13" s="5"/>
      <c r="B13" s="5"/>
      <c r="C13" s="5"/>
      <c r="D13" s="5"/>
      <c r="E13" s="5"/>
      <c r="F13" s="5"/>
      <c r="G13" s="5"/>
      <c r="H13" s="5"/>
      <c r="I13" s="5"/>
      <c r="L13" s="5"/>
      <c r="M13" s="5"/>
      <c r="N13" s="5"/>
    </row>
    <row r="14" spans="1:14" ht="12">
      <c r="A14" s="5"/>
      <c r="B14" s="5"/>
      <c r="C14" s="5"/>
      <c r="D14" s="5"/>
      <c r="E14" s="5"/>
      <c r="F14" s="5"/>
      <c r="G14" s="5"/>
      <c r="H14" s="5"/>
      <c r="I14" s="5"/>
      <c r="L14" s="5"/>
      <c r="M14" s="5"/>
      <c r="N14" s="5"/>
    </row>
    <row r="15" spans="1:14" ht="12">
      <c r="A15" s="5"/>
      <c r="B15" s="5"/>
      <c r="C15" s="5"/>
      <c r="D15" s="5"/>
      <c r="E15" s="5"/>
      <c r="F15" s="5"/>
      <c r="G15" s="5"/>
      <c r="H15" s="5"/>
      <c r="I15" s="5"/>
      <c r="L15" s="5"/>
      <c r="M15" s="5"/>
      <c r="N15" s="5"/>
    </row>
    <row r="16" spans="1:14" ht="12">
      <c r="A16" s="5"/>
      <c r="B16" s="5"/>
      <c r="C16" s="5"/>
      <c r="D16" s="5"/>
      <c r="E16" s="5"/>
      <c r="F16" s="5"/>
      <c r="G16" s="5"/>
      <c r="H16" s="5"/>
      <c r="I16" s="5"/>
      <c r="L16" s="5"/>
      <c r="M16" s="5"/>
      <c r="N16" s="5"/>
    </row>
    <row r="17" spans="1:14" ht="12">
      <c r="A17" s="5"/>
      <c r="B17" s="5"/>
      <c r="C17" s="5"/>
      <c r="D17" s="5"/>
      <c r="E17" s="5"/>
      <c r="F17" s="5"/>
      <c r="G17" s="5"/>
      <c r="H17" s="5"/>
      <c r="I17" s="5"/>
      <c r="L17" s="5"/>
      <c r="M17" s="5"/>
      <c r="N17" s="5"/>
    </row>
    <row r="19" spans="1:12" ht="12.75">
      <c r="A19" s="65"/>
      <c r="L19" s="65"/>
    </row>
  </sheetData>
  <sheetProtection sheet="1"/>
  <printOptions/>
  <pageMargins left="0.25" right="0.25" top="0.75" bottom="0.75" header="0.3" footer="0.3"/>
  <pageSetup fitToHeight="0"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BM101"/>
  <sheetViews>
    <sheetView tabSelected="1" zoomScaleSheetLayoutView="100" zoomScalePageLayoutView="0" workbookViewId="0" topLeftCell="A1">
      <selection activeCell="A1" sqref="A1"/>
    </sheetView>
  </sheetViews>
  <sheetFormatPr defaultColWidth="9.140625" defaultRowHeight="12.75"/>
  <cols>
    <col min="1" max="1" width="1.8515625" style="0" customWidth="1"/>
    <col min="2" max="2" width="2.8515625" style="0" customWidth="1"/>
    <col min="3" max="3" width="2.140625" style="0" customWidth="1"/>
    <col min="4" max="5" width="1.8515625" style="0" customWidth="1"/>
    <col min="6" max="6" width="8.7109375" style="0" customWidth="1"/>
    <col min="7" max="7" width="10.140625" style="0" customWidth="1"/>
    <col min="8" max="8" width="12.140625" style="0" customWidth="1"/>
    <col min="9" max="9" width="12.57421875" style="0" customWidth="1"/>
    <col min="10" max="10" width="9.57421875" style="0" customWidth="1"/>
    <col min="11" max="11" width="11.8515625" style="0" customWidth="1"/>
    <col min="12" max="12" width="14.140625" style="0" customWidth="1"/>
    <col min="13" max="13" width="13.00390625" style="0" customWidth="1"/>
    <col min="14" max="14" width="2.00390625" style="0" customWidth="1"/>
    <col min="15" max="15" width="9.28125" style="0" bestFit="1" customWidth="1"/>
    <col min="16" max="16" width="14.00390625" style="0" customWidth="1"/>
    <col min="17" max="43" width="9.28125" style="0" bestFit="1" customWidth="1"/>
    <col min="44" max="44" width="10.57421875" style="0" bestFit="1" customWidth="1"/>
    <col min="45" max="64" width="9.28125" style="0" bestFit="1" customWidth="1"/>
  </cols>
  <sheetData>
    <row r="1" spans="1:5" ht="12">
      <c r="A1" s="82" t="s">
        <v>660</v>
      </c>
      <c r="C1" s="82"/>
      <c r="D1" s="82"/>
      <c r="E1" s="82"/>
    </row>
    <row r="2" spans="2:5" ht="12">
      <c r="B2" s="59"/>
      <c r="C2" s="59"/>
      <c r="D2" s="59"/>
      <c r="E2" s="59"/>
    </row>
    <row r="3" spans="2:13" ht="18">
      <c r="B3" s="274" t="s">
        <v>631</v>
      </c>
      <c r="C3" s="275"/>
      <c r="D3" s="275"/>
      <c r="E3" s="275"/>
      <c r="F3" s="275"/>
      <c r="G3" s="275"/>
      <c r="H3" s="275"/>
      <c r="I3" s="275"/>
      <c r="J3" s="275"/>
      <c r="K3" s="275"/>
      <c r="L3" s="275"/>
      <c r="M3" s="276"/>
    </row>
    <row r="5" spans="2:5" ht="12.75">
      <c r="B5" s="1" t="s">
        <v>47</v>
      </c>
      <c r="C5" s="1"/>
      <c r="D5" s="1"/>
      <c r="E5" s="1"/>
    </row>
    <row r="7" ht="12" customHeight="1">
      <c r="F7" s="157" t="s">
        <v>413</v>
      </c>
    </row>
    <row r="8" spans="6:7" ht="12" customHeight="1">
      <c r="F8" s="158"/>
      <c r="G8" s="67" t="s">
        <v>416</v>
      </c>
    </row>
    <row r="9" spans="6:7" ht="12" customHeight="1">
      <c r="F9" s="79"/>
      <c r="G9" s="67" t="s">
        <v>417</v>
      </c>
    </row>
    <row r="12" spans="2:9" ht="20.25" customHeight="1">
      <c r="B12" s="1" t="s">
        <v>0</v>
      </c>
      <c r="F12" s="161" t="e">
        <f>INDEX(#REF!,MATCH(G12,#REF!,0),1,1)</f>
        <v>#REF!</v>
      </c>
      <c r="G12" s="277" t="s">
        <v>70</v>
      </c>
      <c r="H12" s="278"/>
      <c r="I12" s="68" t="s">
        <v>409</v>
      </c>
    </row>
    <row r="13" spans="2:9" ht="20.25" customHeight="1">
      <c r="B13" s="1" t="s">
        <v>632</v>
      </c>
      <c r="H13" s="160">
        <f>INDEX(vosC,MATCH($G$12,kunta,0),1,1)</f>
        <v>16923</v>
      </c>
      <c r="I13" s="68" t="s">
        <v>411</v>
      </c>
    </row>
    <row r="14" spans="2:13" ht="14.25">
      <c r="B14" s="49"/>
      <c r="C14" s="49"/>
      <c r="D14" s="49"/>
      <c r="E14" s="49"/>
      <c r="M14" s="3"/>
    </row>
    <row r="15" spans="12:13" ht="12.75">
      <c r="L15" s="68"/>
      <c r="M15" s="69"/>
    </row>
    <row r="16" spans="2:13" ht="12.75">
      <c r="B16" s="1" t="s">
        <v>366</v>
      </c>
      <c r="C16" s="1"/>
      <c r="D16" s="1"/>
      <c r="E16" s="1"/>
      <c r="L16" s="68" t="s">
        <v>372</v>
      </c>
      <c r="M16" s="68" t="s">
        <v>414</v>
      </c>
    </row>
    <row r="18" spans="4:13" ht="12.75">
      <c r="D18" s="5" t="s">
        <v>376</v>
      </c>
      <c r="E18" s="5"/>
      <c r="F18" s="5"/>
      <c r="L18" s="81">
        <f>'3.Ikärakenne'!I24</f>
        <v>59907890.02000001</v>
      </c>
      <c r="M18" s="162">
        <f>L18/$H$13</f>
        <v>3540.027774035337</v>
      </c>
    </row>
    <row r="19" ht="12.75">
      <c r="M19" s="162"/>
    </row>
    <row r="20" spans="4:13" ht="12.75">
      <c r="D20" s="5" t="s">
        <v>508</v>
      </c>
      <c r="E20" s="5"/>
      <c r="F20" s="5"/>
      <c r="L20" s="81">
        <f>'4.Muut lask. kustannukset'!J15</f>
        <v>17664085.80105413</v>
      </c>
      <c r="M20" s="162">
        <f>L20/$H$13</f>
        <v>1043.7916327515293</v>
      </c>
    </row>
    <row r="21" ht="12.75">
      <c r="M21" s="162"/>
    </row>
    <row r="22" spans="4:13" ht="12.75">
      <c r="D22" s="5" t="s">
        <v>509</v>
      </c>
      <c r="J22" s="33"/>
      <c r="K22" s="3"/>
      <c r="L22" s="80">
        <f>'4.Muut lask. kustannukset'!J79</f>
        <v>2764632.9365600846</v>
      </c>
      <c r="M22" s="162">
        <f>L22/$H$13</f>
        <v>163.36541609407814</v>
      </c>
    </row>
    <row r="23" ht="12.75">
      <c r="M23" s="162"/>
    </row>
    <row r="24" spans="4:16" ht="12.75">
      <c r="D24" s="5" t="s">
        <v>364</v>
      </c>
      <c r="E24" s="5"/>
      <c r="J24" s="166">
        <f>tiedot!$H$2*(-1)</f>
        <v>-3540.31</v>
      </c>
      <c r="K24" s="68" t="s">
        <v>1</v>
      </c>
      <c r="L24" s="80">
        <f>J24*H13</f>
        <v>-59912666.13</v>
      </c>
      <c r="M24" s="162">
        <f>L24/$H$13</f>
        <v>-3540.31</v>
      </c>
      <c r="P24" s="66"/>
    </row>
    <row r="25" ht="12.75">
      <c r="M25" s="162"/>
    </row>
    <row r="26" spans="4:13" ht="12.75">
      <c r="D26" s="5" t="s">
        <v>510</v>
      </c>
      <c r="E26" s="5"/>
      <c r="F26" s="5"/>
      <c r="L26" s="80">
        <f>'5.Lisäosat'!J35</f>
        <v>275497.48050828907</v>
      </c>
      <c r="M26" s="162">
        <f>L26/$H$13</f>
        <v>16.279470573083323</v>
      </c>
    </row>
    <row r="27" ht="12.75">
      <c r="M27" s="162"/>
    </row>
    <row r="28" spans="4:13" ht="12.75">
      <c r="D28" t="s">
        <v>54</v>
      </c>
      <c r="L28" s="80">
        <f>'6.Vähennykset ja lisäykset'!I76</f>
        <v>2707224.973434903</v>
      </c>
      <c r="M28" s="162">
        <f>L28/$H$13</f>
        <v>159.97311194438947</v>
      </c>
    </row>
    <row r="29" ht="12.75">
      <c r="M29" s="162"/>
    </row>
    <row r="30" spans="4:13" ht="12.75">
      <c r="D30" s="5" t="s">
        <v>596</v>
      </c>
      <c r="L30" s="80">
        <f>'7.Järjestelmämuutos 2015'!J25</f>
        <v>0</v>
      </c>
      <c r="M30" s="162">
        <f>L30/$H$13</f>
        <v>0</v>
      </c>
    </row>
    <row r="31" spans="2:13" ht="12.75">
      <c r="B31" s="55"/>
      <c r="C31" s="164"/>
      <c r="D31" s="164"/>
      <c r="E31" s="164"/>
      <c r="F31" s="164"/>
      <c r="G31" s="164"/>
      <c r="H31" s="164"/>
      <c r="I31" s="164"/>
      <c r="J31" s="164"/>
      <c r="K31" s="164"/>
      <c r="L31" s="164"/>
      <c r="M31" s="165"/>
    </row>
    <row r="32" spans="3:13" ht="12.75">
      <c r="C32" s="1" t="s">
        <v>365</v>
      </c>
      <c r="D32" s="1"/>
      <c r="E32" s="1"/>
      <c r="L32" s="60">
        <f>SUM(L18:L30)</f>
        <v>23406665.081557415</v>
      </c>
      <c r="M32" s="163">
        <f>L32/$H$13</f>
        <v>1383.1274053984173</v>
      </c>
    </row>
    <row r="34" spans="3:13" ht="12.75">
      <c r="C34" s="5" t="s">
        <v>367</v>
      </c>
      <c r="D34" s="5"/>
      <c r="E34" s="5"/>
      <c r="L34" s="159">
        <f>INDEX(tasa_1,MATCH($G$12,kunta,0),1,1)</f>
        <v>8921169.041351525</v>
      </c>
      <c r="M34" s="162">
        <f>L34/$H$13</f>
        <v>527.1623849997947</v>
      </c>
    </row>
    <row r="35" spans="2:13" ht="13.5" thickBot="1">
      <c r="B35" s="113"/>
      <c r="C35" s="113"/>
      <c r="D35" s="113"/>
      <c r="E35" s="113"/>
      <c r="F35" s="113"/>
      <c r="G35" s="113"/>
      <c r="H35" s="113"/>
      <c r="I35" s="113"/>
      <c r="J35" s="113"/>
      <c r="K35" s="113"/>
      <c r="L35" s="113"/>
      <c r="M35" s="167"/>
    </row>
    <row r="36" spans="2:16" ht="13.5" thickTop="1">
      <c r="B36" s="1" t="s">
        <v>368</v>
      </c>
      <c r="C36" s="1"/>
      <c r="D36" s="1"/>
      <c r="E36" s="1"/>
      <c r="L36" s="60">
        <f>L32+L34</f>
        <v>32327834.122908942</v>
      </c>
      <c r="M36" s="162">
        <f>L36/$H$13</f>
        <v>1910.289790398212</v>
      </c>
      <c r="P36" s="298" t="s">
        <v>677</v>
      </c>
    </row>
    <row r="37" spans="13:16" ht="12.75">
      <c r="M37" s="162"/>
      <c r="P37" s="269" t="s">
        <v>678</v>
      </c>
    </row>
    <row r="38" spans="2:16" ht="12.75">
      <c r="B38" s="1" t="s">
        <v>598</v>
      </c>
      <c r="C38" s="1"/>
      <c r="D38" s="1"/>
      <c r="E38" s="1"/>
      <c r="L38" s="83">
        <f>INDEX(okm,MATCH($G$12,kunta,0),1,1)</f>
        <v>-2162997</v>
      </c>
      <c r="M38" s="162">
        <f>L38/$H$13</f>
        <v>-127.81404006381847</v>
      </c>
      <c r="P38" s="293">
        <f>'9.Opetus ja kulttuuri, muu vos'!K103</f>
        <v>-4255051.428</v>
      </c>
    </row>
    <row r="39" spans="2:13" s="68" customFormat="1" ht="12.75">
      <c r="B39" s="257"/>
      <c r="C39" s="68" t="s">
        <v>657</v>
      </c>
      <c r="D39" s="257"/>
      <c r="E39" s="257"/>
      <c r="F39" s="257"/>
      <c r="G39" s="257"/>
      <c r="H39" s="257"/>
      <c r="I39" s="257"/>
      <c r="J39" s="257"/>
      <c r="L39" s="258"/>
      <c r="M39" s="256"/>
    </row>
    <row r="40" spans="4:13" s="269" customFormat="1" ht="12">
      <c r="D40" s="270" t="s">
        <v>658</v>
      </c>
      <c r="J40" s="271">
        <v>-255</v>
      </c>
      <c r="K40" s="269" t="s">
        <v>1</v>
      </c>
      <c r="L40" s="272">
        <f>J40*H13</f>
        <v>-4315365</v>
      </c>
      <c r="M40" s="273"/>
    </row>
    <row r="41" spans="4:13" s="269" customFormat="1" ht="12">
      <c r="D41" s="270" t="s">
        <v>659</v>
      </c>
      <c r="L41" s="272">
        <f>L38-L40</f>
        <v>2152368</v>
      </c>
      <c r="M41" s="273"/>
    </row>
    <row r="42" ht="12.75">
      <c r="P42" s="269" t="s">
        <v>633</v>
      </c>
    </row>
    <row r="43" spans="1:17" ht="12.75">
      <c r="A43" s="84" t="s">
        <v>633</v>
      </c>
      <c r="B43" s="85"/>
      <c r="C43" s="104"/>
      <c r="D43" s="104"/>
      <c r="E43" s="104"/>
      <c r="F43" s="85"/>
      <c r="G43" s="85"/>
      <c r="H43" s="85"/>
      <c r="I43" s="85"/>
      <c r="J43" s="85"/>
      <c r="K43" s="85"/>
      <c r="L43" s="168">
        <f>L36+L38</f>
        <v>30164837.122908942</v>
      </c>
      <c r="M43" s="169">
        <f>L43/$H$13</f>
        <v>1782.4757503343935</v>
      </c>
      <c r="P43" s="295">
        <f>L36+P38</f>
        <v>28072782.694908943</v>
      </c>
      <c r="Q43" s="294">
        <f>P43/$H$13</f>
        <v>1658.8537903982121</v>
      </c>
    </row>
    <row r="44" ht="12.75">
      <c r="M44" s="162"/>
    </row>
    <row r="45" spans="2:13" ht="12.75" hidden="1">
      <c r="B45" s="1" t="s">
        <v>60</v>
      </c>
      <c r="C45" s="1"/>
      <c r="D45" s="1"/>
      <c r="E45" s="1"/>
      <c r="M45" s="162"/>
    </row>
    <row r="46" spans="6:13" ht="12.75" hidden="1">
      <c r="F46" t="s">
        <v>370</v>
      </c>
      <c r="L46" s="81">
        <f>'8.Kotikuntakorvaukset'!H47*(-1)</f>
        <v>0</v>
      </c>
      <c r="M46" s="162"/>
    </row>
    <row r="47" spans="6:13" ht="13.5" hidden="1" thickBot="1">
      <c r="F47" s="113" t="s">
        <v>369</v>
      </c>
      <c r="G47" s="113"/>
      <c r="H47" s="113"/>
      <c r="I47" s="113"/>
      <c r="J47" s="113"/>
      <c r="K47" s="113"/>
      <c r="L47" s="242">
        <f>'8.Kotikuntakorvaukset'!H40</f>
        <v>0</v>
      </c>
      <c r="M47" s="162"/>
    </row>
    <row r="48" spans="5:13" ht="13.5" hidden="1" thickTop="1">
      <c r="E48" s="5" t="s">
        <v>586</v>
      </c>
      <c r="F48" s="5"/>
      <c r="L48" s="243">
        <f>'8.Kotikuntakorvaukset'!H50</f>
        <v>-584260.8934000001</v>
      </c>
      <c r="M48" s="162"/>
    </row>
    <row r="49" ht="12" hidden="1"/>
    <row r="50" spans="1:13" ht="18" customHeight="1" hidden="1">
      <c r="A50" s="142" t="s">
        <v>421</v>
      </c>
      <c r="B50" s="172"/>
      <c r="C50" s="143"/>
      <c r="D50" s="143"/>
      <c r="E50" s="143"/>
      <c r="F50" s="172"/>
      <c r="G50" s="172"/>
      <c r="H50" s="172"/>
      <c r="I50" s="172"/>
      <c r="J50" s="172"/>
      <c r="K50" s="172"/>
      <c r="L50" s="196" t="s">
        <v>372</v>
      </c>
      <c r="M50" s="197" t="s">
        <v>414</v>
      </c>
    </row>
    <row r="51" spans="1:13" ht="18" customHeight="1" hidden="1">
      <c r="A51" s="176"/>
      <c r="B51" s="177" t="s">
        <v>511</v>
      </c>
      <c r="C51" s="170"/>
      <c r="D51" s="170"/>
      <c r="E51" s="170"/>
      <c r="F51" s="171"/>
      <c r="G51" s="171"/>
      <c r="H51" s="171"/>
      <c r="I51" s="171"/>
      <c r="J51" s="171"/>
      <c r="K51" s="171"/>
      <c r="L51" s="248">
        <f>INDEX(vos_maks,MATCH($G$12,kunta,0),1,1)</f>
        <v>30164837.122908942</v>
      </c>
      <c r="M51" s="249">
        <f>L51/H13</f>
        <v>1782.4757503343935</v>
      </c>
    </row>
    <row r="52" spans="1:13" ht="18" customHeight="1" hidden="1">
      <c r="A52" s="173"/>
      <c r="B52" s="174" t="s">
        <v>415</v>
      </c>
      <c r="C52" s="175"/>
      <c r="D52" s="175"/>
      <c r="E52" s="175"/>
      <c r="F52" s="175"/>
      <c r="G52" s="175"/>
      <c r="H52" s="175"/>
      <c r="I52" s="175"/>
      <c r="J52" s="175"/>
      <c r="K52" s="175"/>
      <c r="L52" s="247">
        <f>L51/12</f>
        <v>2513736.4269090784</v>
      </c>
      <c r="M52" s="250">
        <f>L52/H13</f>
        <v>148.53964586119946</v>
      </c>
    </row>
    <row r="53" ht="12" hidden="1"/>
    <row r="54" spans="2:13" ht="12.75">
      <c r="B54" s="5" t="s">
        <v>597</v>
      </c>
      <c r="L54" s="251">
        <f>'8.Kotikuntakorvaukset'!H50</f>
        <v>-584260.8934000001</v>
      </c>
      <c r="M54" s="162">
        <f>L54/$H$13</f>
        <v>-34.52466426756486</v>
      </c>
    </row>
    <row r="55" ht="12.75">
      <c r="P55" s="269" t="s">
        <v>679</v>
      </c>
    </row>
    <row r="56" spans="1:17" ht="12.75">
      <c r="A56" s="252" t="s">
        <v>634</v>
      </c>
      <c r="B56" s="253"/>
      <c r="C56" s="253"/>
      <c r="D56" s="253"/>
      <c r="E56" s="253"/>
      <c r="F56" s="253"/>
      <c r="G56" s="253"/>
      <c r="H56" s="253"/>
      <c r="I56" s="253"/>
      <c r="J56" s="253"/>
      <c r="K56" s="253"/>
      <c r="L56" s="254">
        <f>L43+L54</f>
        <v>29580576.229508944</v>
      </c>
      <c r="M56" s="255">
        <f>L56/$H$13</f>
        <v>1747.9510860668288</v>
      </c>
      <c r="P56" s="297">
        <f>P43+L54</f>
        <v>27488521.801508944</v>
      </c>
      <c r="Q56" s="296">
        <f>P56/$H$13</f>
        <v>1624.3291261306474</v>
      </c>
    </row>
    <row r="57" spans="2:12" ht="12">
      <c r="B57" s="299" t="s">
        <v>680</v>
      </c>
      <c r="L57" s="251">
        <f>L56/12</f>
        <v>2465048.019125745</v>
      </c>
    </row>
    <row r="70" ht="12">
      <c r="BM70" s="190"/>
    </row>
    <row r="71" ht="12">
      <c r="BM71" s="190"/>
    </row>
    <row r="72" ht="12">
      <c r="BM72" s="190"/>
    </row>
    <row r="73" ht="12">
      <c r="BM73" s="190"/>
    </row>
    <row r="74" ht="12">
      <c r="BM74" s="190"/>
    </row>
    <row r="75" ht="12">
      <c r="BM75" s="190"/>
    </row>
    <row r="76" ht="12">
      <c r="BM76" s="190"/>
    </row>
    <row r="77" ht="12">
      <c r="BM77" s="190"/>
    </row>
    <row r="78" ht="12">
      <c r="BM78" s="190"/>
    </row>
    <row r="79" ht="12">
      <c r="BM79" s="190"/>
    </row>
    <row r="80" ht="12">
      <c r="BM80" s="190"/>
    </row>
    <row r="81" ht="12">
      <c r="BM81" s="190"/>
    </row>
    <row r="82" ht="12">
      <c r="BM82" s="190"/>
    </row>
    <row r="83" ht="12">
      <c r="BM83" s="190"/>
    </row>
    <row r="84" ht="12">
      <c r="BM84" s="190"/>
    </row>
    <row r="85" ht="12">
      <c r="BM85" s="190"/>
    </row>
    <row r="86" ht="12">
      <c r="BM86" s="190"/>
    </row>
    <row r="87" ht="12">
      <c r="BM87" s="190"/>
    </row>
    <row r="88" ht="12">
      <c r="BM88" s="190"/>
    </row>
    <row r="89" ht="12">
      <c r="BM89" s="190"/>
    </row>
    <row r="90" ht="12">
      <c r="BM90" s="190"/>
    </row>
    <row r="91" ht="12">
      <c r="BM91" s="190"/>
    </row>
    <row r="92" ht="12">
      <c r="BM92" s="190"/>
    </row>
    <row r="93" ht="12">
      <c r="BM93" s="190"/>
    </row>
    <row r="94" ht="12">
      <c r="BM94" s="190"/>
    </row>
    <row r="95" ht="12">
      <c r="BM95" s="190"/>
    </row>
    <row r="96" ht="12">
      <c r="BM96" s="190"/>
    </row>
    <row r="97" ht="12">
      <c r="BM97" s="190"/>
    </row>
    <row r="98" ht="12">
      <c r="BM98" s="190"/>
    </row>
    <row r="99" ht="12">
      <c r="BM99" s="190"/>
    </row>
    <row r="100" ht="12">
      <c r="BM100" s="190"/>
    </row>
    <row r="101" ht="12">
      <c r="BM101" s="190"/>
    </row>
  </sheetData>
  <sheetProtection/>
  <protectedRanges>
    <protectedRange sqref="G12:H12" name="Alue1"/>
    <protectedRange sqref="J24 J40" name="Alue2"/>
    <protectedRange sqref="L34" name="Alue3"/>
  </protectedRanges>
  <mergeCells count="2">
    <mergeCell ref="B3:M3"/>
    <mergeCell ref="G12:H12"/>
  </mergeCells>
  <dataValidations count="1">
    <dataValidation type="list" allowBlank="1" showInputMessage="1" showErrorMessage="1" sqref="G12:H12">
      <formula1>kunta</formula1>
    </dataValidation>
  </dataValidations>
  <printOptions/>
  <pageMargins left="0.25" right="0.25" top="0.75" bottom="0.75" header="0.3" footer="0.3"/>
  <pageSetup fitToHeight="1" fitToWidth="1" horizontalDpi="600" verticalDpi="600" orientation="portrait" paperSize="9" scale="14" r:id="rId1"/>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I25"/>
  <sheetViews>
    <sheetView zoomScalePageLayoutView="0" workbookViewId="0" topLeftCell="A1">
      <selection activeCell="A1" sqref="A1"/>
    </sheetView>
  </sheetViews>
  <sheetFormatPr defaultColWidth="9.140625" defaultRowHeight="12.75"/>
  <cols>
    <col min="1" max="4" width="2.140625" style="5" customWidth="1"/>
    <col min="5" max="5" width="16.00390625" style="5" customWidth="1"/>
    <col min="6" max="7" width="17.00390625" style="5" customWidth="1"/>
    <col min="8" max="8" width="15.57421875" style="5" customWidth="1"/>
    <col min="9" max="9" width="19.28125" style="5" customWidth="1"/>
    <col min="10" max="13" width="9.140625" style="5" customWidth="1"/>
    <col min="14" max="14" width="15.57421875" style="5" bestFit="1" customWidth="1"/>
    <col min="15" max="16384" width="9.140625" style="5" customWidth="1"/>
  </cols>
  <sheetData>
    <row r="1" spans="1:9" ht="12.75">
      <c r="A1" s="82" t="str">
        <f>'2.Yhteenveto'!A1</f>
        <v>3.10.2017, Kuntaliitto / SL</v>
      </c>
      <c r="E1" s="97"/>
      <c r="F1" s="28"/>
      <c r="G1" s="28"/>
      <c r="H1" s="28"/>
      <c r="I1" s="28"/>
    </row>
    <row r="2" spans="5:9" ht="12.75">
      <c r="E2" s="97"/>
      <c r="F2" s="28"/>
      <c r="G2" s="28"/>
      <c r="H2" s="61"/>
      <c r="I2" s="61"/>
    </row>
    <row r="3" spans="1:9" ht="18">
      <c r="A3" s="274" t="s">
        <v>635</v>
      </c>
      <c r="B3" s="275"/>
      <c r="C3" s="275"/>
      <c r="D3" s="275"/>
      <c r="E3" s="275"/>
      <c r="F3" s="275"/>
      <c r="G3" s="275"/>
      <c r="H3" s="275"/>
      <c r="I3" s="276"/>
    </row>
    <row r="4" spans="1:9" ht="12.75">
      <c r="A4" s="28"/>
      <c r="B4" s="28"/>
      <c r="C4" s="28"/>
      <c r="D4" s="28"/>
      <c r="E4" s="28"/>
      <c r="F4" s="27"/>
      <c r="G4" s="28"/>
      <c r="H4" s="28"/>
      <c r="I4" s="28"/>
    </row>
    <row r="5" spans="1:9" ht="12.75">
      <c r="A5" s="28"/>
      <c r="B5" s="57" t="s">
        <v>48</v>
      </c>
      <c r="C5" s="28"/>
      <c r="D5" s="28"/>
      <c r="E5" s="42"/>
      <c r="F5" s="58" t="s">
        <v>419</v>
      </c>
      <c r="H5" s="67"/>
      <c r="I5" s="67"/>
    </row>
    <row r="6" spans="1:9" ht="12.75">
      <c r="A6" s="28"/>
      <c r="B6" s="28"/>
      <c r="C6" s="28"/>
      <c r="D6" s="28"/>
      <c r="E6" s="105"/>
      <c r="F6" s="58" t="s">
        <v>418</v>
      </c>
      <c r="H6" s="67"/>
      <c r="I6" s="67"/>
    </row>
    <row r="7" spans="1:9" ht="12.75">
      <c r="A7" s="28"/>
      <c r="B7" s="28"/>
      <c r="C7" s="28"/>
      <c r="D7" s="28"/>
      <c r="E7" s="28"/>
      <c r="F7" s="27"/>
      <c r="G7" s="28"/>
      <c r="H7" s="28"/>
      <c r="I7" s="28"/>
    </row>
    <row r="8" spans="2:9" ht="12.75">
      <c r="B8" s="87" t="s">
        <v>0</v>
      </c>
      <c r="F8" s="11" t="str">
        <f>'2.Yhteenveto'!G12</f>
        <v>Akaa</v>
      </c>
      <c r="G8" s="91"/>
      <c r="H8" s="28"/>
      <c r="I8" s="28"/>
    </row>
    <row r="9" spans="2:9" ht="12.75">
      <c r="B9" s="87" t="str">
        <f>'2.Yhteenveto'!B13</f>
        <v>Asukasluku 31.12.2016:</v>
      </c>
      <c r="F9" s="156">
        <f>'2.Yhteenveto'!$H$13</f>
        <v>16923</v>
      </c>
      <c r="G9" s="91"/>
      <c r="H9" s="28"/>
      <c r="I9" s="28"/>
    </row>
    <row r="10" spans="5:9" ht="12.75">
      <c r="E10" s="27"/>
      <c r="F10" s="28"/>
      <c r="G10" s="28"/>
      <c r="H10" s="28"/>
      <c r="I10" s="155" t="s">
        <v>2</v>
      </c>
    </row>
    <row r="11" spans="2:9" ht="12.75">
      <c r="B11" s="27" t="s">
        <v>377</v>
      </c>
      <c r="F11" s="28"/>
      <c r="G11" s="28"/>
      <c r="H11" s="28"/>
      <c r="I11" s="155" t="s">
        <v>373</v>
      </c>
    </row>
    <row r="12" spans="3:9" ht="18" customHeight="1">
      <c r="C12" s="27" t="s">
        <v>376</v>
      </c>
      <c r="D12" s="27"/>
      <c r="F12" s="107" t="s">
        <v>5</v>
      </c>
      <c r="G12" s="107" t="s">
        <v>381</v>
      </c>
      <c r="H12" s="107" t="s">
        <v>6</v>
      </c>
      <c r="I12" s="103"/>
    </row>
    <row r="13" spans="5:9" ht="12">
      <c r="E13" s="28" t="s">
        <v>516</v>
      </c>
      <c r="F13" s="42">
        <f>INDEX(ikar_1,MATCH($F$8,kunta,0),1,1)</f>
        <v>1109</v>
      </c>
      <c r="G13" s="99">
        <v>8198.5</v>
      </c>
      <c r="H13" s="88"/>
      <c r="I13" s="90">
        <f aca="true" t="shared" si="0" ref="I13:I21">F13*G13</f>
        <v>9092136.5</v>
      </c>
    </row>
    <row r="14" spans="5:9" ht="12">
      <c r="E14" s="28" t="s">
        <v>41</v>
      </c>
      <c r="F14" s="42">
        <f>INDEX(ikar_2,MATCH($F$8,kunta,0),1,1)</f>
        <v>217</v>
      </c>
      <c r="G14" s="99">
        <v>8699.48</v>
      </c>
      <c r="H14" s="88"/>
      <c r="I14" s="90">
        <f t="shared" si="0"/>
        <v>1887787.16</v>
      </c>
    </row>
    <row r="15" spans="5:9" ht="12">
      <c r="E15" s="28" t="s">
        <v>40</v>
      </c>
      <c r="F15" s="42">
        <f>INDEX(ikar_3,MATCH($F$8,kunta,0),1,1)</f>
        <v>1354</v>
      </c>
      <c r="G15" s="99">
        <v>7291.01</v>
      </c>
      <c r="H15" s="88"/>
      <c r="I15" s="90">
        <f t="shared" si="0"/>
        <v>9872027.540000001</v>
      </c>
    </row>
    <row r="16" spans="5:9" ht="12">
      <c r="E16" s="28" t="s">
        <v>39</v>
      </c>
      <c r="F16" s="42">
        <f>INDEX(ikar_4,MATCH($F$8,kunta,0),1,1)</f>
        <v>626</v>
      </c>
      <c r="G16" s="99">
        <v>12522.23</v>
      </c>
      <c r="H16" s="88"/>
      <c r="I16" s="90">
        <f t="shared" si="0"/>
        <v>7838915.9799999995</v>
      </c>
    </row>
    <row r="17" spans="5:9" ht="12">
      <c r="E17" s="28" t="s">
        <v>517</v>
      </c>
      <c r="F17" s="42">
        <f>INDEX(ikar_5,MATCH($F$8,kunta,0),1,1)</f>
        <v>564</v>
      </c>
      <c r="G17" s="99">
        <v>4010.92</v>
      </c>
      <c r="H17" s="88"/>
      <c r="I17" s="90">
        <f t="shared" si="0"/>
        <v>2262158.88</v>
      </c>
    </row>
    <row r="18" spans="5:9" ht="12">
      <c r="E18" s="28" t="s">
        <v>518</v>
      </c>
      <c r="F18" s="42">
        <f>INDEX(ikar_6,MATCH($F$8,kunta,0),1,1)</f>
        <v>9411</v>
      </c>
      <c r="G18" s="99">
        <v>1009.22</v>
      </c>
      <c r="H18" s="88"/>
      <c r="I18" s="90">
        <f t="shared" si="0"/>
        <v>9497769.42</v>
      </c>
    </row>
    <row r="19" spans="5:9" ht="12">
      <c r="E19" s="28" t="s">
        <v>378</v>
      </c>
      <c r="F19" s="42">
        <f>INDEX(ikar_7,MATCH($F$8,kunta,0),1,1)</f>
        <v>2086</v>
      </c>
      <c r="G19" s="99">
        <v>2029.43</v>
      </c>
      <c r="H19" s="88"/>
      <c r="I19" s="90">
        <f t="shared" si="0"/>
        <v>4233390.98</v>
      </c>
    </row>
    <row r="20" spans="5:9" ht="12">
      <c r="E20" s="28" t="s">
        <v>379</v>
      </c>
      <c r="F20" s="42">
        <f>INDEX(ikar_8,MATCH($F$8,kunta,0),1,1)</f>
        <v>1064</v>
      </c>
      <c r="G20" s="99">
        <v>5563.64</v>
      </c>
      <c r="H20" s="88"/>
      <c r="I20" s="90">
        <f t="shared" si="0"/>
        <v>5919712.96</v>
      </c>
    </row>
    <row r="21" spans="3:9" ht="12.75" thickBot="1">
      <c r="C21" s="178"/>
      <c r="D21" s="178"/>
      <c r="E21" s="110" t="s">
        <v>380</v>
      </c>
      <c r="F21" s="179">
        <f>INDEX(ikar_9,MATCH($F$8,kunta,0),1,1)</f>
        <v>492</v>
      </c>
      <c r="G21" s="180">
        <v>18910.55</v>
      </c>
      <c r="H21" s="181"/>
      <c r="I21" s="182">
        <f t="shared" si="0"/>
        <v>9303990.6</v>
      </c>
    </row>
    <row r="22" spans="3:9" ht="13.5" thickTop="1">
      <c r="C22" s="16" t="s">
        <v>371</v>
      </c>
      <c r="D22" s="16"/>
      <c r="F22" s="14">
        <f>SUM(F13:F21)</f>
        <v>16923</v>
      </c>
      <c r="G22" s="259">
        <f>I22/F22</f>
        <v>3540.027774035337</v>
      </c>
      <c r="H22" s="89"/>
      <c r="I22" s="22">
        <f>SUM(I13:I21)</f>
        <v>59907890.02000001</v>
      </c>
    </row>
    <row r="23" spans="5:9" ht="12">
      <c r="E23" s="28"/>
      <c r="F23" s="28"/>
      <c r="G23" s="88"/>
      <c r="H23" s="28"/>
      <c r="I23" s="28"/>
    </row>
    <row r="24" spans="1:9" ht="12.75">
      <c r="A24" s="95" t="s">
        <v>519</v>
      </c>
      <c r="B24" s="106"/>
      <c r="C24" s="106"/>
      <c r="D24" s="106"/>
      <c r="E24" s="106"/>
      <c r="F24" s="96"/>
      <c r="G24" s="98"/>
      <c r="H24" s="96"/>
      <c r="I24" s="102">
        <f>I22</f>
        <v>59907890.02000001</v>
      </c>
    </row>
    <row r="25" ht="12.75">
      <c r="I25" s="140" t="s">
        <v>420</v>
      </c>
    </row>
  </sheetData>
  <sheetProtection/>
  <protectedRanges>
    <protectedRange sqref="F13:F21" name="Alue1"/>
    <protectedRange sqref="H13:H17" name="Alue2"/>
    <protectedRange sqref="G13:G21" name="Alue6"/>
  </protectedRanges>
  <mergeCells count="1">
    <mergeCell ref="A3:I3"/>
  </mergeCells>
  <printOptions/>
  <pageMargins left="0.75" right="0.75" top="1" bottom="1" header="0.4921259845" footer="0.4921259845"/>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theme="6" tint="0.39998000860214233"/>
    <pageSetUpPr fitToPage="1"/>
  </sheetPr>
  <dimension ref="A1:J83"/>
  <sheetViews>
    <sheetView zoomScalePageLayoutView="0" workbookViewId="0" topLeftCell="A1">
      <selection activeCell="J82" sqref="J82"/>
    </sheetView>
  </sheetViews>
  <sheetFormatPr defaultColWidth="9.140625" defaultRowHeight="12.75"/>
  <cols>
    <col min="1" max="2" width="2.00390625" style="0" customWidth="1"/>
    <col min="3" max="3" width="3.140625" style="0" customWidth="1"/>
    <col min="4" max="4" width="3.8515625" style="0" customWidth="1"/>
    <col min="5" max="5" width="16.8515625" style="0" customWidth="1"/>
    <col min="6" max="6" width="14.28125" style="0" customWidth="1"/>
    <col min="7" max="7" width="16.00390625" style="0" customWidth="1"/>
    <col min="8" max="8" width="11.140625" style="0" customWidth="1"/>
    <col min="9" max="9" width="6.140625" style="0" customWidth="1"/>
    <col min="10" max="10" width="13.7109375" style="0" bestFit="1" customWidth="1"/>
  </cols>
  <sheetData>
    <row r="1" spans="1:10" ht="12.75">
      <c r="A1" s="82" t="str">
        <f>'2.Yhteenveto'!A1</f>
        <v>3.10.2017, Kuntaliitto / SL</v>
      </c>
      <c r="F1" s="97"/>
      <c r="G1" s="6"/>
      <c r="H1" s="6"/>
      <c r="I1" s="6"/>
      <c r="J1" s="6"/>
    </row>
    <row r="2" spans="6:10" ht="12.75">
      <c r="F2" s="97"/>
      <c r="G2" s="6"/>
      <c r="H2" s="6"/>
      <c r="I2" s="6"/>
      <c r="J2" s="6"/>
    </row>
    <row r="3" spans="1:10" ht="15">
      <c r="A3" s="279" t="s">
        <v>520</v>
      </c>
      <c r="B3" s="280"/>
      <c r="C3" s="280"/>
      <c r="D3" s="280"/>
      <c r="E3" s="280"/>
      <c r="F3" s="280"/>
      <c r="G3" s="280"/>
      <c r="H3" s="280"/>
      <c r="I3" s="280"/>
      <c r="J3" s="281"/>
    </row>
    <row r="4" spans="1:10" ht="15">
      <c r="A4" s="282" t="s">
        <v>636</v>
      </c>
      <c r="B4" s="283"/>
      <c r="C4" s="283"/>
      <c r="D4" s="283"/>
      <c r="E4" s="283"/>
      <c r="F4" s="283"/>
      <c r="G4" s="283"/>
      <c r="H4" s="283"/>
      <c r="I4" s="283"/>
      <c r="J4" s="284"/>
    </row>
    <row r="5" spans="6:10" ht="12">
      <c r="F5" s="8"/>
      <c r="G5" s="8"/>
      <c r="H5" s="6"/>
      <c r="I5" s="6"/>
      <c r="J5" s="6"/>
    </row>
    <row r="6" spans="3:10" ht="12">
      <c r="C6" s="57" t="s">
        <v>48</v>
      </c>
      <c r="D6" s="28"/>
      <c r="E6" s="42"/>
      <c r="F6" s="58" t="s">
        <v>419</v>
      </c>
      <c r="I6" s="6"/>
      <c r="J6" s="6"/>
    </row>
    <row r="7" spans="3:10" ht="12">
      <c r="C7" s="28"/>
      <c r="D7" s="28"/>
      <c r="E7" s="105"/>
      <c r="F7" s="58" t="s">
        <v>418</v>
      </c>
      <c r="I7" s="6"/>
      <c r="J7" s="6"/>
    </row>
    <row r="8" spans="6:10" ht="12">
      <c r="F8" s="8"/>
      <c r="G8" s="8"/>
      <c r="H8" s="6"/>
      <c r="I8" s="6"/>
      <c r="J8" s="6"/>
    </row>
    <row r="9" spans="2:10" ht="15.75" customHeight="1">
      <c r="B9" s="87" t="s">
        <v>0</v>
      </c>
      <c r="E9" s="9"/>
      <c r="F9" s="156" t="str">
        <f>'2.Yhteenveto'!G12</f>
        <v>Akaa</v>
      </c>
      <c r="H9" s="6"/>
      <c r="I9" s="6"/>
      <c r="J9" s="6"/>
    </row>
    <row r="10" spans="2:10" ht="15.75" customHeight="1">
      <c r="B10" s="87" t="str">
        <f>'2.Yhteenveto'!B13</f>
        <v>Asukasluku 31.12.2016:</v>
      </c>
      <c r="E10" s="8"/>
      <c r="F10" s="156">
        <f>'2.Yhteenveto'!$H$13</f>
        <v>16923</v>
      </c>
      <c r="H10" s="6"/>
      <c r="I10" s="6"/>
      <c r="J10" s="6"/>
    </row>
    <row r="11" spans="2:10" ht="15.75" customHeight="1">
      <c r="B11" s="87"/>
      <c r="E11" s="8"/>
      <c r="G11" s="8"/>
      <c r="H11" s="230"/>
      <c r="I11" s="6"/>
      <c r="J11" s="6"/>
    </row>
    <row r="12" spans="2:10" ht="15.75" customHeight="1">
      <c r="B12" s="27" t="s">
        <v>604</v>
      </c>
      <c r="E12" s="8"/>
      <c r="G12" s="8"/>
      <c r="I12" s="6"/>
      <c r="J12" s="260">
        <f>INDEX(sair_0,MATCH($F$9,kunta,0),1,1)</f>
        <v>0.9189277324642825</v>
      </c>
    </row>
    <row r="13" spans="2:10" ht="15.75" customHeight="1" thickBot="1">
      <c r="B13" s="27"/>
      <c r="C13" s="113" t="s">
        <v>649</v>
      </c>
      <c r="D13" s="113"/>
      <c r="E13" s="223"/>
      <c r="F13" s="113"/>
      <c r="G13" s="223"/>
      <c r="H13" s="113"/>
      <c r="I13" s="223"/>
      <c r="J13" s="219">
        <v>1135.88</v>
      </c>
    </row>
    <row r="14" spans="2:10" ht="15.75" customHeight="1" thickTop="1">
      <c r="B14" s="27"/>
      <c r="E14" s="8"/>
      <c r="G14" s="8"/>
      <c r="I14" s="6"/>
      <c r="J14" s="14">
        <f>F10*J12*J13</f>
        <v>17664085.80105413</v>
      </c>
    </row>
    <row r="15" spans="3:10" ht="15.75" customHeight="1">
      <c r="C15" s="5" t="s">
        <v>521</v>
      </c>
      <c r="E15" s="8"/>
      <c r="G15" s="6"/>
      <c r="I15" s="15"/>
      <c r="J15" s="22">
        <f>INDEX(sair_1,MATCH($F$9,kunta,0),1,1)</f>
        <v>17664085.80105413</v>
      </c>
    </row>
    <row r="16" spans="3:10" ht="15.75" customHeight="1">
      <c r="C16" s="5"/>
      <c r="E16" s="8"/>
      <c r="G16" s="15"/>
      <c r="I16" s="15"/>
      <c r="J16" s="6"/>
    </row>
    <row r="17" spans="2:10" ht="15.75" customHeight="1">
      <c r="B17" s="27" t="s">
        <v>522</v>
      </c>
      <c r="C17" s="5"/>
      <c r="E17" s="8"/>
      <c r="G17" s="15"/>
      <c r="I17" s="15"/>
      <c r="J17" s="6"/>
    </row>
    <row r="18" spans="3:9" ht="15.75" customHeight="1">
      <c r="C18" s="1"/>
      <c r="G18" s="112"/>
      <c r="H18" s="15"/>
      <c r="I18" s="15"/>
    </row>
    <row r="19" spans="3:10" ht="15.75" customHeight="1">
      <c r="C19" s="12" t="s">
        <v>523</v>
      </c>
      <c r="F19" s="126" t="str">
        <f>$F$9</f>
        <v>Akaa</v>
      </c>
      <c r="G19" s="140" t="s">
        <v>527</v>
      </c>
      <c r="H19" s="24"/>
      <c r="I19" s="24"/>
      <c r="J19" s="25"/>
    </row>
    <row r="20" spans="4:10" ht="15.75" customHeight="1">
      <c r="D20" s="5" t="s">
        <v>524</v>
      </c>
      <c r="F20" s="30">
        <f>INDEX(muutla_1,MATCH($F$9,kunta,0),1,1)</f>
        <v>1136</v>
      </c>
      <c r="G20" s="66">
        <f>SUM(muutla_1)</f>
        <v>348082</v>
      </c>
      <c r="H20" s="17"/>
      <c r="I20" s="18" t="e">
        <f>IF(F21&lt;=40,0.1*(LN(40)-LN(F21)),0)*#REF!</f>
        <v>#REF!</v>
      </c>
      <c r="J20" s="19"/>
    </row>
    <row r="21" spans="4:10" ht="15.75" customHeight="1" thickBot="1">
      <c r="D21" s="178" t="s">
        <v>526</v>
      </c>
      <c r="E21" s="207"/>
      <c r="F21" s="205">
        <f>INDEX(muutla_2,MATCH($F$9,kunta,0),1,1)</f>
        <v>8010</v>
      </c>
      <c r="G21" s="192">
        <f>SUM(muutla_2)</f>
        <v>2621562</v>
      </c>
      <c r="H21" s="17"/>
      <c r="I21" s="18"/>
      <c r="J21" s="19"/>
    </row>
    <row r="22" spans="4:9" ht="15.75" customHeight="1" thickTop="1">
      <c r="D22" s="5" t="s">
        <v>525</v>
      </c>
      <c r="F22" s="202">
        <f>F20/F21</f>
        <v>0.1418227215980025</v>
      </c>
      <c r="G22" s="201">
        <f>G20/G21</f>
        <v>0.13277656603200688</v>
      </c>
      <c r="H22" s="268">
        <f>F22/G22</f>
        <v>1.0681306636881613</v>
      </c>
      <c r="I22" s="18"/>
    </row>
    <row r="23" spans="3:10" ht="15.75" customHeight="1" thickBot="1">
      <c r="C23" s="113"/>
      <c r="D23" s="178" t="s">
        <v>422</v>
      </c>
      <c r="E23" s="113"/>
      <c r="F23" s="218"/>
      <c r="G23" s="113"/>
      <c r="H23" s="219">
        <v>88.27</v>
      </c>
      <c r="I23" s="217"/>
      <c r="J23" s="220" t="s">
        <v>372</v>
      </c>
    </row>
    <row r="24" spans="3:10" ht="15.75" customHeight="1" thickTop="1">
      <c r="C24" s="68" t="s">
        <v>544</v>
      </c>
      <c r="D24" s="15"/>
      <c r="H24" s="17"/>
      <c r="I24" s="18"/>
      <c r="J24" s="16">
        <f>H23*$F$10*H22</f>
        <v>1595566.3328101689</v>
      </c>
    </row>
    <row r="25" spans="4:10" ht="15.75" customHeight="1">
      <c r="D25" s="15"/>
      <c r="H25" s="17"/>
      <c r="I25" s="18"/>
      <c r="J25" s="19"/>
    </row>
    <row r="26" spans="3:10" ht="15.75" customHeight="1">
      <c r="C26" s="12" t="s">
        <v>528</v>
      </c>
      <c r="D26" s="5"/>
      <c r="F26" s="126" t="str">
        <f>$F$9</f>
        <v>Akaa</v>
      </c>
      <c r="G26" s="140" t="s">
        <v>527</v>
      </c>
      <c r="H26" s="24"/>
      <c r="I26" s="24"/>
      <c r="J26" s="25"/>
    </row>
    <row r="27" spans="4:10" ht="15.75" customHeight="1">
      <c r="D27" s="5" t="s">
        <v>529</v>
      </c>
      <c r="F27" s="30">
        <f>INDEX(muutla_4,MATCH($F$9,kunta,0),1,1)</f>
        <v>335</v>
      </c>
      <c r="G27" s="66">
        <f>SUM(muutla_4)</f>
        <v>351738</v>
      </c>
      <c r="H27" s="17"/>
      <c r="I27" s="18" t="e">
        <f>IF(F28&lt;=40,0.1*(LN(40)-LN(F28)),0)*#REF!</f>
        <v>#REF!</v>
      </c>
      <c r="J27" s="19"/>
    </row>
    <row r="28" spans="4:10" ht="15.75" customHeight="1">
      <c r="D28" s="214" t="s">
        <v>530</v>
      </c>
      <c r="E28" s="56"/>
      <c r="F28" s="204">
        <f>F27/$F$10</f>
        <v>0.019795544525202387</v>
      </c>
      <c r="G28" s="209">
        <f>SUM(muutla_4)/SUM(vosC)</f>
        <v>0.06425514556501975</v>
      </c>
      <c r="H28" s="17"/>
      <c r="I28" s="18"/>
      <c r="J28" s="19"/>
    </row>
    <row r="29" spans="4:10" ht="15.75" customHeight="1" thickBot="1">
      <c r="D29" s="215" t="s">
        <v>531</v>
      </c>
      <c r="E29" s="211"/>
      <c r="F29" s="212"/>
      <c r="G29" s="213">
        <f>MIN(muutla_5)</f>
        <v>0.003968253968253968</v>
      </c>
      <c r="H29" s="17"/>
      <c r="I29" s="18"/>
      <c r="J29" s="19"/>
    </row>
    <row r="30" spans="4:9" ht="15.75" customHeight="1" thickTop="1">
      <c r="D30" s="5" t="s">
        <v>532</v>
      </c>
      <c r="F30" s="202"/>
      <c r="G30" s="201"/>
      <c r="H30" s="204">
        <f>F28-G29</f>
        <v>0.01582729055694842</v>
      </c>
      <c r="I30" s="18"/>
    </row>
    <row r="31" spans="3:10" ht="15.75" customHeight="1" thickBot="1">
      <c r="C31" s="113"/>
      <c r="D31" s="178" t="s">
        <v>422</v>
      </c>
      <c r="E31" s="113"/>
      <c r="F31" s="218"/>
      <c r="G31" s="113"/>
      <c r="H31" s="221">
        <v>1911.59</v>
      </c>
      <c r="I31" s="217"/>
      <c r="J31" s="220" t="s">
        <v>372</v>
      </c>
    </row>
    <row r="32" spans="3:10" ht="15.75" customHeight="1" thickTop="1">
      <c r="C32" s="68" t="s">
        <v>545</v>
      </c>
      <c r="D32" s="15"/>
      <c r="H32" s="17"/>
      <c r="I32" s="18"/>
      <c r="J32" s="16">
        <f>H31*$F$10*H30</f>
        <v>512010.2786904762</v>
      </c>
    </row>
    <row r="33" spans="4:9" ht="15.75" customHeight="1">
      <c r="D33" s="15"/>
      <c r="H33" s="17"/>
      <c r="I33" s="18"/>
    </row>
    <row r="34" spans="3:10" ht="15.75" customHeight="1">
      <c r="C34" s="12" t="s">
        <v>408</v>
      </c>
      <c r="D34" s="5"/>
      <c r="F34" s="199"/>
      <c r="G34" s="200"/>
      <c r="H34" s="24"/>
      <c r="I34" s="24"/>
      <c r="J34" s="25"/>
    </row>
    <row r="35" spans="4:10" ht="15.75" customHeight="1">
      <c r="D35" s="5" t="s">
        <v>533</v>
      </c>
      <c r="G35" s="30">
        <f>INDEX(muutla_7,MATCH($F$9,kunta,0),1,1)</f>
        <v>0</v>
      </c>
      <c r="H35" s="17"/>
      <c r="I35" s="18" t="e">
        <f>IF(#REF!&lt;=40,0.1*(LN(40)-LN(#REF!)),0)*#REF!</f>
        <v>#REF!</v>
      </c>
      <c r="J35" s="19"/>
    </row>
    <row r="36" spans="4:10" ht="15.75" customHeight="1">
      <c r="D36" s="5"/>
      <c r="E36" s="68" t="s">
        <v>534</v>
      </c>
      <c r="G36" s="17"/>
      <c r="H36" s="17"/>
      <c r="I36" s="18"/>
      <c r="J36" s="19"/>
    </row>
    <row r="37" spans="4:10" ht="15.75" customHeight="1">
      <c r="D37" s="5"/>
      <c r="E37" s="68" t="s">
        <v>535</v>
      </c>
      <c r="G37" s="17"/>
      <c r="H37" s="17"/>
      <c r="I37" s="18"/>
      <c r="J37" s="19"/>
    </row>
    <row r="38" spans="4:10" ht="15.75" customHeight="1">
      <c r="D38" s="5"/>
      <c r="E38" s="68" t="s">
        <v>536</v>
      </c>
      <c r="G38" s="17"/>
      <c r="H38" s="17"/>
      <c r="I38" s="18"/>
      <c r="J38" s="19"/>
    </row>
    <row r="39" spans="4:10" ht="15.75" customHeight="1">
      <c r="D39" s="5"/>
      <c r="E39" s="68" t="s">
        <v>537</v>
      </c>
      <c r="G39" s="17"/>
      <c r="H39" s="17"/>
      <c r="I39" s="18"/>
      <c r="J39" s="19"/>
    </row>
    <row r="40" spans="4:10" ht="15.75" customHeight="1">
      <c r="D40" s="5"/>
      <c r="E40" s="68"/>
      <c r="F40" s="126" t="str">
        <f>$F$9</f>
        <v>Akaa</v>
      </c>
      <c r="G40" s="140" t="s">
        <v>527</v>
      </c>
      <c r="H40" s="17"/>
      <c r="I40" s="18"/>
      <c r="J40" s="19"/>
    </row>
    <row r="41" spans="4:10" ht="15.75" customHeight="1">
      <c r="D41" s="5" t="s">
        <v>540</v>
      </c>
      <c r="E41" s="68"/>
      <c r="F41" s="30">
        <f>INDEX(muutla_8,MATCH($F$9,kunta,0),1,1)</f>
        <v>32</v>
      </c>
      <c r="G41" s="66">
        <f>SUM(muutla_8)</f>
        <v>263948</v>
      </c>
      <c r="H41" s="17"/>
      <c r="I41" s="18"/>
      <c r="J41" s="19"/>
    </row>
    <row r="42" spans="4:10" ht="15.75" customHeight="1">
      <c r="D42" s="5" t="s">
        <v>422</v>
      </c>
      <c r="F42" s="202"/>
      <c r="H42" s="101">
        <v>272.15</v>
      </c>
      <c r="I42" s="18"/>
      <c r="J42" s="186" t="s">
        <v>372</v>
      </c>
    </row>
    <row r="43" spans="4:10" ht="15.75" customHeight="1">
      <c r="D43" s="5" t="s">
        <v>538</v>
      </c>
      <c r="E43" s="68"/>
      <c r="G43" s="17"/>
      <c r="H43" s="17"/>
      <c r="I43" s="18"/>
      <c r="J43" s="19">
        <f>IF(OR($G$35=1,$G$35=3),$F$10*$H$42*0.07,0)</f>
        <v>0</v>
      </c>
    </row>
    <row r="44" spans="3:10" ht="15.75" customHeight="1" thickBot="1">
      <c r="C44" s="113"/>
      <c r="D44" s="178" t="s">
        <v>539</v>
      </c>
      <c r="E44" s="206"/>
      <c r="F44" s="113"/>
      <c r="G44" s="216"/>
      <c r="H44" s="216"/>
      <c r="I44" s="217"/>
      <c r="J44" s="114">
        <f>IF(OR($G$35=1,$G$35=3),$H$42*F41*0.93,0)</f>
        <v>0</v>
      </c>
    </row>
    <row r="45" spans="3:10" ht="15.75" customHeight="1" thickTop="1">
      <c r="C45" s="68" t="s">
        <v>546</v>
      </c>
      <c r="D45" s="5"/>
      <c r="E45" s="68"/>
      <c r="G45" s="17"/>
      <c r="H45" s="17"/>
      <c r="I45" s="18"/>
      <c r="J45" s="16">
        <f>SUM(J43:J44)</f>
        <v>0</v>
      </c>
    </row>
    <row r="46" spans="4:10" ht="15.75" customHeight="1">
      <c r="D46" s="68"/>
      <c r="E46" s="68"/>
      <c r="G46" s="17"/>
      <c r="H46" s="17"/>
      <c r="I46" s="18"/>
      <c r="J46" s="19"/>
    </row>
    <row r="47" spans="3:10" ht="15.75" customHeight="1">
      <c r="C47" s="12" t="s">
        <v>541</v>
      </c>
      <c r="D47" s="5"/>
      <c r="F47" s="199"/>
      <c r="G47" s="200"/>
      <c r="H47" s="24"/>
      <c r="I47" s="24"/>
      <c r="J47" s="25"/>
    </row>
    <row r="48" spans="4:10" ht="15.75" customHeight="1">
      <c r="D48" s="5" t="s">
        <v>542</v>
      </c>
      <c r="G48" s="30">
        <f>INDEX(muutla_10,MATCH($F$9,kunta,0),1,1)</f>
        <v>0</v>
      </c>
      <c r="H48" s="17"/>
      <c r="I48" s="18" t="e">
        <f>IF(#REF!&lt;=40,0.1*(LN(40)-LN(#REF!)),0)*#REF!</f>
        <v>#REF!</v>
      </c>
      <c r="J48" s="19"/>
    </row>
    <row r="49" spans="4:10" ht="15.75" customHeight="1">
      <c r="D49" s="5"/>
      <c r="E49" s="68" t="s">
        <v>543</v>
      </c>
      <c r="G49" s="17"/>
      <c r="H49" s="17"/>
      <c r="I49" s="18"/>
      <c r="J49" s="19"/>
    </row>
    <row r="50" spans="4:10" ht="15.75" customHeight="1">
      <c r="D50" s="5"/>
      <c r="E50" s="68" t="s">
        <v>607</v>
      </c>
      <c r="G50" s="17"/>
      <c r="H50" s="17"/>
      <c r="I50" s="18"/>
      <c r="J50" s="19"/>
    </row>
    <row r="51" spans="4:10" ht="15.75" customHeight="1">
      <c r="D51" s="5"/>
      <c r="E51" s="68" t="s">
        <v>606</v>
      </c>
      <c r="G51" s="17"/>
      <c r="H51" s="17"/>
      <c r="I51" s="18"/>
      <c r="J51" s="19"/>
    </row>
    <row r="52" spans="4:10" ht="15.75" customHeight="1">
      <c r="D52" s="5"/>
      <c r="E52" s="68" t="s">
        <v>608</v>
      </c>
      <c r="G52" s="17"/>
      <c r="H52" s="17"/>
      <c r="I52" s="18"/>
      <c r="J52" s="186"/>
    </row>
    <row r="53" spans="3:10" ht="15.75" customHeight="1" thickBot="1">
      <c r="C53" s="113"/>
      <c r="D53" s="178" t="s">
        <v>422</v>
      </c>
      <c r="E53" s="113"/>
      <c r="F53" s="218"/>
      <c r="G53" s="113"/>
      <c r="H53" s="221">
        <v>374.58</v>
      </c>
      <c r="I53" s="217"/>
      <c r="J53" s="220" t="s">
        <v>372</v>
      </c>
    </row>
    <row r="54" spans="3:10" ht="15.75" customHeight="1" thickTop="1">
      <c r="C54" s="68" t="s">
        <v>547</v>
      </c>
      <c r="D54" s="15"/>
      <c r="H54" s="17"/>
      <c r="I54" s="18"/>
      <c r="J54" s="16">
        <f>IF($G$48=2,3*$H$53*$F$10,IF($G$48=1,$H$53*$F$10,0))</f>
        <v>0</v>
      </c>
    </row>
    <row r="55" spans="4:10" ht="15.75" customHeight="1">
      <c r="D55" s="68"/>
      <c r="E55" s="68"/>
      <c r="G55" s="17"/>
      <c r="H55" s="17"/>
      <c r="I55" s="18"/>
      <c r="J55" s="19"/>
    </row>
    <row r="56" spans="3:10" ht="15.75" customHeight="1">
      <c r="C56" s="12" t="s">
        <v>599</v>
      </c>
      <c r="D56" s="5"/>
      <c r="F56" s="199"/>
      <c r="G56" s="17">
        <f>G48</f>
        <v>0</v>
      </c>
      <c r="H56" s="24"/>
      <c r="I56" s="24"/>
      <c r="J56" s="25"/>
    </row>
    <row r="57" spans="4:10" ht="15.75" customHeight="1">
      <c r="D57" s="5" t="s">
        <v>609</v>
      </c>
      <c r="G57" s="30">
        <f>INDEX(muutla_18,MATCH($F$9,kunta,0),1,1)</f>
        <v>0</v>
      </c>
      <c r="H57" s="17"/>
      <c r="I57" s="18"/>
      <c r="J57" s="19"/>
    </row>
    <row r="58" spans="3:10" ht="15.75" customHeight="1" thickBot="1">
      <c r="C58" s="113"/>
      <c r="D58" s="178" t="s">
        <v>422</v>
      </c>
      <c r="E58" s="113"/>
      <c r="F58" s="218"/>
      <c r="G58" s="113"/>
      <c r="H58" s="221">
        <v>274.01</v>
      </c>
      <c r="I58" s="217"/>
      <c r="J58" s="220" t="s">
        <v>372</v>
      </c>
    </row>
    <row r="59" spans="3:10" ht="15.75" customHeight="1" thickTop="1">
      <c r="C59" s="68" t="s">
        <v>600</v>
      </c>
      <c r="D59" s="15"/>
      <c r="H59" s="17"/>
      <c r="I59" s="18"/>
      <c r="J59" s="16">
        <f>IF($G$48=3,$H$58*$G$57,0)</f>
        <v>0</v>
      </c>
    </row>
    <row r="60" spans="4:10" ht="15.75" customHeight="1">
      <c r="D60" s="68"/>
      <c r="E60" s="68"/>
      <c r="G60" s="17"/>
      <c r="H60" s="17"/>
      <c r="I60" s="18"/>
      <c r="J60" s="19"/>
    </row>
    <row r="61" spans="3:10" ht="15.75" customHeight="1">
      <c r="C61" s="12" t="s">
        <v>515</v>
      </c>
      <c r="D61" s="5"/>
      <c r="F61" s="126" t="str">
        <f>$F$9</f>
        <v>Akaa</v>
      </c>
      <c r="G61" s="140" t="s">
        <v>527</v>
      </c>
      <c r="H61" s="24"/>
      <c r="I61" s="24"/>
      <c r="J61" s="25"/>
    </row>
    <row r="62" spans="4:10" ht="15.75" customHeight="1">
      <c r="D62" s="5" t="s">
        <v>548</v>
      </c>
      <c r="F62" s="30">
        <f>INDEX(muutla_11,MATCH($F$9,kunta,0),1,1)</f>
        <v>293.15</v>
      </c>
      <c r="G62" s="66">
        <f>SUM(muutla_11)</f>
        <v>302346.73999999993</v>
      </c>
      <c r="H62" s="17"/>
      <c r="I62" s="18" t="e">
        <f>IF(F63&lt;=40,0.1*(LN(40)-LN(F63)),0)*#REF!</f>
        <v>#REF!</v>
      </c>
      <c r="J62" s="19"/>
    </row>
    <row r="63" spans="4:10" ht="15.75" customHeight="1">
      <c r="D63" s="214" t="s">
        <v>515</v>
      </c>
      <c r="E63" s="56"/>
      <c r="F63" s="54">
        <f>$F$10/F62</f>
        <v>57.728125533003585</v>
      </c>
      <c r="G63" s="222">
        <f>SUM(vosC)/G62</f>
        <v>18.105315109400554</v>
      </c>
      <c r="H63" s="17"/>
      <c r="I63" s="18"/>
      <c r="J63" s="19"/>
    </row>
    <row r="64" spans="4:9" ht="15.75" customHeight="1">
      <c r="D64" s="5" t="s">
        <v>550</v>
      </c>
      <c r="F64" s="202"/>
      <c r="G64" s="201"/>
      <c r="H64" s="54">
        <f>$G$63/$F$63</f>
        <v>0.3136307465768937</v>
      </c>
      <c r="I64" s="18"/>
    </row>
    <row r="65" spans="3:10" ht="15.75" customHeight="1" thickBot="1">
      <c r="C65" s="113"/>
      <c r="D65" s="178" t="s">
        <v>422</v>
      </c>
      <c r="E65" s="113"/>
      <c r="F65" s="218"/>
      <c r="G65" s="113"/>
      <c r="H65" s="221">
        <v>38.45</v>
      </c>
      <c r="I65" s="217"/>
      <c r="J65" s="220" t="s">
        <v>372</v>
      </c>
    </row>
    <row r="66" spans="3:10" ht="15.75" customHeight="1" thickTop="1">
      <c r="C66" s="68" t="s">
        <v>549</v>
      </c>
      <c r="D66" s="15"/>
      <c r="H66" s="17"/>
      <c r="I66" s="18"/>
      <c r="J66" s="16">
        <f>$H$65*$F$10*MIN(20,H64)</f>
        <v>204076.1866301337</v>
      </c>
    </row>
    <row r="67" spans="4:10" ht="15.75" customHeight="1">
      <c r="D67" s="68"/>
      <c r="E67" s="68"/>
      <c r="G67" s="17"/>
      <c r="H67" s="17"/>
      <c r="I67" s="18"/>
      <c r="J67" s="19"/>
    </row>
    <row r="68" spans="3:10" ht="15.75" customHeight="1">
      <c r="C68" s="12" t="s">
        <v>551</v>
      </c>
      <c r="D68" s="5"/>
      <c r="F68" s="126" t="str">
        <f>$F$9</f>
        <v>Akaa</v>
      </c>
      <c r="G68" s="140" t="s">
        <v>527</v>
      </c>
      <c r="H68" s="24"/>
      <c r="I68" s="24"/>
      <c r="J68" s="25"/>
    </row>
    <row r="69" spans="3:10" ht="15.75" customHeight="1">
      <c r="C69" s="12"/>
      <c r="D69" s="5" t="s">
        <v>552</v>
      </c>
      <c r="F69" s="126"/>
      <c r="G69" s="140"/>
      <c r="H69" s="24"/>
      <c r="I69" s="24"/>
      <c r="J69" s="25"/>
    </row>
    <row r="70" spans="6:10" ht="15.75" customHeight="1">
      <c r="F70" s="30">
        <f>INDEX(muutla_14,MATCH($F$9,kunta,0),1,1)</f>
        <v>758</v>
      </c>
      <c r="G70" s="66">
        <f>SUM(muutla_14)</f>
        <v>250651</v>
      </c>
      <c r="H70" s="17"/>
      <c r="I70" s="18" t="e">
        <f>IF(F71&lt;=40,0.1*(LN(40)-LN(F71)),0)*#REF!</f>
        <v>#REF!</v>
      </c>
      <c r="J70" s="19"/>
    </row>
    <row r="71" spans="4:10" ht="15.75" customHeight="1">
      <c r="D71" s="214" t="s">
        <v>553</v>
      </c>
      <c r="E71" s="56"/>
      <c r="F71" s="30">
        <f>INDEX(muutla_15,MATCH($F$9,kunta,0),1,1)</f>
        <v>5677</v>
      </c>
      <c r="G71" s="66">
        <f>SUM(muutla_15)</f>
        <v>1736005</v>
      </c>
      <c r="H71" s="17"/>
      <c r="I71" s="18"/>
      <c r="J71" s="19"/>
    </row>
    <row r="72" spans="4:10" ht="15.75" customHeight="1">
      <c r="D72" s="214"/>
      <c r="E72" s="55"/>
      <c r="F72" s="204">
        <f>F70/F71</f>
        <v>0.1335212259996477</v>
      </c>
      <c r="G72" s="209">
        <f>G70/G71</f>
        <v>0.1443838007379011</v>
      </c>
      <c r="H72" s="17"/>
      <c r="I72" s="18"/>
      <c r="J72" s="19"/>
    </row>
    <row r="73" spans="4:10" ht="15.75" customHeight="1" thickBot="1">
      <c r="D73" s="215" t="s">
        <v>531</v>
      </c>
      <c r="E73" s="113"/>
      <c r="F73" s="208"/>
      <c r="G73" s="208">
        <f>MIN(muutla_16)</f>
        <v>0.06502280020266847</v>
      </c>
      <c r="H73" s="17"/>
      <c r="I73" s="18"/>
      <c r="J73" s="19"/>
    </row>
    <row r="74" spans="4:9" ht="15.75" customHeight="1" thickTop="1">
      <c r="D74" s="5" t="s">
        <v>555</v>
      </c>
      <c r="F74" s="202"/>
      <c r="G74" s="201"/>
      <c r="H74" s="203">
        <f>F72-G73</f>
        <v>0.06849842579697922</v>
      </c>
      <c r="I74" s="18"/>
    </row>
    <row r="75" spans="3:10" ht="15.75" customHeight="1" thickBot="1">
      <c r="C75" s="113"/>
      <c r="D75" s="178" t="s">
        <v>422</v>
      </c>
      <c r="E75" s="113"/>
      <c r="F75" s="218"/>
      <c r="G75" s="113"/>
      <c r="H75" s="221">
        <v>390.77</v>
      </c>
      <c r="I75" s="217"/>
      <c r="J75" s="220" t="s">
        <v>372</v>
      </c>
    </row>
    <row r="76" spans="3:10" ht="15.75" customHeight="1" thickTop="1">
      <c r="C76" s="68" t="s">
        <v>549</v>
      </c>
      <c r="D76" s="15"/>
      <c r="H76" s="17"/>
      <c r="I76" s="18"/>
      <c r="J76" s="16">
        <f>$H$75*$F$10*H74</f>
        <v>452980.1384293059</v>
      </c>
    </row>
    <row r="77" spans="4:10" ht="15.75" customHeight="1">
      <c r="D77" s="68"/>
      <c r="E77" s="68"/>
      <c r="G77" s="17"/>
      <c r="H77" s="17"/>
      <c r="I77" s="18"/>
      <c r="J77" s="19"/>
    </row>
    <row r="78" spans="3:10" ht="12.75" customHeight="1">
      <c r="C78" s="12"/>
      <c r="G78" s="9"/>
      <c r="H78" s="20"/>
      <c r="I78" s="20"/>
      <c r="J78" s="22"/>
    </row>
    <row r="79" spans="2:10" ht="15.75" customHeight="1">
      <c r="B79" s="84" t="s">
        <v>556</v>
      </c>
      <c r="C79" s="85"/>
      <c r="D79" s="85"/>
      <c r="E79" s="96"/>
      <c r="F79" s="85"/>
      <c r="G79" s="135"/>
      <c r="H79" s="185"/>
      <c r="I79" s="185"/>
      <c r="J79" s="102">
        <f>J24+J32+J45+J54+J59+J66+J76</f>
        <v>2764632.9365600846</v>
      </c>
    </row>
    <row r="80" spans="5:10" ht="12" customHeight="1">
      <c r="E80" s="13"/>
      <c r="G80" s="23"/>
      <c r="H80" s="8"/>
      <c r="I80" s="8"/>
      <c r="J80" s="8"/>
    </row>
    <row r="81" spans="7:10" ht="12" customHeight="1">
      <c r="G81" s="27"/>
      <c r="H81" s="27"/>
      <c r="I81" s="27"/>
      <c r="J81" s="27"/>
    </row>
    <row r="82" spans="1:10" ht="15.75" customHeight="1">
      <c r="A82" s="95" t="s">
        <v>557</v>
      </c>
      <c r="B82" s="85"/>
      <c r="C82" s="85"/>
      <c r="D82" s="85"/>
      <c r="E82" s="85"/>
      <c r="F82" s="85"/>
      <c r="G82" s="96"/>
      <c r="H82" s="96"/>
      <c r="I82" s="96"/>
      <c r="J82" s="102">
        <f>J15+J79</f>
        <v>20428718.737614214</v>
      </c>
    </row>
    <row r="83" spans="6:10" ht="15.75" customHeight="1">
      <c r="F83" s="12"/>
      <c r="G83" s="27"/>
      <c r="H83" s="27"/>
      <c r="I83" s="27"/>
      <c r="J83" s="140" t="s">
        <v>420</v>
      </c>
    </row>
    <row r="84" ht="15.75" customHeight="1"/>
    <row r="85" ht="15.75" customHeight="1"/>
    <row r="86" ht="15.75" customHeight="1"/>
  </sheetData>
  <sheetProtection/>
  <protectedRanges>
    <protectedRange sqref="H75 H31 H23 H42 H53 H65 H58" name="Alue5"/>
    <protectedRange sqref="G43:G46 F27:F31 G24:G25 F20:F23 G35:G39 F41:F42 G48:G52 G32:G33 F53 G66:G67 F62:F65 G76:G77 F70:F75 G59:G60 F58 G54:G57" name="Alue3"/>
    <protectedRange sqref="G15" name="Alue1"/>
  </protectedRanges>
  <mergeCells count="2">
    <mergeCell ref="A3:J3"/>
    <mergeCell ref="A4:J4"/>
  </mergeCells>
  <printOptions/>
  <pageMargins left="0.75" right="0.75" top="1" bottom="1" header="0.4921259845" footer="0.4921259845"/>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theme="6" tint="0.39998000860214233"/>
    <pageSetUpPr fitToPage="1"/>
  </sheetPr>
  <dimension ref="A1:J36"/>
  <sheetViews>
    <sheetView zoomScalePageLayoutView="0" workbookViewId="0" topLeftCell="A1">
      <selection activeCell="H1" sqref="H1"/>
    </sheetView>
  </sheetViews>
  <sheetFormatPr defaultColWidth="9.140625" defaultRowHeight="12.75"/>
  <cols>
    <col min="1" max="2" width="2.28125" style="8" customWidth="1"/>
    <col min="3" max="4" width="3.8515625" style="8" customWidth="1"/>
    <col min="5" max="5" width="24.28125" style="8" customWidth="1"/>
    <col min="6" max="6" width="26.421875" style="8" customWidth="1"/>
    <col min="7" max="7" width="10.8515625" style="8" bestFit="1" customWidth="1"/>
    <col min="8" max="8" width="10.8515625" style="8" customWidth="1"/>
    <col min="9" max="9" width="12.8515625" style="26" customWidth="1"/>
    <col min="10" max="10" width="12.140625" style="19" customWidth="1"/>
    <col min="11" max="16384" width="9.140625" style="8" customWidth="1"/>
  </cols>
  <sheetData>
    <row r="1" spans="1:6" ht="15">
      <c r="A1" s="82" t="str">
        <f>'2.Yhteenveto'!A1</f>
        <v>3.10.2017, Kuntaliitto / SL</v>
      </c>
      <c r="E1" s="50"/>
      <c r="F1" s="50"/>
    </row>
    <row r="2" spans="5:6" ht="15">
      <c r="E2" s="50"/>
      <c r="F2" s="50"/>
    </row>
    <row r="3" spans="1:10" ht="18">
      <c r="A3" s="274" t="s">
        <v>637</v>
      </c>
      <c r="B3" s="275"/>
      <c r="C3" s="275"/>
      <c r="D3" s="275"/>
      <c r="E3" s="275"/>
      <c r="F3" s="275"/>
      <c r="G3" s="275"/>
      <c r="H3" s="275"/>
      <c r="I3" s="275"/>
      <c r="J3" s="276"/>
    </row>
    <row r="4" spans="5:6" ht="12.75">
      <c r="E4" s="7"/>
      <c r="F4" s="7"/>
    </row>
    <row r="5" spans="3:6" ht="12">
      <c r="C5" s="57" t="s">
        <v>48</v>
      </c>
      <c r="D5" s="28"/>
      <c r="E5" s="42"/>
      <c r="F5" s="58" t="s">
        <v>419</v>
      </c>
    </row>
    <row r="6" spans="3:6" ht="12">
      <c r="C6" s="28"/>
      <c r="D6" s="28"/>
      <c r="E6" s="105"/>
      <c r="F6" s="58" t="s">
        <v>423</v>
      </c>
    </row>
    <row r="7" spans="5:6" ht="12.75">
      <c r="E7" s="7"/>
      <c r="F7" s="7"/>
    </row>
    <row r="8" spans="2:6" ht="12.75">
      <c r="B8" s="87" t="s">
        <v>0</v>
      </c>
      <c r="E8" s="12"/>
      <c r="F8" s="187" t="str">
        <f>'2.Yhteenveto'!G12</f>
        <v>Akaa</v>
      </c>
    </row>
    <row r="9" spans="2:6" ht="12.75">
      <c r="B9" s="87" t="str">
        <f>'2.Yhteenveto'!B13</f>
        <v>Asukasluku 31.12.2016:</v>
      </c>
      <c r="E9" s="7"/>
      <c r="F9" s="156">
        <f>'2.Yhteenveto'!$H$13</f>
        <v>16923</v>
      </c>
    </row>
    <row r="10" ht="12">
      <c r="H10" s="52"/>
    </row>
    <row r="11" spans="3:10" ht="12.75">
      <c r="C11" s="27" t="s">
        <v>410</v>
      </c>
      <c r="G11" s="10"/>
      <c r="H11" s="11"/>
      <c r="I11" s="71"/>
      <c r="J11" s="70"/>
    </row>
    <row r="12" spans="3:10" ht="12.75">
      <c r="C12" s="28"/>
      <c r="D12" s="5" t="s">
        <v>422</v>
      </c>
      <c r="E12"/>
      <c r="F12" s="202"/>
      <c r="G12"/>
      <c r="H12" s="101">
        <v>207.94</v>
      </c>
      <c r="I12" s="71"/>
      <c r="J12" s="70"/>
    </row>
    <row r="13" spans="3:10" ht="12.75">
      <c r="C13" s="28"/>
      <c r="D13" s="28" t="s">
        <v>558</v>
      </c>
      <c r="G13" s="203">
        <f>INDEX(lo_1,MATCH($F$8,kunta,0),1,1)</f>
        <v>0</v>
      </c>
      <c r="H13" s="11"/>
      <c r="I13" s="71"/>
      <c r="J13" s="70"/>
    </row>
    <row r="14" spans="4:9" ht="12.75">
      <c r="D14" s="28" t="s">
        <v>561</v>
      </c>
      <c r="G14" s="31"/>
      <c r="H14" s="119" t="s">
        <v>424</v>
      </c>
      <c r="I14" s="184">
        <v>1</v>
      </c>
    </row>
    <row r="15" spans="4:9" ht="12.75">
      <c r="D15" s="28" t="s">
        <v>560</v>
      </c>
      <c r="G15" s="31"/>
      <c r="H15" s="119" t="s">
        <v>424</v>
      </c>
      <c r="I15" s="183">
        <v>1.5</v>
      </c>
    </row>
    <row r="16" spans="3:10" ht="13.5" thickBot="1">
      <c r="C16" s="223"/>
      <c r="D16" s="224" t="s">
        <v>559</v>
      </c>
      <c r="E16" s="223"/>
      <c r="F16" s="223"/>
      <c r="G16" s="111"/>
      <c r="H16" s="225" t="s">
        <v>424</v>
      </c>
      <c r="I16" s="226">
        <v>3</v>
      </c>
      <c r="J16" s="220" t="s">
        <v>372</v>
      </c>
    </row>
    <row r="17" spans="3:10" ht="13.5" thickTop="1">
      <c r="C17" s="120" t="s">
        <v>562</v>
      </c>
      <c r="D17" s="36"/>
      <c r="H17" s="119"/>
      <c r="I17" s="184"/>
      <c r="J17" s="16">
        <f>IF(G13&gt;=1.5,3*($H$12*$F$9*G13),IF(G13&gt;=1,1.5*($H$12*$F$9*G13),($H$12*$F$9*G13)))</f>
        <v>0</v>
      </c>
    </row>
    <row r="18" spans="4:9" ht="12.75">
      <c r="D18" s="36"/>
      <c r="H18" s="119"/>
      <c r="I18" s="184"/>
    </row>
    <row r="19" spans="3:9" ht="12.75">
      <c r="C19" s="27" t="s">
        <v>563</v>
      </c>
      <c r="F19" s="126" t="str">
        <f>$F$8</f>
        <v>Akaa</v>
      </c>
      <c r="G19" s="140" t="s">
        <v>527</v>
      </c>
      <c r="H19" s="119"/>
      <c r="I19" s="184"/>
    </row>
    <row r="20" spans="4:10" ht="15.75" customHeight="1">
      <c r="D20" s="5" t="s">
        <v>564</v>
      </c>
      <c r="F20" s="30">
        <f>INDEX(lo_2,MATCH($F$8,kunta,0),1,1)</f>
        <v>4690</v>
      </c>
      <c r="G20" s="66">
        <f>SUM(lo_2)</f>
        <v>2258311</v>
      </c>
      <c r="H20" s="17"/>
      <c r="I20" s="18" t="e">
        <f>IF(F21&lt;=40,0.1*(LN(40)-LN(F21)),0)*#REF!</f>
        <v>#REF!</v>
      </c>
      <c r="J20" s="19"/>
    </row>
    <row r="21" spans="4:9" ht="15.75" customHeight="1">
      <c r="D21" s="214" t="s">
        <v>565</v>
      </c>
      <c r="E21" s="56"/>
      <c r="F21" s="30">
        <f>INDEX(lo_3,MATCH($F$8,kunta,0),1,1)</f>
        <v>6808</v>
      </c>
      <c r="G21" s="227">
        <f>SUM(lo_3)</f>
        <v>2259587</v>
      </c>
      <c r="H21" s="17"/>
      <c r="I21" s="18"/>
    </row>
    <row r="22" spans="4:9" ht="15.75" customHeight="1">
      <c r="D22" s="5" t="s">
        <v>554</v>
      </c>
      <c r="F22" s="202">
        <f>F20/F21</f>
        <v>0.6888954171562868</v>
      </c>
      <c r="G22" s="201">
        <f>G20/G21</f>
        <v>0.999435295034004</v>
      </c>
      <c r="I22" s="18"/>
    </row>
    <row r="23" spans="4:9" ht="15.75" customHeight="1">
      <c r="D23" s="5" t="s">
        <v>531</v>
      </c>
      <c r="F23" s="202"/>
      <c r="G23" s="201"/>
      <c r="H23" s="204">
        <f>MIN(lo_4)</f>
        <v>0.43094151804230607</v>
      </c>
      <c r="I23" s="18"/>
    </row>
    <row r="24" spans="4:9" ht="15.75" customHeight="1">
      <c r="D24" s="5" t="s">
        <v>566</v>
      </c>
      <c r="F24" s="202"/>
      <c r="G24" s="201"/>
      <c r="H24" s="210">
        <f>F22-H23</f>
        <v>0.2579538991139807</v>
      </c>
      <c r="I24" s="18"/>
    </row>
    <row r="25" spans="3:10" ht="15.75" customHeight="1" thickBot="1">
      <c r="C25" s="113"/>
      <c r="D25" s="178" t="s">
        <v>422</v>
      </c>
      <c r="E25" s="113"/>
      <c r="F25" s="218"/>
      <c r="G25" s="113"/>
      <c r="H25" s="219">
        <v>63.11</v>
      </c>
      <c r="I25" s="217"/>
      <c r="J25" s="220" t="s">
        <v>372</v>
      </c>
    </row>
    <row r="26" spans="3:10" ht="15.75" customHeight="1" thickTop="1">
      <c r="C26" s="68" t="s">
        <v>544</v>
      </c>
      <c r="D26" s="15"/>
      <c r="H26" s="17"/>
      <c r="I26" s="18"/>
      <c r="J26" s="16">
        <f>$F$9*$H$25*H24</f>
        <v>275497.48050828907</v>
      </c>
    </row>
    <row r="27" ht="12.75">
      <c r="H27" s="119"/>
    </row>
    <row r="28" spans="3:8" ht="12.75">
      <c r="C28" s="27" t="s">
        <v>567</v>
      </c>
      <c r="H28" s="119"/>
    </row>
    <row r="29" spans="3:8" ht="12.75">
      <c r="C29" s="27"/>
      <c r="D29" s="28" t="s">
        <v>568</v>
      </c>
      <c r="G29" s="31">
        <f>INDEX(lo_6,MATCH($F$8,kunta,0),1,1)</f>
        <v>0</v>
      </c>
      <c r="H29" s="119"/>
    </row>
    <row r="30" spans="4:10" ht="15.75" customHeight="1">
      <c r="D30" s="5" t="s">
        <v>569</v>
      </c>
      <c r="F30" s="30">
        <f>INDEX(lo_7,MATCH($F$8,kunta,0),1,1)</f>
        <v>0</v>
      </c>
      <c r="G30" s="66">
        <f>SUM(lo_7)</f>
        <v>1969</v>
      </c>
      <c r="H30" s="17"/>
      <c r="I30" s="18" t="e">
        <f>IF(#REF!&lt;=40,0.1*(LN(40)-LN(#REF!)),0)*#REF!</f>
        <v>#REF!</v>
      </c>
      <c r="J30" s="19"/>
    </row>
    <row r="31" spans="3:10" ht="15.75" customHeight="1" thickBot="1">
      <c r="C31" s="113"/>
      <c r="D31" s="178" t="s">
        <v>422</v>
      </c>
      <c r="E31" s="113"/>
      <c r="F31" s="218"/>
      <c r="G31" s="113"/>
      <c r="H31" s="221">
        <v>2641.08</v>
      </c>
      <c r="I31" s="217"/>
      <c r="J31" s="220" t="s">
        <v>372</v>
      </c>
    </row>
    <row r="32" spans="3:10" ht="13.5" thickTop="1">
      <c r="C32" s="27"/>
      <c r="D32" s="28"/>
      <c r="G32" s="26"/>
      <c r="H32" s="119"/>
      <c r="J32" s="16">
        <f>IF(G29=1,$H$31*$F$9*(F30/F9),0)</f>
        <v>0</v>
      </c>
    </row>
    <row r="33" spans="3:8" ht="12.75">
      <c r="C33" s="27"/>
      <c r="D33" s="28"/>
      <c r="G33" s="26"/>
      <c r="H33" s="119"/>
    </row>
    <row r="35" spans="2:10" ht="15.75" customHeight="1">
      <c r="B35" s="95" t="s">
        <v>570</v>
      </c>
      <c r="C35" s="135"/>
      <c r="D35" s="135"/>
      <c r="E35" s="135"/>
      <c r="F35" s="96"/>
      <c r="G35" s="135"/>
      <c r="H35" s="135"/>
      <c r="I35" s="185"/>
      <c r="J35" s="102">
        <f>SUM(J14:J33)</f>
        <v>275497.48050828907</v>
      </c>
    </row>
    <row r="36" ht="12.75">
      <c r="J36" s="140" t="s">
        <v>420</v>
      </c>
    </row>
  </sheetData>
  <sheetProtection/>
  <protectedRanges>
    <protectedRange sqref="G14:G18 G27:G29 G32:G33" name="Alue2"/>
    <protectedRange sqref="G13" name="Alue3"/>
    <protectedRange sqref="H12" name="Alue5"/>
    <protectedRange sqref="F12" name="Alue3_1"/>
    <protectedRange sqref="H25 H31" name="Alue5_1"/>
    <protectedRange sqref="G26 F20:F25 F30:F31" name="Alue3_2"/>
  </protectedRanges>
  <mergeCells count="1">
    <mergeCell ref="A3:J3"/>
  </mergeCells>
  <printOptions/>
  <pageMargins left="0.75" right="0.75" top="1" bottom="1" header="0.4921259845" footer="0.4921259845"/>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theme="6" tint="0.39998000860214233"/>
  </sheetPr>
  <dimension ref="A1:V90"/>
  <sheetViews>
    <sheetView zoomScalePageLayoutView="0" workbookViewId="0" topLeftCell="A1">
      <selection activeCell="I76" sqref="I76"/>
    </sheetView>
  </sheetViews>
  <sheetFormatPr defaultColWidth="9.140625" defaultRowHeight="12.75"/>
  <cols>
    <col min="1" max="4" width="2.57421875" style="0" customWidth="1"/>
    <col min="5" max="5" width="14.421875" style="0" customWidth="1"/>
    <col min="6" max="6" width="24.140625" style="0" customWidth="1"/>
    <col min="7" max="7" width="10.7109375" style="0" customWidth="1"/>
    <col min="8" max="8" width="11.28125" style="0" customWidth="1"/>
    <col min="9" max="9" width="14.421875" style="0" customWidth="1"/>
    <col min="10" max="10" width="9.57421875" style="0" bestFit="1" customWidth="1"/>
    <col min="12" max="12" width="9.57421875" style="0" bestFit="1" customWidth="1"/>
    <col min="14" max="14" width="9.28125" style="0" bestFit="1" customWidth="1"/>
    <col min="15" max="17" width="10.00390625" style="0" bestFit="1" customWidth="1"/>
    <col min="18" max="19" width="9.28125" style="0" bestFit="1" customWidth="1"/>
    <col min="20" max="20" width="10.00390625" style="0" bestFit="1" customWidth="1"/>
    <col min="22" max="22" width="10.00390625" style="0" bestFit="1" customWidth="1"/>
  </cols>
  <sheetData>
    <row r="1" spans="1:9" ht="15">
      <c r="A1" s="82" t="str">
        <f>'2.Yhteenveto'!A1</f>
        <v>3.10.2017, Kuntaliitto / SL</v>
      </c>
      <c r="F1" s="50"/>
      <c r="G1" s="50"/>
      <c r="H1" s="72"/>
      <c r="I1" s="66"/>
    </row>
    <row r="2" spans="6:9" ht="12">
      <c r="F2" s="63"/>
      <c r="G2" s="63"/>
      <c r="H2" s="72"/>
      <c r="I2" s="66"/>
    </row>
    <row r="3" spans="1:9" ht="18">
      <c r="A3" s="274" t="s">
        <v>638</v>
      </c>
      <c r="B3" s="275"/>
      <c r="C3" s="275"/>
      <c r="D3" s="275"/>
      <c r="E3" s="275"/>
      <c r="F3" s="275"/>
      <c r="G3" s="275"/>
      <c r="H3" s="275"/>
      <c r="I3" s="276"/>
    </row>
    <row r="4" spans="8:9" ht="12">
      <c r="H4" s="72"/>
      <c r="I4" s="66"/>
    </row>
    <row r="5" spans="2:9" ht="12">
      <c r="B5" s="57" t="s">
        <v>48</v>
      </c>
      <c r="C5" s="28"/>
      <c r="D5" s="28"/>
      <c r="E5" s="42"/>
      <c r="F5" s="58" t="s">
        <v>419</v>
      </c>
      <c r="G5" s="58"/>
      <c r="I5" s="66"/>
    </row>
    <row r="6" spans="2:9" ht="12">
      <c r="B6" s="28"/>
      <c r="C6" s="28"/>
      <c r="D6" s="28"/>
      <c r="E6" s="105"/>
      <c r="F6" s="58" t="s">
        <v>418</v>
      </c>
      <c r="G6" s="58"/>
      <c r="I6" s="66"/>
    </row>
    <row r="7" spans="8:9" ht="12">
      <c r="H7" s="72"/>
      <c r="I7" s="66"/>
    </row>
    <row r="8" spans="2:9" ht="12.75">
      <c r="B8" s="87" t="s">
        <v>0</v>
      </c>
      <c r="F8" s="188" t="str">
        <f>'2.Yhteenveto'!G12</f>
        <v>Akaa</v>
      </c>
      <c r="I8" s="66"/>
    </row>
    <row r="9" spans="2:9" ht="12.75">
      <c r="B9" s="87" t="str">
        <f>'2.Yhteenveto'!B13</f>
        <v>Asukasluku 31.12.2016:</v>
      </c>
      <c r="F9" s="189">
        <f>'2.Yhteenveto'!H13</f>
        <v>16923</v>
      </c>
      <c r="I9" s="66"/>
    </row>
    <row r="10" spans="8:9" ht="12">
      <c r="H10" s="72"/>
      <c r="I10" s="66"/>
    </row>
    <row r="11" spans="2:9" ht="12.75">
      <c r="B11" s="1" t="s">
        <v>55</v>
      </c>
      <c r="H11" s="125" t="s">
        <v>1</v>
      </c>
      <c r="I11" s="126" t="s">
        <v>372</v>
      </c>
    </row>
    <row r="12" spans="8:9" ht="12">
      <c r="H12" s="72"/>
      <c r="I12" s="66"/>
    </row>
    <row r="13" spans="3:9" ht="12">
      <c r="C13" s="5" t="s">
        <v>650</v>
      </c>
      <c r="H13" s="122">
        <v>-0.03</v>
      </c>
      <c r="I13" s="66">
        <f>$F$9*H13</f>
        <v>-507.69</v>
      </c>
    </row>
    <row r="14" spans="8:9" ht="12">
      <c r="H14" s="73"/>
      <c r="I14" s="66"/>
    </row>
    <row r="15" spans="3:9" ht="12">
      <c r="C15" s="5" t="s">
        <v>433</v>
      </c>
      <c r="H15" s="122">
        <v>-0.24</v>
      </c>
      <c r="I15" s="66">
        <f>$F$9*H15</f>
        <v>-4061.52</v>
      </c>
    </row>
    <row r="16" spans="8:9" ht="12">
      <c r="H16" s="73"/>
      <c r="I16" s="66"/>
    </row>
    <row r="17" spans="3:9" ht="12">
      <c r="C17" s="5" t="s">
        <v>435</v>
      </c>
      <c r="H17" s="122">
        <v>-4.1</v>
      </c>
      <c r="I17" s="66">
        <f>$F$9*H17</f>
        <v>-69384.29999999999</v>
      </c>
    </row>
    <row r="18" spans="8:9" ht="12">
      <c r="H18" s="72"/>
      <c r="I18" s="66"/>
    </row>
    <row r="19" spans="3:9" ht="12">
      <c r="C19" s="5" t="s">
        <v>434</v>
      </c>
      <c r="H19" s="122">
        <v>-0.28</v>
      </c>
      <c r="I19" s="66">
        <f>$F$9*H19</f>
        <v>-4738.4400000000005</v>
      </c>
    </row>
    <row r="20" spans="8:9" ht="12">
      <c r="H20" s="72"/>
      <c r="I20" s="66"/>
    </row>
    <row r="21" spans="3:9" ht="12">
      <c r="C21" s="5" t="s">
        <v>630</v>
      </c>
      <c r="H21" s="122">
        <v>-0.03</v>
      </c>
      <c r="I21" s="66">
        <f>$F$9*H21</f>
        <v>-507.69</v>
      </c>
    </row>
    <row r="22" spans="8:9" ht="12">
      <c r="H22" s="72"/>
      <c r="I22" s="66"/>
    </row>
    <row r="23" spans="3:9" ht="12">
      <c r="C23" s="5" t="s">
        <v>571</v>
      </c>
      <c r="H23" s="122">
        <v>-1.43</v>
      </c>
      <c r="I23" s="66">
        <f>$F$9*H23</f>
        <v>-24199.89</v>
      </c>
    </row>
    <row r="24" spans="8:9" ht="12">
      <c r="H24" s="73"/>
      <c r="I24" s="66"/>
    </row>
    <row r="25" spans="3:9" ht="12">
      <c r="C25" s="5" t="s">
        <v>572</v>
      </c>
      <c r="H25" s="73"/>
      <c r="I25" s="66"/>
    </row>
    <row r="26" spans="4:9" ht="12">
      <c r="D26" s="5" t="s">
        <v>573</v>
      </c>
      <c r="H26" s="122">
        <v>-0.04</v>
      </c>
      <c r="I26" s="66">
        <f>$F$9*H26</f>
        <v>-676.92</v>
      </c>
    </row>
    <row r="27" spans="8:9" ht="12">
      <c r="H27" s="72"/>
      <c r="I27" s="66"/>
    </row>
    <row r="28" spans="3:9" ht="12">
      <c r="C28" s="5" t="s">
        <v>651</v>
      </c>
      <c r="H28" s="122">
        <v>-6.32</v>
      </c>
      <c r="I28" s="66">
        <f>$F$9*H28</f>
        <v>-106953.36</v>
      </c>
    </row>
    <row r="29" spans="8:9" ht="12">
      <c r="H29" s="73"/>
      <c r="I29" s="66"/>
    </row>
    <row r="30" spans="3:9" ht="12">
      <c r="C30" s="5" t="s">
        <v>652</v>
      </c>
      <c r="H30" s="122">
        <v>-7.72</v>
      </c>
      <c r="I30" s="66">
        <f>$F$9*H30</f>
        <v>-130645.56</v>
      </c>
    </row>
    <row r="31" spans="8:9" ht="12">
      <c r="H31" s="73"/>
      <c r="I31" s="66"/>
    </row>
    <row r="32" spans="3:9" ht="12">
      <c r="C32" s="5" t="s">
        <v>653</v>
      </c>
      <c r="H32" s="122">
        <v>-10.99</v>
      </c>
      <c r="I32" s="66">
        <f>$F$9*H32</f>
        <v>-185983.77</v>
      </c>
    </row>
    <row r="33" spans="8:9" ht="12">
      <c r="H33" s="72"/>
      <c r="I33" s="66"/>
    </row>
    <row r="34" spans="3:9" ht="12">
      <c r="C34" s="5" t="s">
        <v>613</v>
      </c>
      <c r="H34" s="122">
        <v>-85.47</v>
      </c>
      <c r="I34" s="66">
        <f>$F$9*H34</f>
        <v>-1446408.81</v>
      </c>
    </row>
    <row r="35" spans="8:9" ht="12">
      <c r="H35" s="72"/>
      <c r="I35" s="66"/>
    </row>
    <row r="36" spans="3:9" ht="12">
      <c r="C36" s="5" t="s">
        <v>615</v>
      </c>
      <c r="H36" s="122">
        <v>-4.41</v>
      </c>
      <c r="I36" s="66">
        <f>$F$9*H36</f>
        <v>-74630.43000000001</v>
      </c>
    </row>
    <row r="37" spans="8:9" ht="12">
      <c r="H37" s="72"/>
      <c r="I37" s="66"/>
    </row>
    <row r="38" spans="3:9" ht="12">
      <c r="C38" s="5" t="s">
        <v>611</v>
      </c>
      <c r="H38" s="72"/>
      <c r="I38" s="30">
        <f>INDEX(vl_20,MATCH($F$8,kunta,0),1,1)</f>
        <v>-1239020.5543863468</v>
      </c>
    </row>
    <row r="39" spans="8:9" ht="12">
      <c r="H39" s="72"/>
      <c r="I39" s="66"/>
    </row>
    <row r="40" spans="2:9" ht="12.75">
      <c r="B40" s="92" t="s">
        <v>59</v>
      </c>
      <c r="C40" s="93"/>
      <c r="D40" s="93"/>
      <c r="E40" s="93"/>
      <c r="F40" s="93"/>
      <c r="G40" s="93"/>
      <c r="H40" s="123"/>
      <c r="I40" s="94">
        <f>SUM(I13:I39)</f>
        <v>-3287718.934386347</v>
      </c>
    </row>
    <row r="41" spans="8:9" ht="12">
      <c r="H41" s="72"/>
      <c r="I41" s="66"/>
    </row>
    <row r="42" spans="8:9" ht="12">
      <c r="H42" s="72"/>
      <c r="I42" s="66"/>
    </row>
    <row r="43" spans="2:9" ht="12.75">
      <c r="B43" s="1" t="s">
        <v>56</v>
      </c>
      <c r="H43" s="125" t="s">
        <v>1</v>
      </c>
      <c r="I43" s="126" t="s">
        <v>372</v>
      </c>
    </row>
    <row r="44" spans="2:9" ht="12.75">
      <c r="B44" s="1"/>
      <c r="H44" s="72"/>
      <c r="I44" s="66"/>
    </row>
    <row r="45" spans="3:9" ht="12">
      <c r="C45" s="5" t="s">
        <v>429</v>
      </c>
      <c r="H45" s="72"/>
      <c r="I45" s="30">
        <f>INDEX(vl_7,MATCH($F$8,kunta,0),1,1)</f>
        <v>140004</v>
      </c>
    </row>
    <row r="46" spans="8:9" ht="12">
      <c r="H46" s="72"/>
      <c r="I46" s="66"/>
    </row>
    <row r="47" spans="3:9" ht="12">
      <c r="C47" s="5" t="s">
        <v>576</v>
      </c>
      <c r="H47" s="72"/>
      <c r="I47" s="30">
        <f>INDEX(vl_8,MATCH($F$8,kunta,0),1,1)</f>
        <v>-115745.45612722076</v>
      </c>
    </row>
    <row r="48" spans="8:9" ht="12">
      <c r="H48" s="72"/>
      <c r="I48" s="66"/>
    </row>
    <row r="49" spans="3:9" ht="12">
      <c r="C49" s="5" t="s">
        <v>425</v>
      </c>
      <c r="H49" s="72"/>
      <c r="I49" s="30">
        <f>INDEX(vl_9,MATCH($F$8,kunta,0),1,1)</f>
        <v>1334279</v>
      </c>
    </row>
    <row r="50" spans="8:9" ht="12">
      <c r="H50" s="72"/>
      <c r="I50" s="66"/>
    </row>
    <row r="51" spans="3:9" ht="12">
      <c r="C51" s="5" t="s">
        <v>426</v>
      </c>
      <c r="H51" s="72"/>
      <c r="I51" s="30">
        <f>INDEX(vl_10,MATCH($F$8,kunta,0),1,1)</f>
        <v>410543</v>
      </c>
    </row>
    <row r="52" spans="8:9" ht="12">
      <c r="H52" s="72"/>
      <c r="I52" s="66"/>
    </row>
    <row r="53" spans="3:9" ht="12">
      <c r="C53" s="5" t="s">
        <v>427</v>
      </c>
      <c r="H53" s="72"/>
      <c r="I53" s="30">
        <f>INDEX(vl_11,MATCH($F$8,kunta,0),1,1)</f>
        <v>897394.9424826249</v>
      </c>
    </row>
    <row r="54" spans="8:9" ht="12">
      <c r="H54" s="72"/>
      <c r="I54" s="66"/>
    </row>
    <row r="55" spans="3:9" ht="12">
      <c r="C55" s="5" t="s">
        <v>428</v>
      </c>
      <c r="H55" s="72"/>
      <c r="I55" s="30">
        <f>INDEX(vl_12,MATCH($F$8,kunta,0),1,1)</f>
        <v>27428.68789498369</v>
      </c>
    </row>
    <row r="56" spans="8:9" ht="12">
      <c r="H56" s="72"/>
      <c r="I56" s="66"/>
    </row>
    <row r="57" spans="3:9" ht="12">
      <c r="C57" s="5" t="s">
        <v>574</v>
      </c>
      <c r="H57" s="72"/>
      <c r="I57" s="30">
        <f>INDEX(vl_13,MATCH($F$8,kunta,0),1,1)</f>
        <v>125948.33979683967</v>
      </c>
    </row>
    <row r="58" spans="8:9" ht="12">
      <c r="H58" s="72"/>
      <c r="I58" s="66"/>
    </row>
    <row r="59" spans="3:9" ht="12">
      <c r="C59" s="5" t="s">
        <v>575</v>
      </c>
      <c r="H59" s="72"/>
      <c r="I59" s="30">
        <f>INDEX(vl_14,MATCH($F$8,kunta,0),1,1)</f>
        <v>413526.2233831386</v>
      </c>
    </row>
    <row r="60" spans="3:8" ht="12">
      <c r="C60" s="5"/>
      <c r="H60" s="72"/>
    </row>
    <row r="61" spans="3:9" ht="12">
      <c r="C61" s="5" t="s">
        <v>594</v>
      </c>
      <c r="H61" s="72"/>
      <c r="I61" s="30">
        <f>INDEX(vl_19,MATCH($F$8,kunta,0),1,1)</f>
        <v>833777.015607583</v>
      </c>
    </row>
    <row r="62" spans="3:8" ht="12">
      <c r="C62" s="5"/>
      <c r="H62" s="72"/>
    </row>
    <row r="63" spans="3:9" ht="12">
      <c r="C63" s="5" t="s">
        <v>639</v>
      </c>
      <c r="H63" s="72"/>
      <c r="I63" s="30">
        <f>INDEX(vl_22,MATCH($F$8,kunta,0),1,1)</f>
        <v>1346679.5531167898</v>
      </c>
    </row>
    <row r="64" spans="3:8" ht="12">
      <c r="C64" s="5"/>
      <c r="H64" s="72"/>
    </row>
    <row r="65" spans="3:9" ht="12">
      <c r="C65" s="5" t="s">
        <v>640</v>
      </c>
      <c r="H65" s="72"/>
      <c r="I65" s="30">
        <f>INDEX(vl_23,MATCH($F$8,kunta,0),1,1)</f>
        <v>429288.6313923457</v>
      </c>
    </row>
    <row r="66" spans="3:8" ht="12">
      <c r="C66" s="5"/>
      <c r="H66" s="72"/>
    </row>
    <row r="67" spans="3:9" ht="12">
      <c r="C67" s="5" t="s">
        <v>432</v>
      </c>
      <c r="H67" s="122">
        <v>0.09</v>
      </c>
      <c r="I67" s="66">
        <f>$F$9*H67</f>
        <v>1523.07</v>
      </c>
    </row>
    <row r="68" spans="3:9" ht="12">
      <c r="C68" s="5"/>
      <c r="I68" s="66"/>
    </row>
    <row r="69" spans="3:9" ht="12">
      <c r="C69" s="5" t="s">
        <v>655</v>
      </c>
      <c r="H69" s="122">
        <v>0.06</v>
      </c>
      <c r="I69" s="66">
        <f>$F$9*H69</f>
        <v>1015.38</v>
      </c>
    </row>
    <row r="70" spans="3:9" ht="12">
      <c r="C70" s="5"/>
      <c r="I70" s="66"/>
    </row>
    <row r="71" spans="3:9" ht="12">
      <c r="C71" s="5" t="s">
        <v>593</v>
      </c>
      <c r="H71" s="72"/>
      <c r="I71" s="30">
        <f>INDEX(vl_16,MATCH($F$8,kunta,0),1,1)</f>
        <v>149281.52027416526</v>
      </c>
    </row>
    <row r="72" spans="3:8" ht="12">
      <c r="C72" s="5"/>
      <c r="H72" s="72"/>
    </row>
    <row r="73" spans="8:9" ht="12">
      <c r="H73" s="72"/>
      <c r="I73" s="66"/>
    </row>
    <row r="74" spans="2:9" ht="12.75">
      <c r="B74" s="92" t="s">
        <v>57</v>
      </c>
      <c r="C74" s="93"/>
      <c r="D74" s="93"/>
      <c r="E74" s="93"/>
      <c r="F74" s="93"/>
      <c r="G74" s="93"/>
      <c r="H74" s="123"/>
      <c r="I74" s="228">
        <f>SUM(I44:I73)</f>
        <v>5994943.90782125</v>
      </c>
    </row>
    <row r="75" spans="8:9" ht="12">
      <c r="H75" s="72"/>
      <c r="I75" s="66"/>
    </row>
    <row r="76" spans="1:9" ht="12.75">
      <c r="A76" s="84" t="s">
        <v>58</v>
      </c>
      <c r="B76" s="85"/>
      <c r="C76" s="85"/>
      <c r="D76" s="85"/>
      <c r="E76" s="85"/>
      <c r="F76" s="85"/>
      <c r="G76" s="85"/>
      <c r="H76" s="124"/>
      <c r="I76" s="86">
        <f>I40+I74</f>
        <v>2707224.973434903</v>
      </c>
    </row>
    <row r="77" ht="12.75">
      <c r="I77" s="140" t="s">
        <v>420</v>
      </c>
    </row>
    <row r="90" spans="5:22" ht="12">
      <c r="E90" s="191"/>
      <c r="F90" s="191"/>
      <c r="G90" s="191"/>
      <c r="H90" s="191"/>
      <c r="I90" s="191"/>
      <c r="J90" s="191"/>
      <c r="K90" s="191"/>
      <c r="L90" s="191"/>
      <c r="M90" s="191"/>
      <c r="N90" s="191"/>
      <c r="O90" s="191"/>
      <c r="P90" s="191"/>
      <c r="Q90" s="191"/>
      <c r="R90" s="191"/>
      <c r="S90" s="191"/>
      <c r="T90" s="191"/>
      <c r="U90" s="191"/>
      <c r="V90" s="191"/>
    </row>
  </sheetData>
  <sheetProtection/>
  <protectedRanges>
    <protectedRange sqref="H23:H26 H13:H16 H36 H38 H34 H28:H32" name="Alue1"/>
    <protectedRange sqref="I71:I72 I74 I45:I66" name="Alue2"/>
    <protectedRange sqref="H67:H70" name="Alue3"/>
    <protectedRange sqref="H19 H21" name="Alue1_2"/>
  </protectedRanges>
  <mergeCells count="1">
    <mergeCell ref="A3:I3"/>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J26"/>
  <sheetViews>
    <sheetView zoomScalePageLayoutView="0" workbookViewId="0" topLeftCell="A2">
      <selection activeCell="M17" sqref="M17"/>
    </sheetView>
  </sheetViews>
  <sheetFormatPr defaultColWidth="9.140625" defaultRowHeight="12.75"/>
  <cols>
    <col min="1" max="2" width="2.00390625" style="0" customWidth="1"/>
    <col min="3" max="3" width="3.140625" style="0" customWidth="1"/>
    <col min="4" max="4" width="3.8515625" style="0" customWidth="1"/>
    <col min="5" max="5" width="13.57421875" style="0" customWidth="1"/>
    <col min="6" max="6" width="21.421875" style="0" customWidth="1"/>
    <col min="7" max="7" width="16.7109375" style="0" customWidth="1"/>
    <col min="8" max="8" width="8.421875" style="0" customWidth="1"/>
    <col min="9" max="9" width="6.140625" style="0" customWidth="1"/>
    <col min="10" max="10" width="13.7109375" style="0" bestFit="1" customWidth="1"/>
  </cols>
  <sheetData>
    <row r="1" spans="1:10" ht="12.75">
      <c r="A1" s="82" t="str">
        <f>'2.Yhteenveto'!A1</f>
        <v>3.10.2017, Kuntaliitto / SL</v>
      </c>
      <c r="F1" s="97"/>
      <c r="G1" s="6"/>
      <c r="H1" s="6"/>
      <c r="I1" s="6"/>
      <c r="J1" s="6"/>
    </row>
    <row r="2" spans="6:10" ht="12.75">
      <c r="F2" s="97"/>
      <c r="G2" s="6"/>
      <c r="H2" s="6"/>
      <c r="I2" s="6"/>
      <c r="J2" s="6"/>
    </row>
    <row r="3" spans="1:10" ht="15">
      <c r="A3" s="285" t="s">
        <v>641</v>
      </c>
      <c r="B3" s="286"/>
      <c r="C3" s="286"/>
      <c r="D3" s="286"/>
      <c r="E3" s="286"/>
      <c r="F3" s="286"/>
      <c r="G3" s="286"/>
      <c r="H3" s="286"/>
      <c r="I3" s="286"/>
      <c r="J3" s="287"/>
    </row>
    <row r="4" spans="6:10" ht="12">
      <c r="F4" s="8"/>
      <c r="G4" s="8"/>
      <c r="H4" s="6"/>
      <c r="I4" s="6"/>
      <c r="J4" s="6"/>
    </row>
    <row r="5" spans="3:10" ht="12">
      <c r="C5" s="57" t="s">
        <v>48</v>
      </c>
      <c r="D5" s="28"/>
      <c r="E5" s="42"/>
      <c r="F5" s="58" t="s">
        <v>419</v>
      </c>
      <c r="I5" s="6"/>
      <c r="J5" s="6"/>
    </row>
    <row r="6" spans="6:10" ht="12">
      <c r="F6" s="8"/>
      <c r="G6" s="8"/>
      <c r="H6" s="6"/>
      <c r="I6" s="6"/>
      <c r="J6" s="6"/>
    </row>
    <row r="7" spans="2:10" ht="12.75">
      <c r="B7" s="87" t="s">
        <v>0</v>
      </c>
      <c r="E7" s="9"/>
      <c r="F7" s="156" t="str">
        <f>'2.Yhteenveto'!G12</f>
        <v>Akaa</v>
      </c>
      <c r="H7" s="6"/>
      <c r="I7" s="6"/>
      <c r="J7" s="6"/>
    </row>
    <row r="8" spans="2:10" ht="12.75">
      <c r="B8" s="87" t="str">
        <f>'2.Yhteenveto'!B13</f>
        <v>Asukasluku 31.12.2016:</v>
      </c>
      <c r="E8" s="8"/>
      <c r="F8" s="156">
        <f>'2.Yhteenveto'!$H$13</f>
        <v>16923</v>
      </c>
      <c r="H8" s="6"/>
      <c r="I8" s="6"/>
      <c r="J8" s="6"/>
    </row>
    <row r="9" spans="2:10" ht="12.75">
      <c r="B9" s="87"/>
      <c r="E9" s="8"/>
      <c r="G9" s="8"/>
      <c r="H9" s="6"/>
      <c r="I9" s="6"/>
      <c r="J9" s="6"/>
    </row>
    <row r="10" spans="2:10" ht="12.75">
      <c r="B10" s="87"/>
      <c r="E10" s="8"/>
      <c r="G10" s="8"/>
      <c r="H10" s="6"/>
      <c r="I10" s="6"/>
      <c r="J10" s="6"/>
    </row>
    <row r="11" spans="2:10" ht="12.75">
      <c r="B11" s="87"/>
      <c r="E11" s="8"/>
      <c r="G11" s="8"/>
      <c r="H11" s="6"/>
      <c r="I11" s="6"/>
      <c r="J11" s="6"/>
    </row>
    <row r="12" spans="2:10" ht="12.75">
      <c r="B12" s="87"/>
      <c r="E12" s="8"/>
      <c r="G12" s="8"/>
      <c r="H12" s="6"/>
      <c r="I12" s="6"/>
      <c r="J12" s="6"/>
    </row>
    <row r="13" spans="2:10" ht="12.75">
      <c r="B13" s="87"/>
      <c r="E13" s="8"/>
      <c r="G13" s="8"/>
      <c r="H13" s="6"/>
      <c r="I13" s="6"/>
      <c r="J13" s="6"/>
    </row>
    <row r="14" spans="2:10" ht="12.75">
      <c r="B14" s="87"/>
      <c r="E14" s="8"/>
      <c r="G14" s="8"/>
      <c r="H14" s="6"/>
      <c r="I14" s="6"/>
      <c r="J14" s="6"/>
    </row>
    <row r="15" spans="2:10" ht="12.75">
      <c r="B15" s="87"/>
      <c r="E15" s="8"/>
      <c r="G15" s="8"/>
      <c r="H15" s="6"/>
      <c r="I15" s="6"/>
      <c r="J15" s="6"/>
    </row>
    <row r="16" spans="2:10" ht="12.75">
      <c r="B16" s="87"/>
      <c r="E16" s="8"/>
      <c r="G16" s="8"/>
      <c r="H16" s="6"/>
      <c r="I16" s="6"/>
      <c r="J16" s="6"/>
    </row>
    <row r="17" spans="2:10" ht="12.75">
      <c r="B17" s="87"/>
      <c r="E17" s="8"/>
      <c r="G17" s="8"/>
      <c r="H17" s="6"/>
      <c r="I17" s="6"/>
      <c r="J17" s="6"/>
    </row>
    <row r="18" spans="2:10" ht="12.75">
      <c r="B18" s="87"/>
      <c r="E18" s="8"/>
      <c r="G18" s="8"/>
      <c r="H18" s="6"/>
      <c r="I18" s="6"/>
      <c r="J18" s="6"/>
    </row>
    <row r="19" spans="2:10" ht="12.75">
      <c r="B19" s="87"/>
      <c r="E19" s="8"/>
      <c r="G19" s="8"/>
      <c r="H19" s="6"/>
      <c r="I19" s="6"/>
      <c r="J19" s="6"/>
    </row>
    <row r="20" spans="2:10" ht="12.75">
      <c r="B20" s="87"/>
      <c r="E20" s="8"/>
      <c r="G20" s="8"/>
      <c r="H20" s="6"/>
      <c r="I20" s="6"/>
      <c r="J20" s="6"/>
    </row>
    <row r="21" spans="5:9" ht="12">
      <c r="E21" s="8"/>
      <c r="G21" s="8"/>
      <c r="H21" s="6"/>
      <c r="I21" s="6"/>
    </row>
    <row r="22" spans="2:10" ht="12">
      <c r="B22" s="28" t="s">
        <v>601</v>
      </c>
      <c r="H22" s="6"/>
      <c r="I22" s="6"/>
      <c r="J22" s="54">
        <f>INDEX(jm_1,MATCH($F$7,kunta,0),1,1)</f>
        <v>0</v>
      </c>
    </row>
    <row r="23" spans="3:10" ht="12">
      <c r="C23" s="5"/>
      <c r="E23" s="8"/>
      <c r="I23" s="15"/>
      <c r="J23" s="21"/>
    </row>
    <row r="24" spans="7:10" ht="12.75">
      <c r="G24" s="27"/>
      <c r="H24" s="27"/>
      <c r="I24" s="27"/>
      <c r="J24" s="27"/>
    </row>
    <row r="25" spans="1:10" ht="12.75">
      <c r="A25" s="95" t="s">
        <v>577</v>
      </c>
      <c r="B25" s="85"/>
      <c r="C25" s="85"/>
      <c r="D25" s="85"/>
      <c r="E25" s="85"/>
      <c r="F25" s="85"/>
      <c r="G25" s="96"/>
      <c r="H25" s="96"/>
      <c r="I25" s="96"/>
      <c r="J25" s="102">
        <f>J22</f>
        <v>0</v>
      </c>
    </row>
    <row r="26" spans="6:10" ht="12.75">
      <c r="F26" s="12"/>
      <c r="G26" s="27"/>
      <c r="H26" s="27"/>
      <c r="I26" s="27"/>
      <c r="J26" s="140" t="s">
        <v>420</v>
      </c>
    </row>
  </sheetData>
  <sheetProtection/>
  <protectedRanges>
    <protectedRange sqref="J21:J22" name="Alue1"/>
  </protectedRanges>
  <mergeCells count="1">
    <mergeCell ref="A3:J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1:R421"/>
  <sheetViews>
    <sheetView zoomScalePageLayoutView="0" workbookViewId="0" topLeftCell="A1">
      <selection activeCell="H16" sqref="H16"/>
    </sheetView>
  </sheetViews>
  <sheetFormatPr defaultColWidth="9.140625" defaultRowHeight="12.75"/>
  <cols>
    <col min="1" max="4" width="2.57421875" style="0" customWidth="1"/>
    <col min="5" max="5" width="18.8515625" style="0" customWidth="1"/>
    <col min="6" max="6" width="13.00390625" style="0" customWidth="1"/>
    <col min="7" max="7" width="10.57421875" style="0" customWidth="1"/>
    <col min="8" max="8" width="13.421875" style="0" customWidth="1"/>
    <col min="9" max="9" width="12.28125" style="0" customWidth="1"/>
    <col min="10" max="10" width="7.140625" style="0" customWidth="1"/>
    <col min="11" max="11" width="3.8515625" style="0" customWidth="1"/>
    <col min="15" max="15" width="15.421875" style="0" customWidth="1"/>
    <col min="16" max="16" width="13.00390625" style="0" customWidth="1"/>
  </cols>
  <sheetData>
    <row r="1" ht="12">
      <c r="A1" s="82" t="str">
        <f>'2.Yhteenveto'!A1</f>
        <v>3.10.2017, Kuntaliitto / SL</v>
      </c>
    </row>
    <row r="3" spans="1:11" ht="25.5" customHeight="1">
      <c r="A3" s="274" t="s">
        <v>642</v>
      </c>
      <c r="B3" s="275"/>
      <c r="C3" s="275"/>
      <c r="D3" s="275"/>
      <c r="E3" s="275"/>
      <c r="F3" s="275"/>
      <c r="G3" s="275"/>
      <c r="H3" s="275"/>
      <c r="I3" s="275"/>
      <c r="J3" s="276"/>
      <c r="K3" s="195"/>
    </row>
    <row r="5" spans="2:16" ht="18" customHeight="1">
      <c r="B5" s="57" t="s">
        <v>48</v>
      </c>
      <c r="C5" s="28"/>
      <c r="D5" s="28"/>
      <c r="E5" s="42"/>
      <c r="F5" s="58" t="s">
        <v>419</v>
      </c>
      <c r="P5" s="76"/>
    </row>
    <row r="6" spans="2:16" ht="17.25">
      <c r="B6" s="28"/>
      <c r="C6" s="28"/>
      <c r="D6" s="28"/>
      <c r="E6" s="105"/>
      <c r="F6" s="58" t="s">
        <v>418</v>
      </c>
      <c r="P6" s="76"/>
    </row>
    <row r="7" spans="15:16" ht="13.5">
      <c r="O7" s="77"/>
      <c r="P7" s="77"/>
    </row>
    <row r="8" spans="1:16" ht="13.5">
      <c r="A8" s="87" t="s">
        <v>0</v>
      </c>
      <c r="G8" s="188" t="str">
        <f>'2.Yhteenveto'!G12</f>
        <v>Akaa</v>
      </c>
      <c r="O8" s="78"/>
      <c r="P8" s="78"/>
    </row>
    <row r="9" spans="1:7" ht="12.75">
      <c r="A9" s="87" t="str">
        <f>'2.Yhteenveto'!B13</f>
        <v>Asukasluku 31.12.2016:</v>
      </c>
      <c r="G9" s="189">
        <f>'2.Yhteenveto'!H13</f>
        <v>16923</v>
      </c>
    </row>
    <row r="10" ht="12.75">
      <c r="E10" s="1"/>
    </row>
    <row r="11" spans="1:5" ht="12.75">
      <c r="A11" s="68"/>
      <c r="E11" s="1"/>
    </row>
    <row r="12" spans="2:7" ht="12.75">
      <c r="B12" s="1" t="s">
        <v>643</v>
      </c>
      <c r="E12" s="1"/>
      <c r="F12" s="30">
        <f>INDEX(kkk_1,MATCH($G$8,kunta,0),1,1)</f>
        <v>-584260.8934000001</v>
      </c>
      <c r="G12" s="5" t="s">
        <v>372</v>
      </c>
    </row>
    <row r="13" ht="12.75">
      <c r="E13" s="1"/>
    </row>
    <row r="14" ht="12.75">
      <c r="E14" s="1"/>
    </row>
    <row r="15" spans="2:5" ht="12.75">
      <c r="B15" s="1" t="s">
        <v>66</v>
      </c>
      <c r="E15" s="1"/>
    </row>
    <row r="16" spans="2:5" ht="12.75">
      <c r="B16" s="1" t="s">
        <v>644</v>
      </c>
      <c r="E16" s="1"/>
    </row>
    <row r="17" spans="5:6" ht="12">
      <c r="E17" s="130"/>
      <c r="F17" s="234" t="s">
        <v>67</v>
      </c>
    </row>
    <row r="18" spans="5:18" ht="12">
      <c r="E18" s="131"/>
      <c r="F18" s="235" t="s">
        <v>68</v>
      </c>
      <c r="R18" s="66"/>
    </row>
    <row r="19" spans="5:18" ht="12">
      <c r="E19" s="132"/>
      <c r="F19" s="236" t="s">
        <v>69</v>
      </c>
      <c r="O19" s="66"/>
      <c r="P19" s="66"/>
      <c r="R19" s="66"/>
    </row>
    <row r="20" spans="5:18" ht="12">
      <c r="E20" s="231" t="s">
        <v>645</v>
      </c>
      <c r="F20" s="232">
        <v>6518.15</v>
      </c>
      <c r="O20" s="66"/>
      <c r="P20" s="66"/>
      <c r="R20" s="66"/>
    </row>
    <row r="21" spans="15:18" ht="12">
      <c r="O21" s="66"/>
      <c r="P21" s="66"/>
      <c r="R21" s="66"/>
    </row>
    <row r="22" spans="15:18" ht="12">
      <c r="O22" s="66"/>
      <c r="P22" s="66"/>
      <c r="R22" s="66"/>
    </row>
    <row r="23" spans="2:18" ht="12.75">
      <c r="B23" s="1" t="s">
        <v>384</v>
      </c>
      <c r="O23" s="66"/>
      <c r="P23" s="66"/>
      <c r="R23" s="66"/>
    </row>
    <row r="24" spans="2:18" ht="12.75">
      <c r="B24" s="1"/>
      <c r="O24" s="66"/>
      <c r="P24" s="66"/>
      <c r="R24" s="66"/>
    </row>
    <row r="25" spans="4:15" ht="12.75">
      <c r="D25" s="237" t="s">
        <v>584</v>
      </c>
      <c r="O25" s="66"/>
    </row>
    <row r="26" spans="6:15" ht="12">
      <c r="F26" s="3" t="s">
        <v>38</v>
      </c>
      <c r="G26" s="3" t="s">
        <v>42</v>
      </c>
      <c r="H26" s="3" t="s">
        <v>43</v>
      </c>
      <c r="O26" s="66"/>
    </row>
    <row r="27" spans="5:15" ht="12">
      <c r="E27" s="51" t="s">
        <v>41</v>
      </c>
      <c r="F27" s="31"/>
      <c r="G27" s="53">
        <f>$F$20*0.61</f>
        <v>3976.0714999999996</v>
      </c>
      <c r="H27" s="46">
        <f>F27*G27</f>
        <v>0</v>
      </c>
      <c r="O27" s="66"/>
    </row>
    <row r="28" spans="5:15" ht="12">
      <c r="E28" s="51" t="s">
        <v>40</v>
      </c>
      <c r="F28" s="31"/>
      <c r="G28" s="53">
        <f>$F$20*1</f>
        <v>6518.15</v>
      </c>
      <c r="H28" s="46">
        <f>F28*G28</f>
        <v>0</v>
      </c>
      <c r="O28" s="66"/>
    </row>
    <row r="29" spans="5:15" ht="12.75" thickBot="1">
      <c r="E29" t="s">
        <v>628</v>
      </c>
      <c r="F29" s="111"/>
      <c r="G29" s="233">
        <f>$F$20*1.6</f>
        <v>10429.04</v>
      </c>
      <c r="H29" s="133">
        <f>F29*G29</f>
        <v>0</v>
      </c>
      <c r="O29" s="66"/>
    </row>
    <row r="30" spans="1:15" s="5" customFormat="1" ht="12.75" thickTop="1">
      <c r="A30" s="214"/>
      <c r="D30" s="214" t="s">
        <v>383</v>
      </c>
      <c r="E30" s="214"/>
      <c r="F30" s="214"/>
      <c r="G30" s="238"/>
      <c r="H30" s="238">
        <f>SUM(H27:H29)</f>
        <v>0</v>
      </c>
      <c r="I30" s="129"/>
      <c r="O30" s="239"/>
    </row>
    <row r="31" spans="1:15" ht="12.75">
      <c r="A31" s="55"/>
      <c r="B31" s="127"/>
      <c r="D31" s="55"/>
      <c r="E31" s="127"/>
      <c r="F31" s="127"/>
      <c r="G31" s="128"/>
      <c r="H31" s="128"/>
      <c r="I31" s="129"/>
      <c r="O31" s="66"/>
    </row>
    <row r="32" spans="1:15" ht="12.75">
      <c r="A32" s="55"/>
      <c r="B32" s="127"/>
      <c r="D32" s="55"/>
      <c r="E32" s="127"/>
      <c r="F32" s="127"/>
      <c r="G32" s="128"/>
      <c r="H32" s="128"/>
      <c r="I32" s="129"/>
      <c r="O32" s="66"/>
    </row>
    <row r="33" spans="1:15" ht="12.75">
      <c r="A33" s="55"/>
      <c r="D33" s="237" t="s">
        <v>583</v>
      </c>
      <c r="E33" s="127"/>
      <c r="F33" s="127"/>
      <c r="G33" s="128"/>
      <c r="H33" s="128"/>
      <c r="I33" s="129"/>
      <c r="O33" s="66"/>
    </row>
    <row r="34" spans="6:15" ht="12">
      <c r="F34" s="3" t="s">
        <v>38</v>
      </c>
      <c r="G34" s="3" t="s">
        <v>42</v>
      </c>
      <c r="H34" s="3" t="s">
        <v>43</v>
      </c>
      <c r="O34" s="66"/>
    </row>
    <row r="35" spans="5:15" ht="12">
      <c r="E35" s="51" t="s">
        <v>41</v>
      </c>
      <c r="F35" s="31"/>
      <c r="G35" s="53">
        <f>$F$20*0.61*0.94</f>
        <v>3737.5072099999993</v>
      </c>
      <c r="H35" s="46">
        <f>F35*G35</f>
        <v>0</v>
      </c>
      <c r="O35" s="66"/>
    </row>
    <row r="36" spans="5:15" ht="12">
      <c r="E36" s="51" t="s">
        <v>40</v>
      </c>
      <c r="F36" s="31"/>
      <c r="G36" s="53">
        <f>$F$20*1*0.94</f>
        <v>6127.061</v>
      </c>
      <c r="H36" s="46">
        <f>F36*G36</f>
        <v>0</v>
      </c>
      <c r="O36" s="66"/>
    </row>
    <row r="37" spans="5:15" ht="12.75" thickBot="1">
      <c r="E37" t="s">
        <v>628</v>
      </c>
      <c r="F37" s="111"/>
      <c r="G37" s="233">
        <f>$F$20*1.6*0.94</f>
        <v>9803.2976</v>
      </c>
      <c r="H37" s="133">
        <f>F37*G37</f>
        <v>0</v>
      </c>
      <c r="O37" s="66"/>
    </row>
    <row r="38" spans="1:15" s="5" customFormat="1" ht="12.75" thickTop="1">
      <c r="A38" s="214"/>
      <c r="D38" s="214" t="s">
        <v>383</v>
      </c>
      <c r="E38" s="214"/>
      <c r="F38" s="214"/>
      <c r="G38" s="238"/>
      <c r="H38" s="238">
        <f>SUM(H35:H37)</f>
        <v>0</v>
      </c>
      <c r="I38" s="129"/>
      <c r="O38" s="239"/>
    </row>
    <row r="39" spans="1:15" ht="13.5" thickBot="1">
      <c r="A39" s="55"/>
      <c r="C39" s="240"/>
      <c r="D39" s="113"/>
      <c r="E39" s="240"/>
      <c r="F39" s="240"/>
      <c r="G39" s="241"/>
      <c r="H39" s="241"/>
      <c r="I39" s="129"/>
      <c r="O39" s="66"/>
    </row>
    <row r="40" spans="1:15" ht="13.5" thickTop="1">
      <c r="A40" s="55"/>
      <c r="C40" s="127" t="s">
        <v>383</v>
      </c>
      <c r="D40" s="55"/>
      <c r="E40" s="127"/>
      <c r="F40" s="127"/>
      <c r="G40" s="128"/>
      <c r="H40" s="246">
        <f>H30+H38</f>
        <v>0</v>
      </c>
      <c r="I40" s="129"/>
      <c r="O40" s="66"/>
    </row>
    <row r="41" ht="12">
      <c r="O41" s="66"/>
    </row>
    <row r="42" spans="1:15" ht="12.75">
      <c r="A42" s="55"/>
      <c r="B42" s="127" t="s">
        <v>382</v>
      </c>
      <c r="C42" s="55"/>
      <c r="D42" s="55"/>
      <c r="E42" s="127"/>
      <c r="F42" s="55"/>
      <c r="G42" s="55"/>
      <c r="H42" s="128"/>
      <c r="I42" s="129"/>
      <c r="O42" s="66"/>
    </row>
    <row r="43" spans="6:15" ht="12">
      <c r="F43" s="3" t="s">
        <v>38</v>
      </c>
      <c r="G43" s="3" t="s">
        <v>42</v>
      </c>
      <c r="H43" s="3" t="s">
        <v>43</v>
      </c>
      <c r="O43" s="66"/>
    </row>
    <row r="44" spans="5:15" ht="12">
      <c r="E44" s="51" t="s">
        <v>41</v>
      </c>
      <c r="F44" s="31"/>
      <c r="G44" s="53">
        <f>$F$20*0.61</f>
        <v>3976.0714999999996</v>
      </c>
      <c r="H44" s="46">
        <f>F44*G44</f>
        <v>0</v>
      </c>
      <c r="O44" s="66"/>
    </row>
    <row r="45" spans="5:15" ht="12">
      <c r="E45" s="51" t="s">
        <v>40</v>
      </c>
      <c r="F45" s="31"/>
      <c r="G45" s="53">
        <f>$F$20*1</f>
        <v>6518.15</v>
      </c>
      <c r="H45" s="46">
        <f>F45*G45</f>
        <v>0</v>
      </c>
      <c r="O45" s="66"/>
    </row>
    <row r="46" spans="5:15" ht="12.75" thickBot="1">
      <c r="E46" t="s">
        <v>628</v>
      </c>
      <c r="F46" s="111"/>
      <c r="G46" s="233">
        <f>$F$20*1.6</f>
        <v>10429.04</v>
      </c>
      <c r="H46" s="133">
        <f>F46*G46</f>
        <v>0</v>
      </c>
      <c r="O46" s="66"/>
    </row>
    <row r="47" spans="1:15" ht="13.5" thickTop="1">
      <c r="A47" s="55"/>
      <c r="B47" s="127" t="s">
        <v>585</v>
      </c>
      <c r="C47" s="55"/>
      <c r="D47" s="55"/>
      <c r="E47" s="127"/>
      <c r="F47" s="127"/>
      <c r="G47" s="128"/>
      <c r="H47" s="246">
        <f>SUM(H44:H46)</f>
        <v>0</v>
      </c>
      <c r="I47" s="129"/>
      <c r="O47" s="66"/>
    </row>
    <row r="48" spans="1:15" ht="12.75">
      <c r="A48" s="55"/>
      <c r="B48" s="127"/>
      <c r="C48" s="55"/>
      <c r="D48" s="55"/>
      <c r="E48" s="127"/>
      <c r="F48" s="127"/>
      <c r="G48" s="128"/>
      <c r="H48" s="246"/>
      <c r="I48" s="129"/>
      <c r="O48" s="66"/>
    </row>
    <row r="49" spans="1:15" ht="12.75">
      <c r="A49" s="55"/>
      <c r="B49" s="127"/>
      <c r="C49" s="55"/>
      <c r="D49" s="55"/>
      <c r="E49" s="127"/>
      <c r="F49" s="127"/>
      <c r="G49" s="128"/>
      <c r="H49" s="128"/>
      <c r="I49" s="129"/>
      <c r="O49" s="66"/>
    </row>
    <row r="50" spans="1:15" ht="12.75">
      <c r="A50" s="55"/>
      <c r="B50" s="127" t="s">
        <v>582</v>
      </c>
      <c r="C50" s="55"/>
      <c r="D50" s="55"/>
      <c r="E50" s="127"/>
      <c r="F50" s="127"/>
      <c r="G50" s="128"/>
      <c r="H50" s="246">
        <f>IF(H47-H40&lt;&gt;0,H47-H40,F12)</f>
        <v>-584260.8934000001</v>
      </c>
      <c r="I50" s="246"/>
      <c r="O50" s="66"/>
    </row>
    <row r="51" spans="1:15" ht="12.75">
      <c r="A51" s="55"/>
      <c r="B51" s="127"/>
      <c r="C51" s="55"/>
      <c r="D51" s="55"/>
      <c r="E51" s="127"/>
      <c r="F51" s="127"/>
      <c r="G51" s="128"/>
      <c r="H51" s="140" t="s">
        <v>420</v>
      </c>
      <c r="I51" s="129"/>
      <c r="O51" s="66"/>
    </row>
    <row r="52" ht="12">
      <c r="O52" s="66"/>
    </row>
    <row r="53" ht="12">
      <c r="O53" s="66"/>
    </row>
    <row r="54" ht="12">
      <c r="O54" s="66"/>
    </row>
    <row r="55" ht="12">
      <c r="O55" s="66"/>
    </row>
    <row r="56" ht="12">
      <c r="O56" s="66"/>
    </row>
    <row r="57" ht="12">
      <c r="O57" s="66"/>
    </row>
    <row r="58" ht="12">
      <c r="O58" s="66"/>
    </row>
    <row r="59" ht="12">
      <c r="O59" s="66"/>
    </row>
    <row r="60" ht="12">
      <c r="O60" s="66"/>
    </row>
    <row r="61" ht="12">
      <c r="O61" s="66"/>
    </row>
    <row r="62" ht="12">
      <c r="O62" s="66"/>
    </row>
    <row r="63" ht="12">
      <c r="O63" s="66"/>
    </row>
    <row r="64" ht="12">
      <c r="O64" s="66"/>
    </row>
    <row r="65" ht="12">
      <c r="O65" s="66"/>
    </row>
    <row r="66" ht="12">
      <c r="O66" s="66"/>
    </row>
    <row r="67" ht="12">
      <c r="O67" s="66"/>
    </row>
    <row r="68" ht="12">
      <c r="O68" s="66"/>
    </row>
    <row r="69" ht="12">
      <c r="O69" s="66"/>
    </row>
    <row r="70" ht="12">
      <c r="O70" s="66"/>
    </row>
    <row r="71" ht="12">
      <c r="O71" s="66"/>
    </row>
    <row r="72" ht="12">
      <c r="O72" s="66"/>
    </row>
    <row r="73" ht="12">
      <c r="O73" s="66"/>
    </row>
    <row r="74" ht="12">
      <c r="O74" s="66"/>
    </row>
    <row r="75" ht="12">
      <c r="O75" s="66"/>
    </row>
    <row r="76" ht="12">
      <c r="O76" s="66"/>
    </row>
    <row r="77" ht="12">
      <c r="O77" s="66"/>
    </row>
    <row r="78" ht="12">
      <c r="O78" s="66"/>
    </row>
    <row r="79" ht="12">
      <c r="O79" s="66"/>
    </row>
    <row r="80" ht="12">
      <c r="O80" s="66"/>
    </row>
    <row r="81" ht="12">
      <c r="O81" s="66"/>
    </row>
    <row r="82" ht="12">
      <c r="O82" s="66"/>
    </row>
    <row r="83" ht="12">
      <c r="O83" s="66"/>
    </row>
    <row r="84" ht="12">
      <c r="O84" s="66"/>
    </row>
    <row r="85" ht="12">
      <c r="O85" s="66"/>
    </row>
    <row r="86" ht="12">
      <c r="O86" s="66"/>
    </row>
    <row r="87" ht="12">
      <c r="O87" s="66"/>
    </row>
    <row r="88" ht="12">
      <c r="O88" s="66"/>
    </row>
    <row r="89" ht="12">
      <c r="O89" s="66"/>
    </row>
    <row r="90" ht="12">
      <c r="O90" s="66"/>
    </row>
    <row r="91" ht="12">
      <c r="O91" s="66"/>
    </row>
    <row r="92" ht="12">
      <c r="O92" s="66"/>
    </row>
    <row r="93" ht="12">
      <c r="O93" s="66"/>
    </row>
    <row r="94" ht="12">
      <c r="O94" s="66"/>
    </row>
    <row r="95" ht="12">
      <c r="O95" s="66"/>
    </row>
    <row r="96" ht="12">
      <c r="O96" s="66"/>
    </row>
    <row r="97" ht="12">
      <c r="O97" s="66"/>
    </row>
    <row r="98" ht="12">
      <c r="O98" s="66"/>
    </row>
    <row r="99" ht="12">
      <c r="O99" s="66"/>
    </row>
    <row r="100" ht="12">
      <c r="O100" s="66"/>
    </row>
    <row r="101" ht="12">
      <c r="O101" s="66"/>
    </row>
    <row r="102" ht="12">
      <c r="O102" s="66"/>
    </row>
    <row r="103" ht="12">
      <c r="O103" s="66"/>
    </row>
    <row r="104" ht="12">
      <c r="O104" s="66"/>
    </row>
    <row r="105" ht="12">
      <c r="O105" s="66"/>
    </row>
    <row r="106" ht="12">
      <c r="O106" s="66"/>
    </row>
    <row r="107" ht="12">
      <c r="O107" s="66"/>
    </row>
    <row r="108" ht="12">
      <c r="O108" s="66"/>
    </row>
    <row r="109" ht="12">
      <c r="O109" s="66"/>
    </row>
    <row r="110" ht="12">
      <c r="O110" s="66"/>
    </row>
    <row r="111" ht="12">
      <c r="O111" s="66"/>
    </row>
    <row r="112" ht="12">
      <c r="O112" s="66"/>
    </row>
    <row r="113" ht="12">
      <c r="O113" s="66"/>
    </row>
    <row r="114" ht="12">
      <c r="O114" s="66"/>
    </row>
    <row r="115" ht="12">
      <c r="O115" s="66"/>
    </row>
    <row r="116" ht="12">
      <c r="O116" s="66"/>
    </row>
    <row r="117" ht="12">
      <c r="O117" s="66"/>
    </row>
    <row r="118" ht="12">
      <c r="O118" s="66"/>
    </row>
    <row r="119" ht="12">
      <c r="O119" s="66"/>
    </row>
    <row r="120" ht="12">
      <c r="O120" s="66"/>
    </row>
    <row r="121" ht="12">
      <c r="O121" s="66"/>
    </row>
    <row r="122" ht="12">
      <c r="O122" s="66"/>
    </row>
    <row r="123" ht="12">
      <c r="O123" s="66"/>
    </row>
    <row r="124" ht="12">
      <c r="O124" s="66"/>
    </row>
    <row r="125" ht="12">
      <c r="O125" s="66"/>
    </row>
    <row r="126" ht="12">
      <c r="O126" s="66"/>
    </row>
    <row r="127" ht="12">
      <c r="O127" s="66"/>
    </row>
    <row r="128" ht="12">
      <c r="O128" s="66"/>
    </row>
    <row r="129" ht="12">
      <c r="O129" s="66"/>
    </row>
    <row r="130" ht="12">
      <c r="O130" s="66"/>
    </row>
    <row r="131" ht="12">
      <c r="O131" s="66"/>
    </row>
    <row r="132" ht="12">
      <c r="O132" s="66"/>
    </row>
    <row r="133" ht="12">
      <c r="O133" s="66"/>
    </row>
    <row r="134" ht="12">
      <c r="O134" s="66"/>
    </row>
    <row r="135" ht="12">
      <c r="O135" s="66"/>
    </row>
    <row r="136" ht="12">
      <c r="O136" s="66"/>
    </row>
    <row r="137" ht="12">
      <c r="O137" s="66"/>
    </row>
    <row r="138" ht="12">
      <c r="O138" s="66"/>
    </row>
    <row r="139" ht="12">
      <c r="O139" s="66"/>
    </row>
    <row r="140" ht="12">
      <c r="O140" s="66"/>
    </row>
    <row r="141" ht="12">
      <c r="O141" s="66"/>
    </row>
    <row r="142" ht="12">
      <c r="O142" s="66"/>
    </row>
    <row r="143" ht="12">
      <c r="O143" s="66"/>
    </row>
    <row r="144" ht="12">
      <c r="O144" s="66"/>
    </row>
    <row r="145" ht="12">
      <c r="O145" s="66"/>
    </row>
    <row r="146" ht="12">
      <c r="O146" s="66"/>
    </row>
    <row r="147" ht="12">
      <c r="O147" s="66"/>
    </row>
    <row r="148" ht="12">
      <c r="O148" s="66"/>
    </row>
    <row r="149" ht="12">
      <c r="O149" s="66"/>
    </row>
    <row r="150" ht="12">
      <c r="O150" s="66"/>
    </row>
    <row r="151" ht="12">
      <c r="O151" s="66"/>
    </row>
    <row r="152" ht="12">
      <c r="O152" s="66"/>
    </row>
    <row r="153" ht="12">
      <c r="O153" s="66"/>
    </row>
    <row r="154" ht="12">
      <c r="O154" s="66"/>
    </row>
    <row r="155" ht="12">
      <c r="O155" s="66"/>
    </row>
    <row r="156" ht="12">
      <c r="O156" s="66"/>
    </row>
    <row r="157" ht="12">
      <c r="O157" s="66"/>
    </row>
    <row r="158" ht="12">
      <c r="O158" s="66"/>
    </row>
    <row r="159" ht="12">
      <c r="O159" s="66"/>
    </row>
    <row r="160" ht="12">
      <c r="O160" s="66"/>
    </row>
    <row r="161" ht="12">
      <c r="O161" s="66"/>
    </row>
    <row r="162" ht="12">
      <c r="O162" s="66"/>
    </row>
    <row r="163" ht="12">
      <c r="O163" s="66"/>
    </row>
    <row r="164" ht="12">
      <c r="O164" s="66"/>
    </row>
    <row r="165" ht="12">
      <c r="O165" s="66"/>
    </row>
    <row r="166" ht="12">
      <c r="O166" s="66"/>
    </row>
    <row r="167" ht="12">
      <c r="O167" s="66"/>
    </row>
    <row r="168" ht="12">
      <c r="O168" s="66"/>
    </row>
    <row r="169" ht="12">
      <c r="O169" s="66"/>
    </row>
    <row r="170" ht="12">
      <c r="O170" s="66"/>
    </row>
    <row r="171" ht="12">
      <c r="O171" s="66"/>
    </row>
    <row r="172" ht="12">
      <c r="O172" s="66"/>
    </row>
    <row r="173" ht="12">
      <c r="O173" s="66"/>
    </row>
    <row r="174" ht="12">
      <c r="O174" s="66"/>
    </row>
    <row r="175" ht="12">
      <c r="O175" s="66"/>
    </row>
    <row r="176" ht="12">
      <c r="O176" s="66"/>
    </row>
    <row r="177" ht="12">
      <c r="O177" s="66"/>
    </row>
    <row r="178" ht="12">
      <c r="O178" s="66"/>
    </row>
    <row r="179" ht="12">
      <c r="O179" s="66"/>
    </row>
    <row r="180" ht="12">
      <c r="O180" s="66"/>
    </row>
    <row r="181" ht="12">
      <c r="O181" s="66"/>
    </row>
    <row r="182" ht="12">
      <c r="O182" s="66"/>
    </row>
    <row r="183" ht="12">
      <c r="O183" s="66"/>
    </row>
    <row r="184" ht="12">
      <c r="O184" s="66"/>
    </row>
    <row r="185" ht="12">
      <c r="O185" s="66"/>
    </row>
    <row r="186" ht="12">
      <c r="O186" s="66"/>
    </row>
    <row r="187" ht="12">
      <c r="O187" s="66"/>
    </row>
    <row r="188" ht="12">
      <c r="O188" s="66"/>
    </row>
    <row r="189" ht="12">
      <c r="O189" s="66"/>
    </row>
    <row r="190" ht="12">
      <c r="O190" s="66"/>
    </row>
    <row r="191" ht="12">
      <c r="O191" s="66"/>
    </row>
    <row r="192" ht="12">
      <c r="O192" s="66"/>
    </row>
    <row r="193" ht="12">
      <c r="O193" s="66"/>
    </row>
    <row r="194" ht="12">
      <c r="O194" s="66"/>
    </row>
    <row r="195" ht="12">
      <c r="O195" s="66"/>
    </row>
    <row r="326" ht="12">
      <c r="R326">
        <v>629984.6681482845</v>
      </c>
    </row>
    <row r="327" ht="12">
      <c r="R327">
        <v>533704.5170515766</v>
      </c>
    </row>
    <row r="328" ht="12">
      <c r="R328">
        <v>2948920.1810058244</v>
      </c>
    </row>
    <row r="329" ht="12">
      <c r="R329">
        <v>2609406.3443768644</v>
      </c>
    </row>
    <row r="330" ht="12">
      <c r="R330">
        <v>4229372.364863616</v>
      </c>
    </row>
    <row r="331" ht="12">
      <c r="R331">
        <v>4148131.5539559717</v>
      </c>
    </row>
    <row r="332" ht="12">
      <c r="R332">
        <v>5399482.551816998</v>
      </c>
    </row>
    <row r="333" ht="12">
      <c r="R333">
        <v>2639720.079790164</v>
      </c>
    </row>
    <row r="334" ht="12">
      <c r="R334">
        <v>9700.395332256001</v>
      </c>
    </row>
    <row r="335" ht="12">
      <c r="R335">
        <v>5466172.769726257</v>
      </c>
    </row>
    <row r="336" ht="12">
      <c r="R336">
        <v>264396.40027480264</v>
      </c>
    </row>
    <row r="337" ht="12">
      <c r="R337">
        <v>2473600.809725279</v>
      </c>
    </row>
    <row r="338" ht="12">
      <c r="R338">
        <v>1090445.6902872275</v>
      </c>
    </row>
    <row r="339" ht="12">
      <c r="R339">
        <v>385590.7144571758</v>
      </c>
    </row>
    <row r="340" ht="12">
      <c r="R340">
        <v>4560398.355576853</v>
      </c>
    </row>
    <row r="341" ht="12">
      <c r="R341">
        <v>2579092.6089635636</v>
      </c>
    </row>
    <row r="342" ht="12">
      <c r="R342">
        <v>2007981.8337769923</v>
      </c>
    </row>
    <row r="343" ht="12">
      <c r="R343">
        <v>3484867.023112968</v>
      </c>
    </row>
    <row r="344" ht="12">
      <c r="R344">
        <v>3970393.690028048</v>
      </c>
    </row>
    <row r="345" ht="12">
      <c r="R345">
        <v>200070.65372778007</v>
      </c>
    </row>
    <row r="346" ht="12">
      <c r="R346">
        <v>4848031.050914739</v>
      </c>
    </row>
    <row r="347" ht="12">
      <c r="R347">
        <v>2798564.053355856</v>
      </c>
    </row>
    <row r="348" ht="12">
      <c r="R348">
        <v>1577405.5359664788</v>
      </c>
    </row>
    <row r="349" ht="12">
      <c r="R349">
        <v>3627341.579555479</v>
      </c>
    </row>
    <row r="350" ht="12">
      <c r="R350">
        <v>4396704.184345033</v>
      </c>
    </row>
    <row r="351" ht="12">
      <c r="R351">
        <v>4597987.387489344</v>
      </c>
    </row>
    <row r="352" ht="12">
      <c r="R352">
        <v>9700.395332256001</v>
      </c>
    </row>
    <row r="353" ht="12">
      <c r="R353">
        <v>1666042.8983149678</v>
      </c>
    </row>
    <row r="354" ht="12">
      <c r="R354">
        <v>1551941.9982193066</v>
      </c>
    </row>
    <row r="355" ht="12">
      <c r="R355">
        <v>1603347.93907217</v>
      </c>
    </row>
    <row r="356" ht="12">
      <c r="R356">
        <v>1740729.8152081931</v>
      </c>
    </row>
    <row r="357" ht="12">
      <c r="R357">
        <v>1106330.0876437968</v>
      </c>
    </row>
    <row r="358" ht="12">
      <c r="R358">
        <v>1407875.8399696494</v>
      </c>
    </row>
    <row r="359" ht="12">
      <c r="R359">
        <v>1461061.4194502328</v>
      </c>
    </row>
    <row r="360" ht="12">
      <c r="R360">
        <v>1323861.4529696372</v>
      </c>
    </row>
    <row r="361" ht="12">
      <c r="R361">
        <v>830591.3294776846</v>
      </c>
    </row>
    <row r="362" ht="12">
      <c r="R362">
        <v>1558126.0002436198</v>
      </c>
    </row>
    <row r="363" ht="12">
      <c r="R363">
        <v>1116082.076058425</v>
      </c>
    </row>
    <row r="364" ht="12">
      <c r="R364">
        <v>608786.2706213386</v>
      </c>
    </row>
    <row r="365" ht="12">
      <c r="R365">
        <v>1068256.035964692</v>
      </c>
    </row>
    <row r="366" ht="12">
      <c r="R366">
        <v>1641791.9099843276</v>
      </c>
    </row>
    <row r="367" ht="12">
      <c r="R367">
        <v>1048273.1398771544</v>
      </c>
    </row>
    <row r="368" ht="12">
      <c r="R368">
        <v>414691.900453944</v>
      </c>
    </row>
    <row r="369" ht="12">
      <c r="R369">
        <v>1162410.4981584016</v>
      </c>
    </row>
    <row r="370" ht="12">
      <c r="R370">
        <v>482594.667779736</v>
      </c>
    </row>
    <row r="371" ht="12">
      <c r="R371">
        <v>1659357.4923391074</v>
      </c>
    </row>
    <row r="372" ht="12">
      <c r="R372">
        <v>59414.921410068004</v>
      </c>
    </row>
    <row r="373" ht="12">
      <c r="R373">
        <v>1230313.2654841938</v>
      </c>
    </row>
    <row r="374" ht="12">
      <c r="R374">
        <v>2869388.580070837</v>
      </c>
    </row>
    <row r="375" ht="12">
      <c r="R375">
        <v>575233.4432027808</v>
      </c>
    </row>
    <row r="376" ht="12">
      <c r="R376">
        <v>4674341.624248364</v>
      </c>
    </row>
    <row r="377" ht="12">
      <c r="R377">
        <v>1411407.520843248</v>
      </c>
    </row>
    <row r="378" ht="12">
      <c r="R378">
        <v>572868.9718405433</v>
      </c>
    </row>
    <row r="379" ht="12">
      <c r="R379">
        <v>623007.8902141416</v>
      </c>
    </row>
    <row r="380" ht="12">
      <c r="R380">
        <v>485565.41385023936</v>
      </c>
    </row>
    <row r="381" ht="12">
      <c r="R381">
        <v>1189510.977617892</v>
      </c>
    </row>
    <row r="382" ht="12">
      <c r="R382">
        <v>1247592.0946697746</v>
      </c>
    </row>
    <row r="383" ht="12">
      <c r="R383">
        <v>491082.51369545993</v>
      </c>
    </row>
    <row r="384" ht="12">
      <c r="R384">
        <v>369398.6296558954</v>
      </c>
    </row>
    <row r="385" ht="12">
      <c r="R385">
        <v>574869.6783778212</v>
      </c>
    </row>
    <row r="386" ht="12">
      <c r="R386">
        <v>412266.80162088</v>
      </c>
    </row>
    <row r="387" ht="12">
      <c r="R387">
        <v>77603.16265804801</v>
      </c>
    </row>
    <row r="388" ht="12">
      <c r="R388">
        <v>727105.2576234139</v>
      </c>
    </row>
    <row r="389" ht="12">
      <c r="R389">
        <v>206012.83648000003</v>
      </c>
    </row>
    <row r="390" ht="12">
      <c r="R390">
        <v>142804.35256000003</v>
      </c>
    </row>
    <row r="391" ht="12">
      <c r="R391">
        <v>168555.95712000006</v>
      </c>
    </row>
    <row r="392" ht="12">
      <c r="R392">
        <v>309019.25471999997</v>
      </c>
    </row>
    <row r="393" ht="12">
      <c r="R393">
        <v>112370.63808</v>
      </c>
    </row>
    <row r="394" ht="12">
      <c r="R394">
        <v>4410468.701402</v>
      </c>
    </row>
    <row r="395" ht="12">
      <c r="R395">
        <v>3928791.510475</v>
      </c>
    </row>
    <row r="396" ht="12">
      <c r="R396">
        <v>242474.76748200005</v>
      </c>
    </row>
    <row r="397" ht="12">
      <c r="R397">
        <v>36286.35188</v>
      </c>
    </row>
    <row r="398" ht="12">
      <c r="R398">
        <v>515032.09119999985</v>
      </c>
    </row>
    <row r="399" ht="12">
      <c r="R399">
        <v>255174.99064000006</v>
      </c>
    </row>
    <row r="400" ht="12">
      <c r="R400">
        <v>635713.4743880002</v>
      </c>
    </row>
    <row r="401" ht="12">
      <c r="R401">
        <v>959071.6907380007</v>
      </c>
    </row>
    <row r="402" ht="12">
      <c r="R402">
        <v>324236.11196</v>
      </c>
    </row>
    <row r="403" ht="12">
      <c r="R403">
        <v>1244621.8694839994</v>
      </c>
    </row>
    <row r="404" ht="12">
      <c r="R404">
        <v>2866466.8206816483</v>
      </c>
    </row>
    <row r="405" ht="12">
      <c r="R405">
        <v>5292171.928453915</v>
      </c>
    </row>
    <row r="406" ht="12">
      <c r="R406">
        <v>4225916.599026499</v>
      </c>
    </row>
    <row r="407" ht="12">
      <c r="R407">
        <v>2639783.5897832643</v>
      </c>
    </row>
    <row r="408" ht="12">
      <c r="R408">
        <v>5473508.693696276</v>
      </c>
    </row>
    <row r="409" ht="12">
      <c r="R409">
        <v>2488317.019898427</v>
      </c>
    </row>
    <row r="410" ht="12">
      <c r="R410">
        <v>5564510.527407001</v>
      </c>
    </row>
    <row r="411" ht="12">
      <c r="R411">
        <v>4865960.808542917</v>
      </c>
    </row>
    <row r="412" ht="12">
      <c r="R412">
        <v>4791995.294134463</v>
      </c>
    </row>
    <row r="413" ht="12">
      <c r="R413">
        <v>2512402.3910543043</v>
      </c>
    </row>
    <row r="414" ht="12">
      <c r="R414">
        <v>3317369.4268152765</v>
      </c>
    </row>
    <row r="415" ht="12">
      <c r="R415">
        <v>222458.74757400004</v>
      </c>
    </row>
    <row r="416" ht="12">
      <c r="R416">
        <v>18728.439680000003</v>
      </c>
    </row>
    <row r="417" ht="12">
      <c r="R417">
        <v>268167.845668</v>
      </c>
    </row>
    <row r="418" ht="12">
      <c r="R418">
        <v>103006.41824000001</v>
      </c>
    </row>
    <row r="419" ht="12">
      <c r="R419">
        <v>145835.72510500005</v>
      </c>
    </row>
    <row r="420" ht="12">
      <c r="R420">
        <v>195478.08916000003</v>
      </c>
    </row>
    <row r="421" ht="12">
      <c r="R421">
        <v>231822.96741400004</v>
      </c>
    </row>
  </sheetData>
  <sheetProtection/>
  <protectedRanges>
    <protectedRange sqref="F27:F29 F44:F46 F35:F37" name="Alue1"/>
  </protectedRanges>
  <mergeCells count="1">
    <mergeCell ref="A3:J3"/>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Jouko HeikkiläJan Björkwall</Manager>
  <Company>Kuntaliitto/Kuntatalous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2015 kunnalle</dc:title>
  <dc:subject/>
  <dc:creator>Björkwall Jan</dc:creator>
  <cp:keywords>Valtionosuudet</cp:keywords>
  <dc:description/>
  <cp:lastModifiedBy>Lehtonen Sanna</cp:lastModifiedBy>
  <cp:lastPrinted>2015-01-27T09:08:13Z</cp:lastPrinted>
  <dcterms:created xsi:type="dcterms:W3CDTF">2009-11-13T07:40:31Z</dcterms:created>
  <dcterms:modified xsi:type="dcterms:W3CDTF">2017-10-03T18:10:13Z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G94TWSLYV3F3-10977-6</vt:lpwstr>
  </property>
  <property fmtid="{D5CDD505-2E9C-101B-9397-08002B2CF9AE}" pid="3" name="_dlc_DocIdItemGuid">
    <vt:lpwstr>da0710d3-609a-4fad-9489-b7d9d8d26918</vt:lpwstr>
  </property>
  <property fmtid="{D5CDD505-2E9C-101B-9397-08002B2CF9AE}" pid="4" name="_dlc_DocIdUrl">
    <vt:lpwstr>http://www.kunnat.net/fi/asiantuntijapalvelut/kuntatalous/valtionosuudet/valtionosuuslaskelmat/valtionosuudet-vuonna-2015/valtionosuuslaskuri-2015/_layouts/DocIdRedir.aspx?ID=G94TWSLYV3F3-10977-6, G94TWSLYV3F3-10977-6</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Laskuri on päivitetty 27.1.2015.</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2015-04-27T09:46:00Z</vt:lpwstr>
  </property>
  <property fmtid="{D5CDD505-2E9C-101B-9397-08002B2CF9AE}" pid="17" name="KN2Language">
    <vt:lpwstr/>
  </property>
</Properties>
</file>