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180" windowWidth="15360" windowHeight="8310" tabRatio="783" firstSheet="1" activeTab="2"/>
  </bookViews>
  <sheets>
    <sheet name="tiedot" sheetId="1" state="hidden" r:id="rId1"/>
    <sheet name="1.Täyttöohjeet" sheetId="2" r:id="rId2"/>
    <sheet name="2.Yhteenveto" sheetId="3" r:id="rId3"/>
    <sheet name="3.Ikärakenne" sheetId="4" r:id="rId4"/>
    <sheet name="4.Muut lask. kustannukset" sheetId="5" r:id="rId5"/>
    <sheet name="5.Lisäosat" sheetId="6" r:id="rId6"/>
    <sheet name="6.Vähennykset ja lisäykset" sheetId="7" r:id="rId7"/>
    <sheet name="7.Järjestelmämuutos 2015" sheetId="8" r:id="rId8"/>
    <sheet name="8.Kotikuntakorvaukset" sheetId="9" r:id="rId9"/>
    <sheet name="Tulopohjan tasaus" sheetId="10" r:id="rId10"/>
    <sheet name="9.Opetus ja kulttuuri, muu vos" sheetId="11" r:id="rId11"/>
    <sheet name="10.Lukio" sheetId="12" r:id="rId12"/>
  </sheets>
  <definedNames>
    <definedName name="_xlfn.SUMIFS" hidden="1">#NAME?</definedName>
    <definedName name="ikar_1">'tiedot'!$Q$2:$Q$296</definedName>
    <definedName name="ikar_11">'tiedot'!$Z$2:$Z$296</definedName>
    <definedName name="ikar_12">'tiedot'!$AA$2:$AA$296</definedName>
    <definedName name="ikar_13">'tiedot'!$AB$2:$AB$296</definedName>
    <definedName name="ikar_14">'tiedot'!$AC$2:$AC$296</definedName>
    <definedName name="ikar_16">'tiedot'!$AD$2:$AD$296</definedName>
    <definedName name="ikar_2">'tiedot'!$R$2:$R$296</definedName>
    <definedName name="ikar_3">'tiedot'!$S$2:$S$296</definedName>
    <definedName name="ikar_4">'tiedot'!$T$2:$T$296</definedName>
    <definedName name="ikar_5">'tiedot'!$U$2:$U$296</definedName>
    <definedName name="ikar_6">'tiedot'!$V$2:$V$296</definedName>
    <definedName name="ikar_7">'tiedot'!$W$2:$W$296</definedName>
    <definedName name="ikar_8">'tiedot'!$X$2:$X$296</definedName>
    <definedName name="ikar_9">'tiedot'!$Y$2:$Y$296</definedName>
    <definedName name="jm_1">'tiedot'!$CH$2:$CH$296</definedName>
    <definedName name="kkk_1">'tiedot'!$CM$2:$CM$296</definedName>
    <definedName name="kkk_2">'tiedot'!$CK$2:$CK$296</definedName>
    <definedName name="kkk_3">'tiedot'!$CL$2:$CL$296</definedName>
    <definedName name="kunta">'tiedot'!$B$2:$B$296</definedName>
    <definedName name="lo_1">'tiedot'!$BB$2:$BB$296</definedName>
    <definedName name="lo_2">'tiedot'!$BC$2:$BC$296</definedName>
    <definedName name="lo_3">'tiedot'!$BD$2:$BD$296</definedName>
    <definedName name="lo_4">'tiedot'!$BE$2:$BE$296</definedName>
    <definedName name="lo_5">'tiedot'!$BF$2:$BF$296</definedName>
    <definedName name="lo_6">'tiedot'!$BG$2:$BG$296</definedName>
    <definedName name="lo_7">'tiedot'!$BH$2:$BH$296</definedName>
    <definedName name="muutla_1">'tiedot'!$AJ$2:$AJ$296</definedName>
    <definedName name="muutla_10">'tiedot'!$AS$2:$AS$296</definedName>
    <definedName name="muutla_11">'tiedot'!$AU$2:$AU$296</definedName>
    <definedName name="muutla_12">'tiedot'!$AV$2:$AV$296</definedName>
    <definedName name="muutla_13">'tiedot'!$AW$2:$AW$296</definedName>
    <definedName name="muutla_14">'tiedot'!$AX$2:$AX$296</definedName>
    <definedName name="muutla_15">'tiedot'!$AY$2:$AY$296</definedName>
    <definedName name="muutla_16">'tiedot'!$AZ$2:$AZ$296</definedName>
    <definedName name="muutla_17">'tiedot'!$BA$2:$BA$296</definedName>
    <definedName name="muutla_18">'tiedot'!$AT$2:$AT$296</definedName>
    <definedName name="muutla_2">'tiedot'!$AK$2:$AK$296</definedName>
    <definedName name="muutla_3">'tiedot'!$AL$2:$AL$296</definedName>
    <definedName name="muutla_4">'tiedot'!$AM$2:$AM$296</definedName>
    <definedName name="muutla_5">'tiedot'!$AN$2:$AN$296</definedName>
    <definedName name="muutla_6">'tiedot'!$AO$2:$AO$296</definedName>
    <definedName name="muutla_7">'tiedot'!$AP$2:$AP$296</definedName>
    <definedName name="muutla_8">'tiedot'!$AQ$2:$AQ$296</definedName>
    <definedName name="muutla_9">'tiedot'!$AR$2:$AR$296</definedName>
    <definedName name="numero">'tiedot'!$A$2:$A$296</definedName>
    <definedName name="okm">'tiedot'!$CJ$2:$CJ$296</definedName>
    <definedName name="sair_0">'tiedot'!$AE$2:$AE$296</definedName>
    <definedName name="sair_1">'tiedot'!$AF$2:$AF$296</definedName>
    <definedName name="sair_2">'tiedot'!$AG$2:$AG$296</definedName>
    <definedName name="sair_3">'tiedot'!$AH$2:$AH$296</definedName>
    <definedName name="sair_4">'tiedot'!$AI$2:$AI$296</definedName>
    <definedName name="tasa_1">'tiedot'!$CI$2:$CI$296</definedName>
    <definedName name="_xlnm.Print_Area" localSheetId="1">'1.Täyttöohjeet'!$A$1:$M$105</definedName>
    <definedName name="_xlnm.Print_Area" localSheetId="2">'2.Yhteenveto'!$A$11:$M$58</definedName>
    <definedName name="_xlnm.Print_Area" localSheetId="8">'8.Kotikuntakorvaukset'!$E$10:$K$51</definedName>
    <definedName name="_xlnm.Print_Area" localSheetId="10">'9.Opetus ja kulttuuri, muu vos'!$A$1:$K$104</definedName>
    <definedName name="vl_1">'tiedot'!$BI$2:$BI$296</definedName>
    <definedName name="vl_10">'tiedot'!$BT$2:$BT$296</definedName>
    <definedName name="vl_11">'tiedot'!$BU$2:$BU$296</definedName>
    <definedName name="vl_12">'tiedot'!$BV$2:$BV$296</definedName>
    <definedName name="vl_13">'tiedot'!$BW$2:$BW$296</definedName>
    <definedName name="vl_14">'tiedot'!$BX$2:$BX$296</definedName>
    <definedName name="vl_15">'tiedot'!$CC$2:$CC$296</definedName>
    <definedName name="vl_16">'tiedot'!$CD$2:$CD$296</definedName>
    <definedName name="vl_17">'tiedot'!$CF$2:$CF$296</definedName>
    <definedName name="vl_18">'tiedot'!$CG$2:$CG$296</definedName>
    <definedName name="vl_19">'tiedot'!$BY$2:$BY$296</definedName>
    <definedName name="vl_2">'tiedot'!$BJ$2:$BJ$296</definedName>
    <definedName name="vl_20">'tiedot'!$BP$2:$BP$296</definedName>
    <definedName name="vl_21">'tiedot'!$BQ$2:$BQ$296</definedName>
    <definedName name="vl_22">'tiedot'!$BZ$2:$BZ$296</definedName>
    <definedName name="vl_23">'tiedot'!$CA$2:$CA$297</definedName>
    <definedName name="vl_24">'tiedot'!$CB$2:$CB$296</definedName>
    <definedName name="vl_3">'tiedot'!$BK$2:$BK$296</definedName>
    <definedName name="vl_4">'tiedot'!$BL$2:$BL$296</definedName>
    <definedName name="vl_5">'tiedot'!$BM$2:$BM$296</definedName>
    <definedName name="vl_6">'tiedot'!$BN$2:$BN$296</definedName>
    <definedName name="vl_7">'tiedot'!$BO$2:$BO$296</definedName>
    <definedName name="vl_8">'tiedot'!$BR$2:$BR$296</definedName>
    <definedName name="vl_9">'tiedot'!$BS$2:$BS$296</definedName>
    <definedName name="vos_maks">'tiedot'!$CN$2:$CN$296</definedName>
    <definedName name="vos_maksatus">'tiedot'!$CO$2:$CO$296</definedName>
    <definedName name="vosC">'tiedot'!$C$2:$C$296</definedName>
    <definedName name="vosD">'tiedot'!$D$2:$D$296</definedName>
    <definedName name="vosE">'tiedot'!$E$2:$E$296</definedName>
    <definedName name="vosF">'tiedot'!$F$2:$F$296</definedName>
    <definedName name="vosG">'tiedot'!$G$2:$G$296</definedName>
    <definedName name="vosH">'tiedot'!$H$2:$H$296</definedName>
    <definedName name="vosI">'tiedot'!$I$2:$I$296</definedName>
    <definedName name="vosJ">'tiedot'!$J$2:$J$296</definedName>
    <definedName name="vosK">'tiedot'!$K$2:$K$296</definedName>
    <definedName name="vosL">'tiedot'!$L$2:$L$296</definedName>
    <definedName name="vosM">'tiedot'!$M$2:$M$296</definedName>
    <definedName name="vosN">'tiedot'!$N$2:$N$296</definedName>
    <definedName name="vosO">'tiedot'!$O$2:$O$296</definedName>
    <definedName name="vosP">'tiedot'!$P$2:$P$296</definedName>
  </definedNames>
  <calcPr fullCalcOnLoad="1"/>
</workbook>
</file>

<file path=xl/comments11.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90"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<sst xmlns="http://schemas.openxmlformats.org/spreadsheetml/2006/main" count="2125" uniqueCount="1173">
  <si>
    <t>Kunta:</t>
  </si>
  <si>
    <t>€/asukas</t>
  </si>
  <si>
    <t>Laskennalliset</t>
  </si>
  <si>
    <t>Yhteensä</t>
  </si>
  <si>
    <t>hinta</t>
  </si>
  <si>
    <t>määrä</t>
  </si>
  <si>
    <t>kerroin</t>
  </si>
  <si>
    <t>Aamu- ja iltapäivätoiminta</t>
  </si>
  <si>
    <t>Kansalaisopisto</t>
  </si>
  <si>
    <t>Liikunta</t>
  </si>
  <si>
    <t>Nuorisotyö</t>
  </si>
  <si>
    <t>€/alle 29-v.</t>
  </si>
  <si>
    <t>Museo</t>
  </si>
  <si>
    <t>€/henkilötyöv.</t>
  </si>
  <si>
    <t>Teatteri</t>
  </si>
  <si>
    <t>Orkesteri</t>
  </si>
  <si>
    <t>Ammatillinen koulutus</t>
  </si>
  <si>
    <t>Keskimääräinen yksikköhinta</t>
  </si>
  <si>
    <t>Tasauskerroin</t>
  </si>
  <si>
    <t>Pisteitä</t>
  </si>
  <si>
    <t>määrä 1)</t>
  </si>
  <si>
    <t>Painotettu pistearvo</t>
  </si>
  <si>
    <t>Aikuis-</t>
  </si>
  <si>
    <t>Aineopiskelun laskennalliset opiskelijat yhteensä 3)</t>
  </si>
  <si>
    <t>Lukion valtionosuuden laskennallinen peruste:</t>
  </si>
  <si>
    <t>Aineopiskelun laskennallinen peruste:</t>
  </si>
  <si>
    <t>2) Pois lukien aineopiskelun laskennalliset opiskelijat</t>
  </si>
  <si>
    <t xml:space="preserve">   ei oteta huomioon.</t>
  </si>
  <si>
    <t>Pidennetty oppivelvollisuus</t>
  </si>
  <si>
    <t>Lisäopetus</t>
  </si>
  <si>
    <t>Muut kuin oppivelvolliset</t>
  </si>
  <si>
    <t>Määrä</t>
  </si>
  <si>
    <t>13-15-vuotiaat</t>
  </si>
  <si>
    <t>7-12-vuotiaat</t>
  </si>
  <si>
    <t>6-vuotiaat</t>
  </si>
  <si>
    <t>Peruste</t>
  </si>
  <si>
    <t>Summa</t>
  </si>
  <si>
    <t>valmistava opetus</t>
  </si>
  <si>
    <t>Kotikuntakorv. perusosa</t>
  </si>
  <si>
    <t>YHTEENVETO</t>
  </si>
  <si>
    <t>Ohjeet:</t>
  </si>
  <si>
    <t>1)</t>
  </si>
  <si>
    <t>opetuksen lisä</t>
  </si>
  <si>
    <t>Joustavan perus-</t>
  </si>
  <si>
    <t>Yksikköhinta</t>
  </si>
  <si>
    <t>Sisäoppilaitoslisä</t>
  </si>
  <si>
    <t>Valtionosuuteen tehtävät vähennykset ja lisäykset yhteensä</t>
  </si>
  <si>
    <t>VÄHENNYKSET</t>
  </si>
  <si>
    <t>LISÄYKSET</t>
  </si>
  <si>
    <t>Lisäykset yhteensä</t>
  </si>
  <si>
    <t>VÄHENNYKSET JA LISÄYKSET YHTEENSÄ</t>
  </si>
  <si>
    <t>Vähennykset yhteensä</t>
  </si>
  <si>
    <t>Kotikuntakorvaukset esi- ja perusopetuksessa</t>
  </si>
  <si>
    <t>3) Lukuvuoden kurssit jaettuna 15:llä. Muussa oppilaitoksessa suoritettavia aineopiskelun kursseja</t>
  </si>
  <si>
    <t>Lukio</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</si>
  <si>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</si>
  <si>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</si>
  <si>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</si>
  <si>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</si>
  <si>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</si>
  <si>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</si>
  <si>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</si>
  <si>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</si>
  <si>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</si>
  <si>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</si>
  <si>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</si>
  <si>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</si>
  <si>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</si>
  <si>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</si>
  <si>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</si>
  <si>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</si>
  <si>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</si>
  <si>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</si>
  <si>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</si>
  <si>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</si>
  <si>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</si>
  <si>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</si>
  <si>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</si>
  <si>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</si>
  <si>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</si>
  <si>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</si>
  <si>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</si>
  <si>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</si>
  <si>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</si>
  <si>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</si>
  <si>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</si>
  <si>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</si>
  <si>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</si>
  <si>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</si>
  <si>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</si>
  <si>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</si>
  <si>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</si>
  <si>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</si>
  <si>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</si>
  <si>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</si>
  <si>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</si>
  <si>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</si>
  <si>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</si>
  <si>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</si>
  <si>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</si>
  <si>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</si>
  <si>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</si>
  <si>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</si>
  <si>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</si>
  <si>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</si>
  <si>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</si>
  <si>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</si>
  <si>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</si>
  <si>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</si>
  <si>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</si>
  <si>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</si>
  <si>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</si>
  <si>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</si>
  <si>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</si>
  <si>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</si>
  <si>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</si>
  <si>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</si>
  <si>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</si>
  <si>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</si>
  <si>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</si>
  <si>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</si>
  <si>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</si>
  <si>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</si>
  <si>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</si>
  <si>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</si>
  <si>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</si>
  <si>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</si>
  <si>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</si>
  <si>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</si>
  <si>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</si>
  <si>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</si>
  <si>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</si>
  <si>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</si>
  <si>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</si>
  <si>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</si>
  <si>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</si>
  <si>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</si>
  <si>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</si>
  <si>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</si>
  <si>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</si>
  <si>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</si>
  <si>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</si>
  <si>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</si>
  <si>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</si>
  <si>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</si>
  <si>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</si>
  <si>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</si>
  <si>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</si>
  <si>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</si>
  <si>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</si>
  <si>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</si>
  <si>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</si>
  <si>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</si>
  <si>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</si>
  <si>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</si>
  <si>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</si>
  <si>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</si>
  <si>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</si>
  <si>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</si>
  <si>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</si>
  <si>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</si>
  <si>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</si>
  <si>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</si>
  <si>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</si>
  <si>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</si>
  <si>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</si>
  <si>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</si>
  <si>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</si>
  <si>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</si>
  <si>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</si>
  <si>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</si>
  <si>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</si>
  <si>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</si>
  <si>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</si>
  <si>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</si>
  <si>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</si>
  <si>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</si>
  <si>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</si>
  <si>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</si>
  <si>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</si>
  <si>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</si>
  <si>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</si>
  <si>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</si>
  <si>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</si>
  <si>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</si>
  <si>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</si>
  <si>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</si>
  <si>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</si>
  <si>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</si>
  <si>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</si>
  <si>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</si>
  <si>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</si>
  <si>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</si>
  <si>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</si>
  <si>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</si>
  <si>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</si>
  <si>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</si>
  <si>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</si>
  <si>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</si>
  <si>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</si>
  <si>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</si>
  <si>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</si>
  <si>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</si>
  <si>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</si>
  <si>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</si>
  <si>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</si>
  <si>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</si>
  <si>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</si>
  <si>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</si>
  <si>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</si>
  <si>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</si>
  <si>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</si>
  <si>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</si>
  <si>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</si>
  <si>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</si>
  <si>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</si>
  <si>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</si>
  <si>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</si>
  <si>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</si>
  <si>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</si>
  <si>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</si>
  <si>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</si>
  <si>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</si>
  <si>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</si>
  <si>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</si>
  <si>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</si>
  <si>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</si>
  <si>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</si>
  <si>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</si>
  <si>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</si>
  <si>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</si>
  <si>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</si>
  <si>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</si>
  <si>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</si>
  <si>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</si>
  <si>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</si>
  <si>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</si>
  <si>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</si>
  <si>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</si>
  <si>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</si>
  <si>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</si>
  <si>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</si>
  <si>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</si>
  <si>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</si>
  <si>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</si>
  <si>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</si>
  <si>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</si>
  <si>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</si>
  <si>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</si>
  <si>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</si>
  <si>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</si>
  <si>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</si>
  <si>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</si>
  <si>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</si>
  <si>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</si>
  <si>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</si>
  <si>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</si>
  <si>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</si>
  <si>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</si>
  <si>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</si>
  <si>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</si>
  <si>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</si>
  <si>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</si>
  <si>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</si>
  <si>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</si>
  <si>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</si>
  <si>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</si>
  <si>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</si>
  <si>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</si>
  <si>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</si>
  <si>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</si>
  <si>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</si>
  <si>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</si>
  <si>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</si>
  <si>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</si>
  <si>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</si>
  <si>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</si>
  <si>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</si>
  <si>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</si>
  <si>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</si>
  <si>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</si>
  <si>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</si>
  <si>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</si>
  <si>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</si>
  <si>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</si>
  <si>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</si>
  <si>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</si>
  <si>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</si>
  <si>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</si>
  <si>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</si>
  <si>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</si>
  <si>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</si>
  <si>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</si>
  <si>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</si>
  <si>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</si>
  <si>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</si>
  <si>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</si>
  <si>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</si>
  <si>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</si>
  <si>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</si>
  <si>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</si>
  <si>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</si>
  <si>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</si>
  <si>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</si>
  <si>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</si>
  <si>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</si>
  <si>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</si>
  <si>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</si>
  <si>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</si>
  <si>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</si>
  <si>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</si>
  <si>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</si>
  <si>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</si>
  <si>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</si>
  <si>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</si>
  <si>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</si>
  <si>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</si>
  <si>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</si>
  <si>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</si>
  <si>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</si>
  <si>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</si>
  <si>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</si>
  <si>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</si>
  <si>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</si>
  <si>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</si>
  <si>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</si>
  <si>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</si>
  <si>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</si>
  <si>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</si>
  <si>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</si>
  <si>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</si>
  <si>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</si>
  <si>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</si>
  <si>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</si>
  <si>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</si>
  <si>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</si>
  <si>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</si>
  <si>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</si>
  <si>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</si>
  <si>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</si>
  <si>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</si>
  <si>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</si>
  <si>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</si>
  <si>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</si>
  <si>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</si>
  <si>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</si>
  <si>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</si>
  <si>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</si>
  <si>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</si>
  <si>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</si>
  <si>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</si>
  <si>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</si>
  <si>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</si>
  <si>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</si>
  <si>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</si>
  <si>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</si>
  <si>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</si>
  <si>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</si>
  <si>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</si>
  <si>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</si>
  <si>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Ikärakenne yhteensä:</t>
  </si>
  <si>
    <t>euroa</t>
  </si>
  <si>
    <t>kustannukset, euroa</t>
  </si>
  <si>
    <t>= tarkista vihreiden solujen valtakunnalliset tiedot</t>
  </si>
  <si>
    <t>= syötä kuntakohtaiset tiedot keltaisiin soluihin</t>
  </si>
  <si>
    <t>Ikärakenne</t>
  </si>
  <si>
    <t>65-74-vuotiaat</t>
  </si>
  <si>
    <t>75-84-vuotiaat</t>
  </si>
  <si>
    <t>yli 84-vuotiaat</t>
  </si>
  <si>
    <t>perushinta</t>
  </si>
  <si>
    <t>KOTIKUNTAKORVAUSTULOT</t>
  </si>
  <si>
    <t>Kotikuntakorvausmenot yhteensä</t>
  </si>
  <si>
    <t>KOTIKUNTAKORVAUSMENOT</t>
  </si>
  <si>
    <t>Ylläpitäjien yksikköhintarahoitus</t>
  </si>
  <si>
    <t>ESI- JA PERUSOPETUKSEN OPPILASKOHTAISET LISÄT</t>
  </si>
  <si>
    <t>MUU OPETUS- JA KULTTUURITOIMEN VALTIONOSUUSRAHOITUS</t>
  </si>
  <si>
    <t>yksikkö</t>
  </si>
  <si>
    <t>yksikkö-</t>
  </si>
  <si>
    <t>oppilas-</t>
  </si>
  <si>
    <t>Esi- ja perusopetuksen oppilaskohtaiset lisät yhteensä</t>
  </si>
  <si>
    <t>suorite-</t>
  </si>
  <si>
    <t>vos-</t>
  </si>
  <si>
    <t>prosentti</t>
  </si>
  <si>
    <t>tasaus-</t>
  </si>
  <si>
    <t>Opetus- ja kulttuuritoimen valtionosuus yhteensä:</t>
  </si>
  <si>
    <t>Muu opetus- ja kulttuuritoimen valtionosuusrahoitus yhteensä</t>
  </si>
  <si>
    <t>Sivu 1</t>
  </si>
  <si>
    <t>Sivu 2</t>
  </si>
  <si>
    <t>LUKION YKSIKKÖHINTA</t>
  </si>
  <si>
    <t>LUKION YKSIKKÖHINTARAHOITUKSEN LASKENNALLINEN PERUSTE</t>
  </si>
  <si>
    <t>Lukion yksikköhintarahoituksen laskennallinen peruste yhteensä</t>
  </si>
  <si>
    <t>Erityisen tehtävän lisäys (%)</t>
  </si>
  <si>
    <t>Tunnusluvun mukainen yksikköhinta</t>
  </si>
  <si>
    <t>Kaksikielisyys</t>
  </si>
  <si>
    <t>Klikkaa solu aktiiviseksi ja valitse kunta alasvetovalikosta</t>
  </si>
  <si>
    <t>Syrjäisyys</t>
  </si>
  <si>
    <t>Tarkista asukasluku</t>
  </si>
  <si>
    <t>Parainen</t>
  </si>
  <si>
    <t>Taulukon täyttöohje:</t>
  </si>
  <si>
    <t>euroa/asukas</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</si>
  <si>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</si>
  <si>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</si>
  <si>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</si>
  <si>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</si>
  <si>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</si>
  <si>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</si>
  <si>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Perushinta</t>
  </si>
  <si>
    <t>Tarkista vihreiden solujen tiedot.</t>
  </si>
  <si>
    <t>(0 tai 1)</t>
  </si>
  <si>
    <t>Veromenetyksen kompensaatio vuodelta 2010</t>
  </si>
  <si>
    <t>Veromenetyksen kompensaatio vuodelta 2011</t>
  </si>
  <si>
    <t>Veromenetyksen kompensaatio vuodelta 2012</t>
  </si>
  <si>
    <t>Veromenetyksen kompensaatio vuodelta 2013</t>
  </si>
  <si>
    <t>Työmarkkinatukikompensaatio (+/-)</t>
  </si>
  <si>
    <t>- mistä alle 29-vuotiaita</t>
  </si>
  <si>
    <t>YLLÄPITÄJÄN YKSIKKÖHINTARAHOITUS</t>
  </si>
  <si>
    <t>Maakuntien kehittämisraha</t>
  </si>
  <si>
    <t>Vakiomuotoisten tietoluovutusten hinnoittelumuutos</t>
  </si>
  <si>
    <t>Opiskelijavalintajärjestelmän uudistuksen rahoitus (OPH)</t>
  </si>
  <si>
    <t>Lääkäri- ja lääkintähelikopteritoiminnan rahoitus</t>
  </si>
  <si>
    <t>Ylläpitäjän lukion yksikköhinta</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</si>
  <si>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</si>
  <si>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</si>
  <si>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</si>
  <si>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</si>
  <si>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</si>
  <si>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</si>
  <si>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</si>
  <si>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</si>
  <si>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</si>
  <si>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</si>
  <si>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</si>
  <si>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</si>
  <si>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</si>
  <si>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</si>
  <si>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</si>
  <si>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</si>
  <si>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</si>
  <si>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</si>
  <si>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</si>
  <si>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</si>
  <si>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</si>
  <si>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</si>
  <si>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</si>
  <si>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</si>
  <si>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</si>
  <si>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</si>
  <si>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</si>
  <si>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</si>
  <si>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</si>
  <si>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</si>
  <si>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</si>
  <si>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</si>
  <si>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</si>
  <si>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</si>
  <si>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</si>
  <si>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</si>
  <si>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</si>
  <si>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</si>
  <si>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</si>
  <si>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</si>
  <si>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</si>
  <si>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</si>
  <si>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</si>
  <si>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</si>
  <si>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</si>
  <si>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</si>
  <si>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</si>
  <si>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</si>
  <si>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</si>
  <si>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</si>
  <si>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</si>
  <si>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</si>
  <si>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</si>
  <si>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</si>
  <si>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</si>
  <si>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</si>
  <si>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</si>
  <si>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</si>
  <si>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</si>
  <si>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</si>
  <si>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</si>
  <si>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</si>
  <si>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</si>
  <si>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</si>
  <si>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</si>
  <si>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</si>
  <si>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</si>
  <si>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</si>
  <si>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</si>
  <si>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</si>
  <si>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</si>
  <si>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</si>
  <si>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</si>
  <si>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</si>
  <si>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</si>
  <si>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</si>
  <si>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</si>
  <si>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Asukastiheys</t>
  </si>
  <si>
    <t>0-5-vuotiaat</t>
  </si>
  <si>
    <t>16-18-vuotiaat</t>
  </si>
  <si>
    <t>19-64-vuotiaat</t>
  </si>
  <si>
    <t>Sairastavuuden laskennalliset kustannukset sekä</t>
  </si>
  <si>
    <t>Sairastavuuden laskennallinen kustannus</t>
  </si>
  <si>
    <t>MUUT LASKENNALLISET KUSTANNUKSET</t>
  </si>
  <si>
    <t>Työttömyys</t>
  </si>
  <si>
    <t>Työttömien määrä</t>
  </si>
  <si>
    <t>Työttömyyskerroin</t>
  </si>
  <si>
    <t>Työvoima</t>
  </si>
  <si>
    <t>Koko maa</t>
  </si>
  <si>
    <t>Vieraskielisyys</t>
  </si>
  <si>
    <t>Vieraskielisten määrä</t>
  </si>
  <si>
    <t>Vieraskielisten osuus</t>
  </si>
  <si>
    <t>Koko maan minimi</t>
  </si>
  <si>
    <t>Vieraskielisyyskerroin</t>
  </si>
  <si>
    <t>Onko kunta kaksikielinen? (0, 1, 2, 3)</t>
  </si>
  <si>
    <t>0 = yksikielinen suomenkielinen</t>
  </si>
  <si>
    <t>1 = kaksikielinen, suomi pääkieli</t>
  </si>
  <si>
    <t>2 = yksikielinen ruotsinkielinen</t>
  </si>
  <si>
    <t>3 = kaksikielinen, ruotsi pääkieli</t>
  </si>
  <si>
    <t>A) 7 % kokonaisuudesta asukasmäärään perustuen</t>
  </si>
  <si>
    <t>B) 93 % kokonaisuudesta ruotsinkielisten määrään perustuen</t>
  </si>
  <si>
    <t>Ruotsinkielisten määrä</t>
  </si>
  <si>
    <t>Saaristoisuus</t>
  </si>
  <si>
    <t>Onko kunta saaristokunta? (0, 1, 2, 3)</t>
  </si>
  <si>
    <t>0 = ei saaristo- eikä saaristo-osakunta</t>
  </si>
  <si>
    <t>Työttömyyden perusteella yhteensä</t>
  </si>
  <si>
    <t>Vieraskielisyyden perusteella yhteensä</t>
  </si>
  <si>
    <t>Kaksikielisyyden perusteella yhteensä</t>
  </si>
  <si>
    <t>Saaristoisuuden perusteella yhteensä</t>
  </si>
  <si>
    <t>Maapinta-ala</t>
  </si>
  <si>
    <t>Asukastiheyden perusteella yhteensä</t>
  </si>
  <si>
    <t>Asukastiheyskerroin</t>
  </si>
  <si>
    <t>Koulutustausta</t>
  </si>
  <si>
    <t>Ilman perusasteen jälkeistä tutkintoa olevat 30–54-vuotiaat</t>
  </si>
  <si>
    <t>30-54-vuotiaat</t>
  </si>
  <si>
    <t>osuus</t>
  </si>
  <si>
    <t>Koulutustaustakerroin</t>
  </si>
  <si>
    <t>Muut laskennalliset kustannukset yhteensä</t>
  </si>
  <si>
    <t>Sairastavuus ja muut laskennalliset kustannukset yhteensä</t>
  </si>
  <si>
    <t>Syrjäisyysluku (jos kunnalle on määrätty)</t>
  </si>
  <si>
    <t>- syrjäisyysluku 1,5 as/km2 tai enemmän</t>
  </si>
  <si>
    <t xml:space="preserve"> - syrjäisyysluku 1 - 1,5 as/km2 </t>
  </si>
  <si>
    <t xml:space="preserve"> - syrjäisyysluku alle 1 as/km2 </t>
  </si>
  <si>
    <t>Syrjäisyyden perusteella yhteensä</t>
  </si>
  <si>
    <t>Työpaikkaomavaraisuus</t>
  </si>
  <si>
    <t>Alueella työssäkäyvät (työpaikat)</t>
  </si>
  <si>
    <t>Työlliset</t>
  </si>
  <si>
    <t>Työpaikkaomavaraisuuskerroin</t>
  </si>
  <si>
    <t>Saamelaisten kotiseutualueen kunta</t>
  </si>
  <si>
    <t>Onko kunta saamelaisten kotiseutualueen kunta?</t>
  </si>
  <si>
    <t>Saamenkieliset</t>
  </si>
  <si>
    <t>Lisäosat yhteensä</t>
  </si>
  <si>
    <t>Järjestelmämuutoksen tasaus</t>
  </si>
  <si>
    <t>Kotikuntakorvausjärjestelmän muutos;</t>
  </si>
  <si>
    <t>siirtymäajan rahoitus</t>
  </si>
  <si>
    <t>Veromenetyksen kompensaatio vuodelta 2014</t>
  </si>
  <si>
    <t>Veroperustemuutosten vaikutus vuodelta 2015</t>
  </si>
  <si>
    <t>Vuoden 2010 järjestelmämuutoksen tasaus</t>
  </si>
  <si>
    <t>Järjestelmämuutoksen tasaus yhteensä</t>
  </si>
  <si>
    <t>okm</t>
  </si>
  <si>
    <t>sair_2</t>
  </si>
  <si>
    <t>sair_3</t>
  </si>
  <si>
    <t>sair_4</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</si>
  <si>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</si>
  <si>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</si>
  <si>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</si>
  <si>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</si>
  <si>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</si>
  <si>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</si>
  <si>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r>
      <t>as./maa-km</t>
    </r>
    <r>
      <rPr>
        <vertAlign val="superscript"/>
        <sz val="10"/>
        <rFont val="Arial"/>
        <family val="2"/>
      </rPr>
      <t>2</t>
    </r>
    <r>
      <rPr>
        <sz val="10"/>
        <rFont val="Arial"/>
        <family val="0"/>
      </rPr>
      <t>.</t>
    </r>
  </si>
  <si>
    <t>Kotikuntakorvauksen perusosa</t>
  </si>
  <si>
    <t>Perusosaan tehtävä vähennys</t>
  </si>
  <si>
    <t>Koulukotikorotus</t>
  </si>
  <si>
    <t xml:space="preserve">  Vaikeimmin vammaiset</t>
  </si>
  <si>
    <t>Työmarkkinatukiuudistukseen liittyvä valtionosuustasaus</t>
  </si>
  <si>
    <t>Veroperustemuutosten vaikutus vuodelta 2016</t>
  </si>
  <si>
    <t>vl_19</t>
  </si>
  <si>
    <t>Vuoden 2015 valtionosuusjärjestelmämuutoksen tasaus (+/-)</t>
  </si>
  <si>
    <t>Kotikuntakorvaukset, netto</t>
  </si>
  <si>
    <t>Saaristo-osakunnat</t>
  </si>
  <si>
    <t>Saaristo-osakuntakorotus yhteensä</t>
  </si>
  <si>
    <t>Sairastavuuskerroin</t>
  </si>
  <si>
    <t>sair_0</t>
  </si>
  <si>
    <t>2 = saaristokunta ilman kiinteää tieyhteyttä mantereeseen (Hailuoto)</t>
  </si>
  <si>
    <t>1 = saaristokunta</t>
  </si>
  <si>
    <t>3 = saaristo-osakunta</t>
  </si>
  <si>
    <t>Väestö kunnan saaristo-osissa</t>
  </si>
  <si>
    <t>muutla_18</t>
  </si>
  <si>
    <t>Perustoimeentulotuen siirto Kelalle; valtionosuusvähennys</t>
  </si>
  <si>
    <t>vl_20</t>
  </si>
  <si>
    <t>Kilpailukykysopimuksen vaikutus valtionosuuteen</t>
  </si>
  <si>
    <t>vl_21</t>
  </si>
  <si>
    <t>Eläketukivähennys, "Lex Lindström"</t>
  </si>
  <si>
    <t>vl_22</t>
  </si>
  <si>
    <t xml:space="preserve">  5-vuotiaiden esiopetus</t>
  </si>
  <si>
    <t>kuntanro</t>
  </si>
  <si>
    <t>kuntanimi</t>
  </si>
  <si>
    <t>asm_311213</t>
  </si>
  <si>
    <t>13-16-vuotiaat</t>
  </si>
  <si>
    <t>vos_kirjanpito</t>
  </si>
  <si>
    <t>Aloittavien koulujen rahoituksen vähentäminen</t>
  </si>
  <si>
    <t xml:space="preserve">Veroperustemuutosten vaikutus vuodelta 2017 </t>
  </si>
  <si>
    <t>Veroperustemuutosten vaikutus vuodelta 2018</t>
  </si>
  <si>
    <t>peruste vuonna 2018</t>
  </si>
  <si>
    <t>Vuosi 2018</t>
  </si>
  <si>
    <t>Sairastavuuden perushinta</t>
  </si>
  <si>
    <t>Todennetun osaamisen rekisteri</t>
  </si>
  <si>
    <t>Indeksikorotusten jäädytys 2018</t>
  </si>
  <si>
    <t>Tasauksen neutralisointi</t>
  </si>
  <si>
    <t>vl_23</t>
  </si>
  <si>
    <t>Sisältää</t>
  </si>
  <si>
    <t>- kunnan omarahoitusosuuden</t>
  </si>
  <si>
    <t>- positiiviset erät (esim. vammaiskorotukset, lukio, opistot, taidelaitokset, apip jne.)</t>
  </si>
  <si>
    <t>Rahoituksen myöntökerroin</t>
  </si>
  <si>
    <t xml:space="preserve">  Muut vammaiset</t>
  </si>
  <si>
    <t xml:space="preserve">  Oppivelvollisuusiän ylittäneet</t>
  </si>
  <si>
    <t>kurssimäärä</t>
  </si>
  <si>
    <t xml:space="preserve">  Aineopetus</t>
  </si>
  <si>
    <r>
      <t>1)</t>
    </r>
    <r>
      <rPr>
        <i/>
        <sz val="8"/>
        <rFont val="Arial"/>
        <family val="2"/>
      </rPr>
      <t xml:space="preserve"> Laskennallisten opiskelijoiden määrä = oppiaineiden lukumäärä jaettuna 15:llä.</t>
    </r>
  </si>
  <si>
    <t>läsnäolokuukausia</t>
  </si>
  <si>
    <t>€/ohjaustunti</t>
  </si>
  <si>
    <t>Kansanopistot</t>
  </si>
  <si>
    <t>€/opetustunti</t>
  </si>
  <si>
    <t>€/opiskelijaviikko</t>
  </si>
  <si>
    <t>Opintokeskukset</t>
  </si>
  <si>
    <t>Kesäyliopisto</t>
  </si>
  <si>
    <t>Liikunnan koulutuskeskukset</t>
  </si>
  <si>
    <t>€/opisk.vrk.</t>
  </si>
  <si>
    <t>(yksikköhinnan pohja-arvo)</t>
  </si>
  <si>
    <t>Taiteen perusopetus</t>
  </si>
  <si>
    <t>(Musiikkioppilaitos)</t>
  </si>
  <si>
    <t>Indeksikorotusten jäädytys 2016</t>
  </si>
  <si>
    <t>Vuoden 2018 rahoitus : http://www02.oph.fi/asiakkaat/rahoitus/paatos18.html</t>
  </si>
  <si>
    <t>Yksikköhinnat: https://vos.oph.fi/rap/vos/v18/v05yk6y18.pdf</t>
  </si>
  <si>
    <t>KUNNAN VALTIONOSUUSRAHOITUS 2019</t>
  </si>
  <si>
    <t>18.6.2018, Kuntaliitto / SL</t>
  </si>
  <si>
    <t>Asukasluku 31.12.2017:</t>
  </si>
  <si>
    <t>2. Opetus- ja kulttuuritoimen valtionosuudet 2018</t>
  </si>
  <si>
    <t>Kunnan valtionosuusrahoitus 2019</t>
  </si>
  <si>
    <t>muut laskennalliset kustannukset 2019</t>
  </si>
  <si>
    <t>Lisäosat 2019</t>
  </si>
  <si>
    <t>Valtionosuuteen tehtävät vähennykset ja lisäykset 2019</t>
  </si>
  <si>
    <t>Veroperustemuutosten vaikutus vuodelta 2019</t>
  </si>
  <si>
    <t xml:space="preserve">Kuntien digitalisaatiokannustimen rahoitus </t>
  </si>
  <si>
    <t>Harkinnanvaraisen valtionosuuden korotuksen rahoitus</t>
  </si>
  <si>
    <t>Indeksikorotusten jäädytys 2017</t>
  </si>
  <si>
    <t>Indeksikorotusten jäädytys 2019</t>
  </si>
  <si>
    <t>Laskennalliset kustannukset yhteensä</t>
  </si>
  <si>
    <t xml:space="preserve">Valtion osuus laskennallisesta kustannuksesta </t>
  </si>
  <si>
    <t>KUNNAN VALTIONOSUUSRAHOITUS 2018</t>
  </si>
  <si>
    <t>Asukasluku 31.12.2016:</t>
  </si>
  <si>
    <r>
      <rPr>
        <b/>
        <i/>
        <sz val="10"/>
        <rFont val="Arial"/>
        <family val="2"/>
      </rPr>
      <t>Lisätiedot</t>
    </r>
    <r>
      <rPr>
        <i/>
        <sz val="10"/>
        <rFont val="Arial"/>
        <family val="2"/>
      </rPr>
      <t>: Suomen Kuntaliitto / Sanna Lehtonen, p. 050-5759090</t>
    </r>
  </si>
  <si>
    <t>Kunnan laskennalliset kustannukset yhteensä</t>
  </si>
  <si>
    <t>Kunnan omarahoitusosuus laskennallisesta kustannuksesta</t>
  </si>
  <si>
    <t>valtionosuusprosentti</t>
  </si>
  <si>
    <t>Kunnan peruspalvelujen</t>
  </si>
  <si>
    <t>Kunnan oma</t>
  </si>
  <si>
    <t>- mistä veromenetysten kompensaatiot vuosina 2010-2019</t>
  </si>
  <si>
    <t>Kunnan peruspalvelujen valtionosuus ennen tulopohjan tasausta</t>
  </si>
  <si>
    <t>Verotuloihin perustuva valtionosuuden tasaus (+tasauslisä/-tasausvähennys)</t>
  </si>
  <si>
    <t>1. Kunnan peruspalvelujen valtionosuus (VM)</t>
  </si>
  <si>
    <t>Kunnan peruspalvelujen valtionosuus (VM)</t>
  </si>
  <si>
    <t>- positiiviset erät (esim. lukiorahoitus, vammaiskorotukset, opistot, taidelaitokset, apip)</t>
  </si>
  <si>
    <t>Esi- ja perusopetuksen kotikuntakorvaukset</t>
  </si>
  <si>
    <t xml:space="preserve">Valtionosuusmaksatus </t>
  </si>
  <si>
    <t>kuukausierä, maksetaan jokaisen kuukauden 11. päivään mennessä</t>
  </si>
  <si>
    <t>kunnan peruspalvelujen valtionosuus +/- OKM:n valtionosuus +/- kotikuntakorvaukset</t>
  </si>
  <si>
    <t>Ikärakenteen laskennalliset kustannukset 2019</t>
  </si>
  <si>
    <t>Ikärakenteen perusteella määr. laskennalliset kustannukset yhteensä</t>
  </si>
  <si>
    <t>Toteutettiin vos-% kautta, yht. -75 milj. € (-13,68 €/as)</t>
  </si>
  <si>
    <t>vl_24</t>
  </si>
  <si>
    <t>Vuoden 2015 valtionosuusjärjestelmämuutoksen tasaus vuonna 2019</t>
  </si>
  <si>
    <t>Vuoden 2019 valtionosuudessa huomioon otettava osuus muutoksesta, yhteensä euroa</t>
  </si>
  <si>
    <t>Kotikuntakorvaukset vuonna 2019</t>
  </si>
  <si>
    <t>Kotikuntakorvausnetto 2019</t>
  </si>
  <si>
    <t>- kunnan omarahoitusosuus lukiokoulutukseen</t>
  </si>
  <si>
    <t>- kunnan omarahoitusosuus ammatilliseen koulutukseen</t>
  </si>
  <si>
    <t>kkk_2</t>
  </si>
  <si>
    <t>kkk_3</t>
  </si>
  <si>
    <t>vos_maksatus</t>
  </si>
  <si>
    <r>
      <t xml:space="preserve">Valtionosuusmaksatus </t>
    </r>
    <r>
      <rPr>
        <sz val="8"/>
        <color indexed="23"/>
        <rFont val="Arial"/>
        <family val="2"/>
      </rPr>
      <t>(kunnan peruspalvelujen valtionosuus +/- OKM:n valtionosuus</t>
    </r>
  </si>
  <si>
    <t>Opetus ja kulttuuritoimen valtionosuus 2019</t>
  </si>
  <si>
    <t>Yksikköhinta 2019</t>
  </si>
  <si>
    <t>Perusopetukseen</t>
  </si>
  <si>
    <t>Lukioiden yksikköhintarahoitus 2019</t>
  </si>
  <si>
    <t>(Valtion talousarvioesitys 14.9.2018)</t>
  </si>
  <si>
    <t>Suomenkielinen lukiokoulutus 20.9.2018: 1)</t>
  </si>
  <si>
    <t>Ruotsinkielinen lukiokoulutus 20.9.2018: 1)</t>
  </si>
  <si>
    <t>Opiskelija-</t>
  </si>
  <si>
    <t>Ylläpitäjän aikuisopiskelijan yksikköhinta</t>
  </si>
  <si>
    <t>1) Mikäli toisessa tai molemmissa kieliryhmissä on alle 200 opiskelijaa</t>
  </si>
  <si>
    <t>€/opiskelija</t>
  </si>
  <si>
    <t>opiskelijoita 2)</t>
  </si>
  <si>
    <t>Arvioitu opiskelijamäärä 20.1.2018</t>
  </si>
  <si>
    <t>Arvioitu opiskelijamäärä 20.9.2018</t>
  </si>
  <si>
    <t>Painotettu opiskelijamäärä</t>
  </si>
  <si>
    <t>LUKIOKOULUTUKSEEN VALMISTAVA KOULUTUS</t>
  </si>
  <si>
    <t>Nuoret opiskelijat</t>
  </si>
  <si>
    <t>Aikuisten oppimäärän opiskelijat</t>
  </si>
  <si>
    <t>Sisäoppilaitoksen opiskelijat</t>
  </si>
  <si>
    <t>Aikuisopiskeilijoiden valtionosuuden laskennallinen peruste:</t>
  </si>
  <si>
    <t>Yksikköhinnan laskenta 2018 / OPH</t>
  </si>
  <si>
    <t>Raportti vuoden 2018 yksikköhinnoista / OPH</t>
  </si>
  <si>
    <t>Lisätiedot lukion valtionosuudesta 2018 / OPH</t>
  </si>
  <si>
    <t>(Vuoden 2018 tasauskerroin)</t>
  </si>
  <si>
    <t>Valtionosuusmaksatus 2018</t>
  </si>
  <si>
    <t>Lukiokoulutukseen</t>
  </si>
  <si>
    <t>Toisen asteen ammatilliseen koulutukseen</t>
  </si>
  <si>
    <t>Kunnan omarahoitusosuus toisen asteen koulutukseen</t>
  </si>
  <si>
    <t>OPETUS- JA KULTTUURITOIMEN KUNNAN OMARAHOITUSOSUUS</t>
  </si>
  <si>
    <t>Oman erillisen laskelman mukaan</t>
  </si>
  <si>
    <t>Siirtyy välilehdestä "Lukio"</t>
  </si>
  <si>
    <t>- mistä toisen asteen koulutuksen rahoitus</t>
  </si>
  <si>
    <t>- mistä esi- ja perusopetuksen lisärahoitus</t>
  </si>
  <si>
    <t>- mistä muu opetus- ja kulttuuritoimen rahoitus</t>
  </si>
  <si>
    <t>- mistä kunnan omarahoitusosuus lukiokoulutukseen</t>
  </si>
  <si>
    <t>- mistä kunnan omarahoitusosuus ammatilliseen koulutukseen</t>
  </si>
  <si>
    <t>- OKM:n positiivisten rahoituserien summa yhteensä</t>
  </si>
  <si>
    <t>OKM:n rahoitus 2019 itse</t>
  </si>
  <si>
    <t>laskettuna taul. 9-10 avulla:</t>
  </si>
  <si>
    <t>Mistä</t>
  </si>
  <si>
    <t>Kotikuntakorvaukset itse laskettuna taulukosta 8</t>
  </si>
  <si>
    <t>- mistä kunnan rahoitus Kelan myöntämän perustoimeentulotuen menoihin</t>
  </si>
  <si>
    <t>18.10.2018 / Kuntaliitto, Sanna Lehtonen</t>
  </si>
  <si>
    <t>Ennakollinen laskelma verotuloihin perustuvasta valtionosuuden tasauksesta vuonna 2019</t>
  </si>
  <si>
    <t>Lähde: Kuntaliitto 2.11.2018</t>
  </si>
  <si>
    <t>Laskennalliset verotulot</t>
  </si>
  <si>
    <t xml:space="preserve">Vuoden 2018 kuntajaolla. </t>
  </si>
  <si>
    <t>Verovuoden 2017 ennakollisilla verotiedoilla laskettuna. Lähde: Verohallinto 2.11.2018</t>
  </si>
  <si>
    <r>
      <t xml:space="preserve">Keskimääräinen tuloveroprosentti: </t>
    </r>
    <r>
      <rPr>
        <b/>
        <sz val="10"/>
        <color indexed="12"/>
        <rFont val="Arial"/>
        <family val="2"/>
      </rPr>
      <t>19,90 %</t>
    </r>
  </si>
  <si>
    <r>
      <t>100 %</t>
    </r>
    <r>
      <rPr>
        <u val="single"/>
        <sz val="10"/>
        <color indexed="12"/>
        <rFont val="Arial"/>
        <family val="2"/>
      </rPr>
      <t xml:space="preserve">:n tasausraja: </t>
    </r>
    <r>
      <rPr>
        <b/>
        <u val="single"/>
        <sz val="10"/>
        <color indexed="12"/>
        <rFont val="Arial"/>
        <family val="2"/>
      </rPr>
      <t xml:space="preserve"> 3 682,30 </t>
    </r>
    <r>
      <rPr>
        <u val="single"/>
        <sz val="10"/>
        <color indexed="12"/>
        <rFont val="Arial"/>
        <family val="2"/>
      </rPr>
      <t>euroa/asukas. Tasausvähennysprosentti tasausrajan ylimenevältä osalta= 30 + ylimenevän osan luonnollinen logaritmi</t>
    </r>
    <r>
      <rPr>
        <sz val="10"/>
        <color indexed="12"/>
        <rFont val="Arial"/>
        <family val="2"/>
      </rPr>
      <t>.</t>
    </r>
  </si>
  <si>
    <t>Maksuunpantua</t>
  </si>
  <si>
    <t>Maksuunpantu</t>
  </si>
  <si>
    <t>kunnallisveroa vastaava</t>
  </si>
  <si>
    <t>Kuntien osuus</t>
  </si>
  <si>
    <t>Ydinvoima;</t>
  </si>
  <si>
    <t>Kunta</t>
  </si>
  <si>
    <t xml:space="preserve"> Asukas-</t>
  </si>
  <si>
    <t>Laskennallinen</t>
  </si>
  <si>
    <t>Maksettava</t>
  </si>
  <si>
    <t>Laskenn.</t>
  </si>
  <si>
    <t xml:space="preserve">  Laskennalliset verotulot</t>
  </si>
  <si>
    <t>Tasaus-</t>
  </si>
  <si>
    <t xml:space="preserve">       Tasaus 2019</t>
  </si>
  <si>
    <t>Tasaus 2018</t>
  </si>
  <si>
    <t>kno</t>
  </si>
  <si>
    <t>Ruotsinkielinen</t>
  </si>
  <si>
    <t>Kieli-</t>
  </si>
  <si>
    <t>Maa-</t>
  </si>
  <si>
    <t>Kunta-</t>
  </si>
  <si>
    <t>kunnallisvero</t>
  </si>
  <si>
    <t>verotettava tulo</t>
  </si>
  <si>
    <t>yhteisöverosta</t>
  </si>
  <si>
    <t>verotusarvo</t>
  </si>
  <si>
    <t xml:space="preserve"> luku</t>
  </si>
  <si>
    <t>yhteisövero</t>
  </si>
  <si>
    <t>kiinteistövero</t>
  </si>
  <si>
    <t xml:space="preserve">         yhteensä 2017</t>
  </si>
  <si>
    <t>raja -</t>
  </si>
  <si>
    <t>rajan</t>
  </si>
  <si>
    <t>vähennys</t>
  </si>
  <si>
    <t>nimi</t>
  </si>
  <si>
    <t>suhde</t>
  </si>
  <si>
    <t>kunta-</t>
  </si>
  <si>
    <t>liitos</t>
  </si>
  <si>
    <t>vuonna 2017</t>
  </si>
  <si>
    <t>31.12.</t>
  </si>
  <si>
    <t>(ydinvoimalait.)</t>
  </si>
  <si>
    <t>euroa/</t>
  </si>
  <si>
    <t>laskenn.</t>
  </si>
  <si>
    <t>ylittävän</t>
  </si>
  <si>
    <t>2013-22</t>
  </si>
  <si>
    <t>asukas</t>
  </si>
  <si>
    <t>verot/as.</t>
  </si>
  <si>
    <t>osan</t>
  </si>
  <si>
    <t>luonn.log</t>
  </si>
  <si>
    <t>Manner-Suomi</t>
  </si>
  <si>
    <t xml:space="preserve">Alajärvi           </t>
  </si>
  <si>
    <t>14</t>
  </si>
  <si>
    <t xml:space="preserve">Alavieska          </t>
  </si>
  <si>
    <t>17</t>
  </si>
  <si>
    <t xml:space="preserve">Alavus             </t>
  </si>
  <si>
    <t xml:space="preserve">Asikkala           </t>
  </si>
  <si>
    <t>07</t>
  </si>
  <si>
    <t xml:space="preserve">Askola             </t>
  </si>
  <si>
    <t>01</t>
  </si>
  <si>
    <t xml:space="preserve">Aura               </t>
  </si>
  <si>
    <t>02</t>
  </si>
  <si>
    <t>06</t>
  </si>
  <si>
    <t xml:space="preserve">Enonkoski          </t>
  </si>
  <si>
    <t>10</t>
  </si>
  <si>
    <t xml:space="preserve">Enontekiö          </t>
  </si>
  <si>
    <t>Enontekis</t>
  </si>
  <si>
    <t>19</t>
  </si>
  <si>
    <t xml:space="preserve">Espoo              </t>
  </si>
  <si>
    <t>Esbo</t>
  </si>
  <si>
    <t xml:space="preserve">Eura               </t>
  </si>
  <si>
    <t>04</t>
  </si>
  <si>
    <t xml:space="preserve">Eurajoki           </t>
  </si>
  <si>
    <t>Euraåminne</t>
  </si>
  <si>
    <t xml:space="preserve">Evijärvi           </t>
  </si>
  <si>
    <t xml:space="preserve">Forssa             </t>
  </si>
  <si>
    <t>05</t>
  </si>
  <si>
    <t xml:space="preserve">Haapajärvi         </t>
  </si>
  <si>
    <t xml:space="preserve">Haapavesi          </t>
  </si>
  <si>
    <t xml:space="preserve">Hailuoto           </t>
  </si>
  <si>
    <t>Karlö</t>
  </si>
  <si>
    <t xml:space="preserve">Halsua             </t>
  </si>
  <si>
    <t>16</t>
  </si>
  <si>
    <t xml:space="preserve">Hamina             </t>
  </si>
  <si>
    <t>Fredrikshamn</t>
  </si>
  <si>
    <t>08</t>
  </si>
  <si>
    <t xml:space="preserve">Hankasalmi         </t>
  </si>
  <si>
    <t>13</t>
  </si>
  <si>
    <t xml:space="preserve">Hanko              </t>
  </si>
  <si>
    <t>Hangö</t>
  </si>
  <si>
    <t xml:space="preserve">Harjavalta         </t>
  </si>
  <si>
    <t xml:space="preserve">Hartola            </t>
  </si>
  <si>
    <t xml:space="preserve">Hattula            </t>
  </si>
  <si>
    <t xml:space="preserve">Hausjärvi          </t>
  </si>
  <si>
    <t xml:space="preserve">Heinävesi          </t>
  </si>
  <si>
    <t xml:space="preserve">Helsinki           </t>
  </si>
  <si>
    <t>Helsingfors</t>
  </si>
  <si>
    <t xml:space="preserve">Vantaa             </t>
  </si>
  <si>
    <t>Vanda</t>
  </si>
  <si>
    <t xml:space="preserve">Hirvensalmi        </t>
  </si>
  <si>
    <t xml:space="preserve">Hollola            </t>
  </si>
  <si>
    <t xml:space="preserve">Honkajoki          </t>
  </si>
  <si>
    <t xml:space="preserve">Huittinen          </t>
  </si>
  <si>
    <t xml:space="preserve">Humppila           </t>
  </si>
  <si>
    <t xml:space="preserve">Hyrynsalmi         </t>
  </si>
  <si>
    <t>18</t>
  </si>
  <si>
    <t xml:space="preserve">Hyvinkää           </t>
  </si>
  <si>
    <t>Hyvinge</t>
  </si>
  <si>
    <t xml:space="preserve">Hämeenkyrö         </t>
  </si>
  <si>
    <t>Tavastkyro</t>
  </si>
  <si>
    <t xml:space="preserve">Hämeenlinna        </t>
  </si>
  <si>
    <t>Tavastehus</t>
  </si>
  <si>
    <t xml:space="preserve">Heinola            </t>
  </si>
  <si>
    <t xml:space="preserve">Ii                 </t>
  </si>
  <si>
    <t xml:space="preserve">Iisalmi            </t>
  </si>
  <si>
    <t>Idensalmi</t>
  </si>
  <si>
    <t>11</t>
  </si>
  <si>
    <t xml:space="preserve">Iitti              </t>
  </si>
  <si>
    <t xml:space="preserve">Ikaalinen          </t>
  </si>
  <si>
    <t>Ikalis</t>
  </si>
  <si>
    <t xml:space="preserve">Ilmajoki           </t>
  </si>
  <si>
    <t xml:space="preserve">Ilomantsi          </t>
  </si>
  <si>
    <t>Ilomants</t>
  </si>
  <si>
    <t>12</t>
  </si>
  <si>
    <t xml:space="preserve">Inari              </t>
  </si>
  <si>
    <t>Enare</t>
  </si>
  <si>
    <t xml:space="preserve">Inkoo              </t>
  </si>
  <si>
    <t>Ingå</t>
  </si>
  <si>
    <t xml:space="preserve">Isojoki            </t>
  </si>
  <si>
    <t>Storå</t>
  </si>
  <si>
    <t xml:space="preserve">Isokyrö            </t>
  </si>
  <si>
    <t>Storkyro</t>
  </si>
  <si>
    <t>15</t>
  </si>
  <si>
    <t xml:space="preserve">Imatra             </t>
  </si>
  <si>
    <t>09</t>
  </si>
  <si>
    <t xml:space="preserve">Janakkala          </t>
  </si>
  <si>
    <t xml:space="preserve">Joensuu            </t>
  </si>
  <si>
    <t xml:space="preserve">Jokioinen          </t>
  </si>
  <si>
    <t>Jockis</t>
  </si>
  <si>
    <t xml:space="preserve">Joroinen           </t>
  </si>
  <si>
    <t>Jorois</t>
  </si>
  <si>
    <t xml:space="preserve">Joutsa             </t>
  </si>
  <si>
    <t xml:space="preserve">Juuka              </t>
  </si>
  <si>
    <t xml:space="preserve">Juupajoki          </t>
  </si>
  <si>
    <t xml:space="preserve">Juva               </t>
  </si>
  <si>
    <t xml:space="preserve">Jyväskylä          </t>
  </si>
  <si>
    <t xml:space="preserve">Jämijärvi          </t>
  </si>
  <si>
    <t xml:space="preserve">Jämsä              </t>
  </si>
  <si>
    <t xml:space="preserve">Järvenpää          </t>
  </si>
  <si>
    <t>Träskända</t>
  </si>
  <si>
    <t xml:space="preserve">Kaarina            </t>
  </si>
  <si>
    <t>S:t Karins</t>
  </si>
  <si>
    <t xml:space="preserve">Kaavi              </t>
  </si>
  <si>
    <t xml:space="preserve">Kajaani            </t>
  </si>
  <si>
    <t>Kajana</t>
  </si>
  <si>
    <t xml:space="preserve">Kalajoki           </t>
  </si>
  <si>
    <t xml:space="preserve">Kangasala          </t>
  </si>
  <si>
    <t xml:space="preserve">Kangasniemi        </t>
  </si>
  <si>
    <t xml:space="preserve">Kankaanpää         </t>
  </si>
  <si>
    <t xml:space="preserve">Kannonkoski        </t>
  </si>
  <si>
    <t xml:space="preserve">Kannus             </t>
  </si>
  <si>
    <t xml:space="preserve">Karijoki           </t>
  </si>
  <si>
    <t>Bötom</t>
  </si>
  <si>
    <t xml:space="preserve">Karkkila           </t>
  </si>
  <si>
    <t>Högfors</t>
  </si>
  <si>
    <t xml:space="preserve">Karstula           </t>
  </si>
  <si>
    <t xml:space="preserve">Karvia             </t>
  </si>
  <si>
    <t xml:space="preserve">Kaskinen           </t>
  </si>
  <si>
    <t>Kaskö</t>
  </si>
  <si>
    <t xml:space="preserve">Kauhajoki          </t>
  </si>
  <si>
    <t xml:space="preserve">Kauhava            </t>
  </si>
  <si>
    <t xml:space="preserve">Kauniainen         </t>
  </si>
  <si>
    <t>Grankulla</t>
  </si>
  <si>
    <t xml:space="preserve">Kaustinen          </t>
  </si>
  <si>
    <t>Kaustby</t>
  </si>
  <si>
    <t xml:space="preserve">Keitele            </t>
  </si>
  <si>
    <t xml:space="preserve">Kemi               </t>
  </si>
  <si>
    <t xml:space="preserve">Keminmaa           </t>
  </si>
  <si>
    <t xml:space="preserve">Kempele            </t>
  </si>
  <si>
    <t xml:space="preserve">Kerava             </t>
  </si>
  <si>
    <t>Kervo</t>
  </si>
  <si>
    <t xml:space="preserve">Keuruu             </t>
  </si>
  <si>
    <t xml:space="preserve">Kihniö             </t>
  </si>
  <si>
    <t xml:space="preserve">Kinnula            </t>
  </si>
  <si>
    <t xml:space="preserve">Kirkkonummi        </t>
  </si>
  <si>
    <t>Kyrkslätt</t>
  </si>
  <si>
    <t xml:space="preserve">Kitee              </t>
  </si>
  <si>
    <t xml:space="preserve">Kittilä            </t>
  </si>
  <si>
    <t xml:space="preserve">Kiuruvesi          </t>
  </si>
  <si>
    <t xml:space="preserve">Kivijärvi          </t>
  </si>
  <si>
    <t xml:space="preserve">Kokemäki           </t>
  </si>
  <si>
    <t>Kumo</t>
  </si>
  <si>
    <t xml:space="preserve">Kokkola            </t>
  </si>
  <si>
    <t>Karleby</t>
  </si>
  <si>
    <t xml:space="preserve">Kolari             </t>
  </si>
  <si>
    <t xml:space="preserve">Konnevesi          </t>
  </si>
  <si>
    <t xml:space="preserve">Kontiolahti        </t>
  </si>
  <si>
    <t xml:space="preserve">Korsnäs            </t>
  </si>
  <si>
    <t xml:space="preserve">Koski Tl           </t>
  </si>
  <si>
    <t xml:space="preserve">Kotka              </t>
  </si>
  <si>
    <t xml:space="preserve">Kouvola            </t>
  </si>
  <si>
    <t xml:space="preserve">Kristiinankaupunki </t>
  </si>
  <si>
    <t>Kristinestad</t>
  </si>
  <si>
    <t xml:space="preserve">Kruunupyy          </t>
  </si>
  <si>
    <t>Kronoby</t>
  </si>
  <si>
    <t xml:space="preserve">Kuhmo              </t>
  </si>
  <si>
    <t xml:space="preserve">Kuhmoinen          </t>
  </si>
  <si>
    <t xml:space="preserve">Kuopio             </t>
  </si>
  <si>
    <t xml:space="preserve">Kuortane           </t>
  </si>
  <si>
    <t xml:space="preserve">Kurikka            </t>
  </si>
  <si>
    <t xml:space="preserve">Kustavi            </t>
  </si>
  <si>
    <t>Gustavs</t>
  </si>
  <si>
    <t xml:space="preserve">Kuusamo            </t>
  </si>
  <si>
    <t xml:space="preserve">Outokumpu          </t>
  </si>
  <si>
    <t xml:space="preserve">Kyyjärvi           </t>
  </si>
  <si>
    <t xml:space="preserve">Kärkölä            </t>
  </si>
  <si>
    <t xml:space="preserve">Kärsämäki          </t>
  </si>
  <si>
    <t xml:space="preserve">Kemijärvi          </t>
  </si>
  <si>
    <t>Kimitoön</t>
  </si>
  <si>
    <t xml:space="preserve">Lahti              </t>
  </si>
  <si>
    <t>Lahtis</t>
  </si>
  <si>
    <t xml:space="preserve">Laihia             </t>
  </si>
  <si>
    <t>Laihela</t>
  </si>
  <si>
    <t xml:space="preserve">Laitila            </t>
  </si>
  <si>
    <t xml:space="preserve">Lapinlahti         </t>
  </si>
  <si>
    <t xml:space="preserve">Lappajärvi         </t>
  </si>
  <si>
    <t xml:space="preserve">Lappeenranta       </t>
  </si>
  <si>
    <t>Villmanstrand</t>
  </si>
  <si>
    <t xml:space="preserve">Lapinjärvi         </t>
  </si>
  <si>
    <t>Lappträsk</t>
  </si>
  <si>
    <t xml:space="preserve">Lapua              </t>
  </si>
  <si>
    <t>Lappo</t>
  </si>
  <si>
    <t xml:space="preserve">Laukaa             </t>
  </si>
  <si>
    <t xml:space="preserve">Lemi               </t>
  </si>
  <si>
    <t xml:space="preserve">Lempäälä           </t>
  </si>
  <si>
    <t xml:space="preserve">Leppävirta         </t>
  </si>
  <si>
    <t xml:space="preserve">Lestijärvi         </t>
  </si>
  <si>
    <t xml:space="preserve">Lieksa             </t>
  </si>
  <si>
    <t xml:space="preserve">Lieto              </t>
  </si>
  <si>
    <t>Lundo</t>
  </si>
  <si>
    <t xml:space="preserve">Liminka            </t>
  </si>
  <si>
    <t>Limingo</t>
  </si>
  <si>
    <t xml:space="preserve">Liperi             </t>
  </si>
  <si>
    <t xml:space="preserve">Loimaa             </t>
  </si>
  <si>
    <t xml:space="preserve">Loppi              </t>
  </si>
  <si>
    <t xml:space="preserve">Loviisa            </t>
  </si>
  <si>
    <t>Lovisa</t>
  </si>
  <si>
    <t xml:space="preserve">Luhanka            </t>
  </si>
  <si>
    <t xml:space="preserve">Lumijoki           </t>
  </si>
  <si>
    <t xml:space="preserve">Luoto              </t>
  </si>
  <si>
    <t>Larsmo</t>
  </si>
  <si>
    <t xml:space="preserve">Luumäki            </t>
  </si>
  <si>
    <t xml:space="preserve">Lohja              </t>
  </si>
  <si>
    <t>Lojo</t>
  </si>
  <si>
    <t>Pargas</t>
  </si>
  <si>
    <t xml:space="preserve">Maalahti           </t>
  </si>
  <si>
    <t>Malax</t>
  </si>
  <si>
    <t xml:space="preserve">Marttila           </t>
  </si>
  <si>
    <t xml:space="preserve">Masku              </t>
  </si>
  <si>
    <t xml:space="preserve">Merijärvi          </t>
  </si>
  <si>
    <t xml:space="preserve">Merikarvia         </t>
  </si>
  <si>
    <t>Sastmola</t>
  </si>
  <si>
    <t xml:space="preserve">Miehikkälä         </t>
  </si>
  <si>
    <t xml:space="preserve">Mikkeli            </t>
  </si>
  <si>
    <t>S:t Michel</t>
  </si>
  <si>
    <t xml:space="preserve">Muhos              </t>
  </si>
  <si>
    <t xml:space="preserve">Multia             </t>
  </si>
  <si>
    <t xml:space="preserve">Muonio             </t>
  </si>
  <si>
    <t xml:space="preserve">Mustasaari         </t>
  </si>
  <si>
    <t>Korsholm</t>
  </si>
  <si>
    <t xml:space="preserve">Muurame            </t>
  </si>
  <si>
    <t xml:space="preserve">Mynämäki           </t>
  </si>
  <si>
    <t xml:space="preserve">Myrskylä           </t>
  </si>
  <si>
    <t>Mörskom</t>
  </si>
  <si>
    <t xml:space="preserve">Mäntsälä           </t>
  </si>
  <si>
    <t xml:space="preserve">Mäntyharju         </t>
  </si>
  <si>
    <t xml:space="preserve">Mänttä-Vilppula             </t>
  </si>
  <si>
    <t xml:space="preserve">Naantali           </t>
  </si>
  <si>
    <t>Nådendal</t>
  </si>
  <si>
    <t xml:space="preserve">Nakkila            </t>
  </si>
  <si>
    <t xml:space="preserve">Nivala             </t>
  </si>
  <si>
    <t xml:space="preserve">Nokia              </t>
  </si>
  <si>
    <t xml:space="preserve">Nousiainen         </t>
  </si>
  <si>
    <t>Nousis</t>
  </si>
  <si>
    <t xml:space="preserve">Nurmes             </t>
  </si>
  <si>
    <t xml:space="preserve">Nurmijärvi         </t>
  </si>
  <si>
    <t xml:space="preserve">Närpiö             </t>
  </si>
  <si>
    <t>Närpes</t>
  </si>
  <si>
    <t xml:space="preserve">Orimattila         </t>
  </si>
  <si>
    <t xml:space="preserve">Oripää             </t>
  </si>
  <si>
    <t xml:space="preserve">Orivesi            </t>
  </si>
  <si>
    <t xml:space="preserve">Oulainen           </t>
  </si>
  <si>
    <t xml:space="preserve">Oulu               </t>
  </si>
  <si>
    <t>Uleåborg</t>
  </si>
  <si>
    <t xml:space="preserve">Padasjoki          </t>
  </si>
  <si>
    <t xml:space="preserve">Paimio             </t>
  </si>
  <si>
    <t>Pemar</t>
  </si>
  <si>
    <t xml:space="preserve">Paltamo            </t>
  </si>
  <si>
    <t xml:space="preserve">Parikkala          </t>
  </si>
  <si>
    <t xml:space="preserve">Parkano            </t>
  </si>
  <si>
    <t xml:space="preserve">Pelkosenniemi      </t>
  </si>
  <si>
    <t xml:space="preserve">Perho              </t>
  </si>
  <si>
    <t xml:space="preserve">Pertunmaa          </t>
  </si>
  <si>
    <t xml:space="preserve">Petäjävesi         </t>
  </si>
  <si>
    <t xml:space="preserve">Pieksämäki         </t>
  </si>
  <si>
    <t xml:space="preserve">Pielavesi          </t>
  </si>
  <si>
    <t xml:space="preserve">Pietarsaari        </t>
  </si>
  <si>
    <t>Jakobstad</t>
  </si>
  <si>
    <t>Pedersören kunta</t>
  </si>
  <si>
    <t xml:space="preserve">Pihtipudas         </t>
  </si>
  <si>
    <t xml:space="preserve">Pirkkala           </t>
  </si>
  <si>
    <t>Birkala</t>
  </si>
  <si>
    <t xml:space="preserve">Polvijärvi         </t>
  </si>
  <si>
    <t xml:space="preserve">Pomarkku           </t>
  </si>
  <si>
    <t>Påmark</t>
  </si>
  <si>
    <t xml:space="preserve">Pori               </t>
  </si>
  <si>
    <t>Björneborg</t>
  </si>
  <si>
    <t xml:space="preserve">Pornainen          </t>
  </si>
  <si>
    <t>Borgnäs</t>
  </si>
  <si>
    <t xml:space="preserve">Posio              </t>
  </si>
  <si>
    <t xml:space="preserve">Pudasjärvi         </t>
  </si>
  <si>
    <t xml:space="preserve">Pukkila            </t>
  </si>
  <si>
    <t xml:space="preserve">Punkalaidun        </t>
  </si>
  <si>
    <t xml:space="preserve">Puolanka           </t>
  </si>
  <si>
    <t xml:space="preserve">Puumala            </t>
  </si>
  <si>
    <t>Pyttis</t>
  </si>
  <si>
    <t xml:space="preserve">Pyhäjoki           </t>
  </si>
  <si>
    <t xml:space="preserve">Pyhäntä            </t>
  </si>
  <si>
    <t xml:space="preserve">Pyhäranta          </t>
  </si>
  <si>
    <t xml:space="preserve">Pälkäne            </t>
  </si>
  <si>
    <t xml:space="preserve">Pöytyä             </t>
  </si>
  <si>
    <t xml:space="preserve">Porvoo             </t>
  </si>
  <si>
    <t>Borgå</t>
  </si>
  <si>
    <t xml:space="preserve">Raahe              </t>
  </si>
  <si>
    <t>Brahestad</t>
  </si>
  <si>
    <t xml:space="preserve">Raisio             </t>
  </si>
  <si>
    <t>Reso</t>
  </si>
  <si>
    <t xml:space="preserve">Rantasalmi         </t>
  </si>
  <si>
    <t xml:space="preserve">Ranua              </t>
  </si>
  <si>
    <t xml:space="preserve">Rauma              </t>
  </si>
  <si>
    <t>Raumo</t>
  </si>
  <si>
    <t xml:space="preserve">Rautalampi         </t>
  </si>
  <si>
    <t xml:space="preserve">Rautavaara         </t>
  </si>
  <si>
    <t xml:space="preserve">Rautjärvi          </t>
  </si>
  <si>
    <t xml:space="preserve">Reisjärvi          </t>
  </si>
  <si>
    <t xml:space="preserve">Riihimäki          </t>
  </si>
  <si>
    <t xml:space="preserve">Ristijärvi         </t>
  </si>
  <si>
    <t xml:space="preserve">Rovaniemi          </t>
  </si>
  <si>
    <t xml:space="preserve">Ruokolahti         </t>
  </si>
  <si>
    <t xml:space="preserve">Ruovesi            </t>
  </si>
  <si>
    <t xml:space="preserve">Rusko              </t>
  </si>
  <si>
    <t xml:space="preserve">Rääkkylä           </t>
  </si>
  <si>
    <t>Raseborg</t>
  </si>
  <si>
    <t xml:space="preserve">Saarijärvi         </t>
  </si>
  <si>
    <t xml:space="preserve">Salla              </t>
  </si>
  <si>
    <t xml:space="preserve">Salo               </t>
  </si>
  <si>
    <t xml:space="preserve">Sauvo              </t>
  </si>
  <si>
    <t>Sagu</t>
  </si>
  <si>
    <t xml:space="preserve">Savitaipale        </t>
  </si>
  <si>
    <t xml:space="preserve">Savonlinna         </t>
  </si>
  <si>
    <t>Nyslott</t>
  </si>
  <si>
    <t xml:space="preserve">Savukoski          </t>
  </si>
  <si>
    <t xml:space="preserve">Seinäjoki          </t>
  </si>
  <si>
    <t xml:space="preserve">Sievi              </t>
  </si>
  <si>
    <t xml:space="preserve">Siikainen          </t>
  </si>
  <si>
    <t xml:space="preserve">Siikajoki          </t>
  </si>
  <si>
    <t xml:space="preserve">Siilinjärvi        </t>
  </si>
  <si>
    <t xml:space="preserve">Simo               </t>
  </si>
  <si>
    <t xml:space="preserve">Sipoo              </t>
  </si>
  <si>
    <t>Sibbo</t>
  </si>
  <si>
    <t xml:space="preserve">Siuntio            </t>
  </si>
  <si>
    <t>Sjundeå</t>
  </si>
  <si>
    <t xml:space="preserve">Sodankylä          </t>
  </si>
  <si>
    <t xml:space="preserve">Soini              </t>
  </si>
  <si>
    <t xml:space="preserve">Somero             </t>
  </si>
  <si>
    <t xml:space="preserve">Sonkajärvi         </t>
  </si>
  <si>
    <t xml:space="preserve">Sotkamo            </t>
  </si>
  <si>
    <t xml:space="preserve">Sulkava            </t>
  </si>
  <si>
    <t xml:space="preserve">Suomussalmi        </t>
  </si>
  <si>
    <t xml:space="preserve">Suonenjoki         </t>
  </si>
  <si>
    <t xml:space="preserve">Sysmä              </t>
  </si>
  <si>
    <t xml:space="preserve">Säkylä             </t>
  </si>
  <si>
    <t xml:space="preserve">Vaala              </t>
  </si>
  <si>
    <t xml:space="preserve">Taipalsaari        </t>
  </si>
  <si>
    <t xml:space="preserve">Taivalkoski        </t>
  </si>
  <si>
    <t xml:space="preserve">Taivassalo         </t>
  </si>
  <si>
    <t>Tövsala</t>
  </si>
  <si>
    <t xml:space="preserve">Tammela            </t>
  </si>
  <si>
    <t xml:space="preserve">Tampere            </t>
  </si>
  <si>
    <t>Tammerfors</t>
  </si>
  <si>
    <t xml:space="preserve">Tervo              </t>
  </si>
  <si>
    <t xml:space="preserve">Tervola            </t>
  </si>
  <si>
    <t xml:space="preserve">Teuva              </t>
  </si>
  <si>
    <t>Östermark</t>
  </si>
  <si>
    <t xml:space="preserve">Tohmajärvi         </t>
  </si>
  <si>
    <t xml:space="preserve">Toholampi          </t>
  </si>
  <si>
    <t xml:space="preserve">Toivakka           </t>
  </si>
  <si>
    <t xml:space="preserve">Tornio             </t>
  </si>
  <si>
    <t>Torneå</t>
  </si>
  <si>
    <t xml:space="preserve">Turku              </t>
  </si>
  <si>
    <t>Åbo</t>
  </si>
  <si>
    <t xml:space="preserve">Pello              </t>
  </si>
  <si>
    <t xml:space="preserve">Tuusniemi          </t>
  </si>
  <si>
    <t xml:space="preserve">Tuusula            </t>
  </si>
  <si>
    <t>Tusby</t>
  </si>
  <si>
    <t xml:space="preserve">Tyrnävä            </t>
  </si>
  <si>
    <t xml:space="preserve">Ulvila             </t>
  </si>
  <si>
    <t>Ulvsby</t>
  </si>
  <si>
    <t xml:space="preserve">Urjala             </t>
  </si>
  <si>
    <t xml:space="preserve">Utajärvi           </t>
  </si>
  <si>
    <t xml:space="preserve">Utsjoki            </t>
  </si>
  <si>
    <t xml:space="preserve">Uurainen           </t>
  </si>
  <si>
    <t xml:space="preserve">Uusikaarlepyy      </t>
  </si>
  <si>
    <t>Nykarleby</t>
  </si>
  <si>
    <t xml:space="preserve">Uusikaupunki       </t>
  </si>
  <si>
    <t>Nystad</t>
  </si>
  <si>
    <t xml:space="preserve">Vaasa              </t>
  </si>
  <si>
    <t>Vasa</t>
  </si>
  <si>
    <t xml:space="preserve">Valkeakoski        </t>
  </si>
  <si>
    <t xml:space="preserve">Valtimo            </t>
  </si>
  <si>
    <t xml:space="preserve">Varkaus            </t>
  </si>
  <si>
    <t xml:space="preserve">Vehmaa             </t>
  </si>
  <si>
    <t xml:space="preserve">Vesanto            </t>
  </si>
  <si>
    <t xml:space="preserve">Vesilahti          </t>
  </si>
  <si>
    <t xml:space="preserve">Veteli             </t>
  </si>
  <si>
    <t>Vetil</t>
  </si>
  <si>
    <t xml:space="preserve">Vieremä            </t>
  </si>
  <si>
    <t xml:space="preserve">Vihti              </t>
  </si>
  <si>
    <t>Vichtis</t>
  </si>
  <si>
    <t xml:space="preserve">Viitasaari         </t>
  </si>
  <si>
    <t xml:space="preserve">Vimpeli            </t>
  </si>
  <si>
    <t xml:space="preserve">Virolahti          </t>
  </si>
  <si>
    <t xml:space="preserve">Virrat             </t>
  </si>
  <si>
    <t>Virdois</t>
  </si>
  <si>
    <t>Vörå</t>
  </si>
  <si>
    <t xml:space="preserve">Ylitornio          </t>
  </si>
  <si>
    <t>Övertorneå</t>
  </si>
  <si>
    <t xml:space="preserve">Ylivieska          </t>
  </si>
  <si>
    <t xml:space="preserve">Ylöjärvi           </t>
  </si>
  <si>
    <t xml:space="preserve">Ypäjä              </t>
  </si>
  <si>
    <t xml:space="preserve">Ähtäri             </t>
  </si>
  <si>
    <t>Etseri</t>
  </si>
  <si>
    <t xml:space="preserve">Äänekoski          </t>
  </si>
  <si>
    <t>12.2.2020, Kuntaliitto / Sanna Lehtonen</t>
  </si>
  <si>
    <t>Kiky-leikkauksista johtuva valtionosuuden kertakompensaatio (+237 milj. euroa)</t>
  </si>
  <si>
    <r>
      <t xml:space="preserve">2. Opetus- ja kulttuuritoimen valtionosuudet </t>
    </r>
    <r>
      <rPr>
        <sz val="10"/>
        <rFont val="Arial"/>
        <family val="2"/>
      </rPr>
      <t>(tarkistettu 12/2019)</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</si>
</sst>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s>
  <fonts count="168">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vertAlign val="superscript"/>
      <sz val="8"/>
      <name val="Arial"/>
      <family val="2"/>
    </font>
    <font>
      <i/>
      <u val="single"/>
      <sz val="10"/>
      <color indexed="12"/>
      <name val="Arial"/>
      <family val="2"/>
    </font>
    <font>
      <sz val="8"/>
      <color indexed="23"/>
      <name val="Arial"/>
      <family val="2"/>
    </font>
    <font>
      <sz val="10"/>
      <color indexed="12"/>
      <name val="Arial"/>
      <family val="2"/>
    </font>
    <font>
      <b/>
      <u val="single"/>
      <sz val="10"/>
      <color indexed="12"/>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b/>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b/>
      <sz val="14"/>
      <color indexed="23"/>
      <name val="Arial"/>
      <family val="2"/>
    </font>
    <font>
      <sz val="14"/>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b/>
      <sz val="9"/>
      <color indexed="30"/>
      <name val="Arial Narrow"/>
      <family val="2"/>
    </font>
    <font>
      <sz val="9"/>
      <color indexed="60"/>
      <name val="Arial"/>
      <family val="2"/>
    </font>
    <font>
      <b/>
      <sz val="9"/>
      <color indexed="60"/>
      <name val="Arial"/>
      <family val="2"/>
    </font>
    <font>
      <sz val="9"/>
      <color indexed="60"/>
      <name val="Arial Narrow"/>
      <family val="2"/>
    </font>
    <font>
      <sz val="10"/>
      <color indexed="60"/>
      <name val="Arial"/>
      <family val="2"/>
    </font>
    <font>
      <sz val="9"/>
      <color indexed="56"/>
      <name val="Arial"/>
      <family val="2"/>
    </font>
    <font>
      <b/>
      <sz val="9"/>
      <color indexed="56"/>
      <name val="Arial"/>
      <family val="2"/>
    </font>
    <font>
      <sz val="10"/>
      <color indexed="56"/>
      <name val="Arial"/>
      <family val="2"/>
    </font>
    <font>
      <sz val="9"/>
      <color indexed="56"/>
      <name val="Arial Narrow"/>
      <family val="2"/>
    </font>
    <font>
      <sz val="9"/>
      <color indexed="10"/>
      <name val="Arial"/>
      <family val="2"/>
    </font>
    <font>
      <b/>
      <sz val="9"/>
      <color indexed="10"/>
      <name val="Arial"/>
      <family val="2"/>
    </font>
    <font>
      <b/>
      <u val="single"/>
      <sz val="14"/>
      <color indexed="8"/>
      <name val="Calibri"/>
      <family val="2"/>
    </font>
    <font>
      <b/>
      <sz val="14"/>
      <color indexed="8"/>
      <name val="Calibri"/>
      <family val="2"/>
    </font>
    <font>
      <i/>
      <sz val="12"/>
      <color indexed="8"/>
      <name val="Calibri"/>
      <family val="2"/>
    </font>
    <font>
      <sz val="12"/>
      <color indexed="8"/>
      <name val="Calibri"/>
      <family val="2"/>
    </font>
    <font>
      <b/>
      <sz val="12"/>
      <color indexed="8"/>
      <name val="Calibri"/>
      <family val="2"/>
    </font>
    <font>
      <sz val="5"/>
      <color indexed="8"/>
      <name val="Calibri"/>
      <family val="2"/>
    </font>
    <font>
      <b/>
      <sz val="12"/>
      <color indexed="17"/>
      <name val="Calibri"/>
      <family val="2"/>
    </font>
    <font>
      <b/>
      <sz val="12"/>
      <color indexed="30"/>
      <name val="Calibri"/>
      <family val="2"/>
    </font>
    <font>
      <sz val="12"/>
      <color indexed="17"/>
      <name val="Calibri"/>
      <family val="2"/>
    </font>
    <font>
      <sz val="12"/>
      <color indexed="30"/>
      <name val="Calibri"/>
      <family val="2"/>
    </font>
    <font>
      <b/>
      <sz val="12"/>
      <color indexed="10"/>
      <name val="Calibri"/>
      <family val="2"/>
    </font>
    <font>
      <b/>
      <sz val="5"/>
      <color indexed="8"/>
      <name val="Calibri"/>
      <family val="2"/>
    </font>
    <font>
      <b/>
      <i/>
      <sz val="12"/>
      <color indexed="30"/>
      <name val="Calibri"/>
      <family val="2"/>
    </font>
    <font>
      <b/>
      <sz val="54"/>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b/>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b/>
      <u val="single"/>
      <sz val="10"/>
      <color rgb="FF0000FF"/>
      <name val="Arial"/>
      <family val="2"/>
    </font>
    <font>
      <b/>
      <sz val="9"/>
      <color rgb="FF0070C0"/>
      <name val="Arial Narrow"/>
      <family val="2"/>
    </font>
    <font>
      <sz val="9"/>
      <color theme="9" tint="-0.4999699890613556"/>
      <name val="Arial"/>
      <family val="2"/>
    </font>
    <font>
      <b/>
      <sz val="9"/>
      <color theme="9" tint="-0.4999699890613556"/>
      <name val="Arial"/>
      <family val="2"/>
    </font>
    <font>
      <sz val="9"/>
      <color theme="9" tint="-0.4999699890613556"/>
      <name val="Arial Narrow"/>
      <family val="2"/>
    </font>
    <font>
      <sz val="10"/>
      <color theme="9" tint="-0.4999699890613556"/>
      <name val="Arial"/>
      <family val="2"/>
    </font>
    <font>
      <sz val="9"/>
      <color rgb="FF002060"/>
      <name val="Arial"/>
      <family val="2"/>
    </font>
    <font>
      <sz val="9"/>
      <color theme="3"/>
      <name val="Arial"/>
      <family val="2"/>
    </font>
    <font>
      <b/>
      <sz val="9"/>
      <color rgb="FF002060"/>
      <name val="Arial"/>
      <family val="2"/>
    </font>
    <font>
      <sz val="10"/>
      <color rgb="FF002060"/>
      <name val="Arial"/>
      <family val="2"/>
    </font>
    <font>
      <sz val="9"/>
      <color rgb="FF002060"/>
      <name val="Arial Narrow"/>
      <family val="2"/>
    </font>
    <font>
      <sz val="9"/>
      <color rgb="FFFF0000"/>
      <name val="Arial"/>
      <family val="2"/>
    </font>
    <font>
      <b/>
      <sz val="9"/>
      <color rgb="FFFF0000"/>
      <name val="Arial"/>
      <family val="2"/>
    </font>
    <font>
      <sz val="9"/>
      <color theme="1"/>
      <name val="Arial"/>
      <family val="2"/>
    </font>
    <font>
      <sz val="9"/>
      <color theme="1"/>
      <name val="Arial Narrow"/>
      <family val="2"/>
    </font>
    <font>
      <b/>
      <sz val="14"/>
      <color theme="1" tint="0.49998000264167786"/>
      <name val="Arial"/>
      <family val="2"/>
    </font>
    <font>
      <sz val="14"/>
      <color theme="1" tint="0.4999800026416778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09" fillId="27" borderId="0" applyNumberFormat="0" applyBorder="0" applyAlignment="0" applyProtection="0"/>
    <xf numFmtId="0" fontId="9" fillId="0" borderId="0" applyNumberFormat="0" applyFill="0" applyBorder="0" applyAlignment="0" applyProtection="0"/>
    <xf numFmtId="0" fontId="110" fillId="28" borderId="0" applyNumberFormat="0" applyBorder="0" applyAlignment="0" applyProtection="0"/>
    <xf numFmtId="0" fontId="111" fillId="29" borderId="2" applyNumberFormat="0" applyAlignment="0" applyProtection="0"/>
    <xf numFmtId="0" fontId="112" fillId="0" borderId="3" applyNumberFormat="0" applyFill="0" applyAlignment="0" applyProtection="0"/>
    <xf numFmtId="0" fontId="113" fillId="30" borderId="0" applyNumberFormat="0" applyBorder="0" applyAlignment="0" applyProtection="0"/>
    <xf numFmtId="0" fontId="0" fillId="0" borderId="0">
      <alignment/>
      <protection/>
    </xf>
    <xf numFmtId="0" fontId="19" fillId="0" borderId="0">
      <alignment/>
      <protection/>
    </xf>
    <xf numFmtId="0" fontId="31" fillId="0" borderId="0">
      <alignment/>
      <protection/>
    </xf>
    <xf numFmtId="0" fontId="36" fillId="0" borderId="0">
      <alignment/>
      <protection/>
    </xf>
    <xf numFmtId="0" fontId="114" fillId="0" borderId="0" applyNumberFormat="0" applyFill="0" applyBorder="0" applyAlignment="0" applyProtection="0"/>
    <xf numFmtId="0" fontId="115" fillId="0" borderId="4" applyNumberFormat="0" applyFill="0" applyAlignment="0" applyProtection="0"/>
    <xf numFmtId="0" fontId="116" fillId="0" borderId="5" applyNumberFormat="0" applyFill="0" applyAlignment="0" applyProtection="0"/>
    <xf numFmtId="0" fontId="117" fillId="0" borderId="6" applyNumberFormat="0" applyFill="0" applyAlignment="0" applyProtection="0"/>
    <xf numFmtId="0" fontId="1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7" applyNumberFormat="0" applyFill="0" applyAlignment="0" applyProtection="0"/>
    <xf numFmtId="0" fontId="120" fillId="31" borderId="2" applyNumberFormat="0" applyAlignment="0" applyProtection="0"/>
    <xf numFmtId="0" fontId="121" fillId="32" borderId="8" applyNumberFormat="0" applyAlignment="0" applyProtection="0"/>
    <xf numFmtId="0" fontId="122"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3" fillId="0" borderId="0" applyNumberFormat="0" applyFill="0" applyBorder="0" applyAlignment="0" applyProtection="0"/>
  </cellStyleXfs>
  <cellXfs count="522">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24"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0" fillId="36"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125"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26" fillId="0" borderId="0" xfId="0" applyFont="1" applyAlignment="1">
      <alignment/>
    </xf>
    <xf numFmtId="0" fontId="127"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0" fontId="0" fillId="0" borderId="15" xfId="0" applyFont="1" applyBorder="1" applyAlignment="1" applyProtection="1" quotePrefix="1">
      <alignment/>
      <protection/>
    </xf>
    <xf numFmtId="3" fontId="5" fillId="0" borderId="15" xfId="0" applyNumberFormat="1" applyFont="1" applyFill="1"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5" fillId="0" borderId="0" xfId="0" applyNumberFormat="1" applyFont="1" applyFill="1" applyAlignment="1" applyProtection="1">
      <alignment horizontal="right"/>
      <protection/>
    </xf>
    <xf numFmtId="3" fontId="1" fillId="0" borderId="0" xfId="0" applyNumberFormat="1" applyFont="1" applyBorder="1" applyAlignment="1">
      <alignment/>
    </xf>
    <xf numFmtId="0" fontId="128" fillId="0" borderId="0" xfId="0" applyFont="1" applyAlignment="1">
      <alignment/>
    </xf>
    <xf numFmtId="3" fontId="129" fillId="0" borderId="0" xfId="0" applyNumberFormat="1" applyFont="1" applyFill="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26"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6" fillId="0" borderId="0" xfId="0" applyFont="1" applyAlignment="1">
      <alignment/>
    </xf>
    <xf numFmtId="0" fontId="25" fillId="0" borderId="0" xfId="0" applyFont="1" applyAlignment="1" applyProtection="1">
      <alignment/>
      <protection/>
    </xf>
    <xf numFmtId="0" fontId="0" fillId="0" borderId="0" xfId="0" applyFont="1" applyAlignment="1" quotePrefix="1">
      <alignment/>
    </xf>
    <xf numFmtId="0" fontId="27" fillId="0" borderId="0" xfId="42" applyFont="1" applyAlignment="1" applyProtection="1">
      <alignment/>
      <protection/>
    </xf>
    <xf numFmtId="0" fontId="11" fillId="0" borderId="0" xfId="0" applyFont="1" applyAlignment="1">
      <alignment horizontal="right"/>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4" fontId="1" fillId="36" borderId="16" xfId="0" applyNumberFormat="1" applyFont="1" applyFill="1" applyBorder="1" applyAlignment="1" applyProtection="1">
      <alignment/>
      <protection locked="0"/>
    </xf>
    <xf numFmtId="9" fontId="5" fillId="0" borderId="0" xfId="58" applyFont="1" applyAlignment="1">
      <alignment/>
    </xf>
    <xf numFmtId="14" fontId="130" fillId="0" borderId="28" xfId="0" applyNumberFormat="1" applyFont="1" applyFill="1" applyBorder="1" applyAlignment="1" applyProtection="1" quotePrefix="1">
      <alignment/>
      <protection locked="0"/>
    </xf>
    <xf numFmtId="0" fontId="131" fillId="0" borderId="29" xfId="0" applyFont="1" applyBorder="1" applyAlignment="1">
      <alignment/>
    </xf>
    <xf numFmtId="14" fontId="130" fillId="0" borderId="29" xfId="0" applyNumberFormat="1" applyFont="1" applyFill="1" applyBorder="1" applyAlignment="1" applyProtection="1" quotePrefix="1">
      <alignment/>
      <protection locked="0"/>
    </xf>
    <xf numFmtId="0" fontId="131" fillId="0" borderId="30" xfId="0" applyFont="1" applyBorder="1" applyAlignment="1">
      <alignment/>
    </xf>
    <xf numFmtId="0" fontId="131" fillId="0" borderId="31" xfId="0" applyFont="1" applyBorder="1" applyAlignment="1">
      <alignment/>
    </xf>
    <xf numFmtId="14" fontId="130" fillId="0" borderId="0" xfId="0" applyNumberFormat="1" applyFont="1" applyBorder="1" applyAlignment="1" quotePrefix="1">
      <alignment/>
    </xf>
    <xf numFmtId="0" fontId="131" fillId="0" borderId="0" xfId="0" applyFont="1" applyBorder="1" applyAlignment="1">
      <alignment/>
    </xf>
    <xf numFmtId="0" fontId="131" fillId="0" borderId="32" xfId="0" applyFont="1" applyBorder="1" applyAlignment="1">
      <alignment/>
    </xf>
    <xf numFmtId="0" fontId="132" fillId="0" borderId="0" xfId="0" applyFont="1" applyBorder="1" applyAlignment="1">
      <alignment/>
    </xf>
    <xf numFmtId="0" fontId="131" fillId="36" borderId="10" xfId="0" applyFont="1" applyFill="1" applyBorder="1" applyAlignment="1">
      <alignment/>
    </xf>
    <xf numFmtId="0" fontId="133" fillId="0" borderId="0" xfId="0" applyFont="1" applyBorder="1" applyAlignment="1" quotePrefix="1">
      <alignment/>
    </xf>
    <xf numFmtId="0" fontId="131" fillId="33" borderId="10" xfId="0" applyFont="1" applyFill="1" applyBorder="1" applyAlignment="1">
      <alignment/>
    </xf>
    <xf numFmtId="0" fontId="134" fillId="0" borderId="0" xfId="0" applyFont="1" applyBorder="1" applyAlignment="1">
      <alignment/>
    </xf>
    <xf numFmtId="0" fontId="133" fillId="0" borderId="0" xfId="0" applyFont="1" applyBorder="1" applyAlignment="1">
      <alignment/>
    </xf>
    <xf numFmtId="3" fontId="135" fillId="0" borderId="0" xfId="0" applyNumberFormat="1" applyFont="1" applyFill="1" applyBorder="1" applyAlignment="1" applyProtection="1">
      <alignment/>
      <protection/>
    </xf>
    <xf numFmtId="0" fontId="136" fillId="0" borderId="0" xfId="0" applyFont="1" applyBorder="1" applyAlignment="1">
      <alignment/>
    </xf>
    <xf numFmtId="0" fontId="131" fillId="0" borderId="32" xfId="0" applyFont="1" applyBorder="1" applyAlignment="1">
      <alignment horizontal="center"/>
    </xf>
    <xf numFmtId="0" fontId="133" fillId="0" borderId="32" xfId="0" applyFont="1" applyBorder="1" applyAlignment="1">
      <alignment horizontal="center"/>
    </xf>
    <xf numFmtId="0" fontId="133" fillId="0" borderId="32" xfId="0" applyFont="1" applyBorder="1" applyAlignment="1">
      <alignment/>
    </xf>
    <xf numFmtId="3" fontId="131" fillId="33" borderId="10" xfId="0" applyNumberFormat="1" applyFont="1" applyFill="1" applyBorder="1" applyAlignment="1">
      <alignment/>
    </xf>
    <xf numFmtId="4" fontId="133" fillId="0" borderId="32" xfId="0" applyNumberFormat="1" applyFont="1" applyBorder="1" applyAlignment="1">
      <alignment/>
    </xf>
    <xf numFmtId="0" fontId="131" fillId="0" borderId="15" xfId="0" applyFont="1" applyBorder="1" applyAlignment="1">
      <alignment/>
    </xf>
    <xf numFmtId="3" fontId="131" fillId="0" borderId="15" xfId="0" applyNumberFormat="1" applyFont="1" applyFill="1" applyBorder="1" applyAlignment="1" applyProtection="1">
      <alignment/>
      <protection/>
    </xf>
    <xf numFmtId="0" fontId="131" fillId="0" borderId="15" xfId="0" applyFont="1" applyBorder="1" applyAlignment="1">
      <alignment horizontal="center"/>
    </xf>
    <xf numFmtId="3" fontId="131" fillId="33" borderId="16" xfId="0" applyNumberFormat="1" applyFont="1" applyFill="1" applyBorder="1" applyAlignment="1" applyProtection="1">
      <alignment/>
      <protection/>
    </xf>
    <xf numFmtId="4" fontId="133" fillId="0" borderId="33" xfId="0" applyNumberFormat="1" applyFont="1" applyBorder="1" applyAlignment="1">
      <alignment/>
    </xf>
    <xf numFmtId="3" fontId="131" fillId="0" borderId="0" xfId="0" applyNumberFormat="1" applyFont="1" applyFill="1" applyBorder="1" applyAlignment="1" applyProtection="1">
      <alignment/>
      <protection/>
    </xf>
    <xf numFmtId="0" fontId="131" fillId="0" borderId="0" xfId="0" applyFont="1" applyBorder="1" applyAlignment="1">
      <alignment horizontal="center"/>
    </xf>
    <xf numFmtId="4" fontId="134" fillId="36" borderId="16" xfId="0" applyNumberFormat="1" applyFont="1" applyFill="1" applyBorder="1" applyAlignment="1" applyProtection="1">
      <alignment/>
      <protection locked="0"/>
    </xf>
    <xf numFmtId="0" fontId="133" fillId="0" borderId="15" xfId="0" applyFont="1" applyBorder="1" applyAlignment="1">
      <alignment/>
    </xf>
    <xf numFmtId="3" fontId="133" fillId="0" borderId="0" xfId="0" applyNumberFormat="1" applyFont="1" applyBorder="1" applyAlignment="1">
      <alignment/>
    </xf>
    <xf numFmtId="3" fontId="131" fillId="33" borderId="10" xfId="0" applyNumberFormat="1" applyFont="1" applyFill="1" applyBorder="1" applyAlignment="1" applyProtection="1">
      <alignment/>
      <protection/>
    </xf>
    <xf numFmtId="0" fontId="131" fillId="0" borderId="25" xfId="0" applyFont="1" applyBorder="1" applyAlignment="1">
      <alignment/>
    </xf>
    <xf numFmtId="4" fontId="133" fillId="0" borderId="34" xfId="0" applyNumberFormat="1" applyFont="1" applyBorder="1" applyAlignment="1">
      <alignment/>
    </xf>
    <xf numFmtId="3" fontId="134" fillId="0" borderId="0" xfId="0" applyNumberFormat="1" applyFont="1" applyFill="1" applyBorder="1" applyAlignment="1">
      <alignment/>
    </xf>
    <xf numFmtId="4" fontId="132" fillId="0" borderId="32" xfId="0" applyNumberFormat="1" applyFont="1" applyBorder="1" applyAlignment="1">
      <alignment/>
    </xf>
    <xf numFmtId="3" fontId="131" fillId="36" borderId="10" xfId="0" applyNumberFormat="1" applyFont="1" applyFill="1" applyBorder="1" applyAlignment="1" applyProtection="1">
      <alignment/>
      <protection locked="0"/>
    </xf>
    <xf numFmtId="3" fontId="134" fillId="33" borderId="10" xfId="0" applyNumberFormat="1" applyFont="1" applyFill="1" applyBorder="1" applyAlignment="1" quotePrefix="1">
      <alignment/>
    </xf>
    <xf numFmtId="0" fontId="133" fillId="0" borderId="31" xfId="0" applyFont="1" applyBorder="1" applyAlignment="1">
      <alignment/>
    </xf>
    <xf numFmtId="3" fontId="132" fillId="0" borderId="0" xfId="0" applyNumberFormat="1" applyFont="1" applyFill="1" applyBorder="1" applyAlignment="1">
      <alignment/>
    </xf>
    <xf numFmtId="0" fontId="137" fillId="0" borderId="31" xfId="0" applyFont="1" applyBorder="1" applyAlignment="1">
      <alignment/>
    </xf>
    <xf numFmtId="0" fontId="137" fillId="0" borderId="0" xfId="0" applyFont="1" applyBorder="1" applyAlignment="1">
      <alignment/>
    </xf>
    <xf numFmtId="0" fontId="137" fillId="0" borderId="0" xfId="0" applyFont="1" applyBorder="1" applyAlignment="1" quotePrefix="1">
      <alignment/>
    </xf>
    <xf numFmtId="4" fontId="138" fillId="36" borderId="10" xfId="0" applyNumberFormat="1" applyFont="1" applyFill="1" applyBorder="1" applyAlignment="1" applyProtection="1">
      <alignment/>
      <protection locked="0"/>
    </xf>
    <xf numFmtId="3" fontId="137" fillId="0" borderId="0" xfId="0" applyNumberFormat="1" applyFont="1" applyFill="1" applyBorder="1" applyAlignment="1">
      <alignment/>
    </xf>
    <xf numFmtId="4" fontId="137" fillId="0" borderId="32" xfId="0" applyNumberFormat="1" applyFont="1" applyBorder="1" applyAlignment="1">
      <alignment/>
    </xf>
    <xf numFmtId="3" fontId="131" fillId="33" borderId="16" xfId="0" applyNumberFormat="1" applyFont="1" applyFill="1" applyBorder="1" applyAlignment="1">
      <alignment/>
    </xf>
    <xf numFmtId="3" fontId="131" fillId="33" borderId="19" xfId="0" applyNumberFormat="1" applyFont="1" applyFill="1" applyBorder="1" applyAlignment="1">
      <alignment/>
    </xf>
    <xf numFmtId="0" fontId="139" fillId="35" borderId="21" xfId="0" applyFont="1" applyFill="1" applyBorder="1" applyAlignment="1">
      <alignment/>
    </xf>
    <xf numFmtId="0" fontId="140" fillId="35" borderId="22" xfId="0" applyFont="1" applyFill="1" applyBorder="1" applyAlignment="1">
      <alignment horizontal="center"/>
    </xf>
    <xf numFmtId="0" fontId="139" fillId="35" borderId="23" xfId="0" applyFont="1" applyFill="1" applyBorder="1" applyAlignment="1">
      <alignment/>
    </xf>
    <xf numFmtId="0" fontId="139" fillId="35" borderId="35" xfId="0" applyFont="1" applyFill="1" applyBorder="1" applyAlignment="1">
      <alignment/>
    </xf>
    <xf numFmtId="0" fontId="140" fillId="35" borderId="0" xfId="0" applyFont="1" applyFill="1" applyBorder="1" applyAlignment="1">
      <alignment horizontal="center"/>
    </xf>
    <xf numFmtId="0" fontId="139" fillId="35" borderId="11" xfId="0" applyFont="1" applyFill="1" applyBorder="1" applyAlignment="1">
      <alignment/>
    </xf>
    <xf numFmtId="0" fontId="139" fillId="35" borderId="24" xfId="0" applyFont="1" applyFill="1" applyBorder="1" applyAlignment="1">
      <alignment/>
    </xf>
    <xf numFmtId="10" fontId="141" fillId="35" borderId="25" xfId="58" applyNumberFormat="1" applyFont="1" applyFill="1" applyBorder="1" applyAlignment="1">
      <alignment horizontal="center"/>
    </xf>
    <xf numFmtId="0" fontId="139"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1" fillId="33" borderId="0" xfId="0" applyNumberFormat="1" applyFont="1" applyFill="1" applyBorder="1" applyAlignment="1" applyProtection="1">
      <alignment/>
      <protection/>
    </xf>
    <xf numFmtId="4" fontId="138"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1" fillId="0" borderId="0" xfId="0" applyNumberFormat="1" applyFont="1" applyBorder="1" applyAlignment="1">
      <alignment/>
    </xf>
    <xf numFmtId="0" fontId="130" fillId="0" borderId="0" xfId="0" applyFont="1" applyBorder="1" applyAlignment="1">
      <alignment/>
    </xf>
    <xf numFmtId="3" fontId="134" fillId="0" borderId="0" xfId="0" applyNumberFormat="1" applyFont="1" applyBorder="1" applyAlignment="1">
      <alignment/>
    </xf>
    <xf numFmtId="0" fontId="142" fillId="35" borderId="36" xfId="0" applyFont="1" applyFill="1" applyBorder="1" applyAlignment="1">
      <alignment/>
    </xf>
    <xf numFmtId="0" fontId="143" fillId="35" borderId="22" xfId="0" applyFont="1" applyFill="1" applyBorder="1" applyAlignment="1">
      <alignment/>
    </xf>
    <xf numFmtId="0" fontId="142" fillId="35" borderId="22" xfId="0" applyFont="1" applyFill="1" applyBorder="1" applyAlignment="1">
      <alignment/>
    </xf>
    <xf numFmtId="0" fontId="130" fillId="35" borderId="22" xfId="0" applyFont="1" applyFill="1" applyBorder="1" applyAlignment="1">
      <alignment horizontal="right"/>
    </xf>
    <xf numFmtId="0" fontId="130" fillId="35" borderId="37" xfId="0" applyFont="1" applyFill="1" applyBorder="1" applyAlignment="1">
      <alignment horizontal="right"/>
    </xf>
    <xf numFmtId="0" fontId="142" fillId="35" borderId="31" xfId="0" applyFont="1" applyFill="1" applyBorder="1" applyAlignment="1">
      <alignment/>
    </xf>
    <xf numFmtId="0" fontId="143" fillId="35" borderId="0" xfId="0" applyFont="1" applyFill="1" applyBorder="1" applyAlignment="1">
      <alignment/>
    </xf>
    <xf numFmtId="0" fontId="142" fillId="35" borderId="0" xfId="0" applyFont="1" applyFill="1" applyBorder="1" applyAlignment="1">
      <alignment/>
    </xf>
    <xf numFmtId="3" fontId="144" fillId="35" borderId="0" xfId="0" applyNumberFormat="1" applyFont="1" applyFill="1" applyBorder="1" applyAlignment="1">
      <alignment/>
    </xf>
    <xf numFmtId="4" fontId="144" fillId="35" borderId="32" xfId="0" applyNumberFormat="1" applyFont="1" applyFill="1" applyBorder="1" applyAlignment="1">
      <alignment/>
    </xf>
    <xf numFmtId="0" fontId="143" fillId="35" borderId="38" xfId="0" applyFont="1" applyFill="1" applyBorder="1" applyAlignment="1">
      <alignment/>
    </xf>
    <xf numFmtId="0" fontId="143" fillId="35" borderId="25" xfId="0" applyFont="1" applyFill="1" applyBorder="1" applyAlignment="1">
      <alignment/>
    </xf>
    <xf numFmtId="3" fontId="143" fillId="35" borderId="25" xfId="0" applyNumberFormat="1" applyFont="1" applyFill="1" applyBorder="1" applyAlignment="1">
      <alignment/>
    </xf>
    <xf numFmtId="4" fontId="143"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72" fontId="0" fillId="10" borderId="10" xfId="0" applyNumberFormat="1" applyFill="1" applyBorder="1" applyAlignment="1" applyProtection="1">
      <alignment/>
      <protection locked="0"/>
    </xf>
    <xf numFmtId="1" fontId="0" fillId="10" borderId="10" xfId="0" applyNumberFormat="1" applyFill="1" applyBorder="1" applyAlignment="1" applyProtection="1">
      <alignment horizontal="right"/>
      <protection locked="0"/>
    </xf>
    <xf numFmtId="1" fontId="0" fillId="0" borderId="0" xfId="0" applyNumberFormat="1" applyFont="1" applyAlignment="1" applyProtection="1">
      <alignment/>
      <protection/>
    </xf>
    <xf numFmtId="3" fontId="134"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28"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3" fontId="1" fillId="0" borderId="0" xfId="0" applyNumberFormat="1" applyFont="1" applyAlignment="1">
      <alignment/>
    </xf>
    <xf numFmtId="14" fontId="2" fillId="0" borderId="0" xfId="0" applyNumberFormat="1" applyFont="1" applyAlignment="1">
      <alignment horizontal="left"/>
    </xf>
    <xf numFmtId="0" fontId="145" fillId="0" borderId="0" xfId="0" applyFont="1" applyAlignment="1">
      <alignment/>
    </xf>
    <xf numFmtId="0" fontId="145" fillId="0" borderId="0" xfId="0" applyFont="1" applyAlignment="1">
      <alignment horizontal="center"/>
    </xf>
    <xf numFmtId="0" fontId="146" fillId="0" borderId="0" xfId="0" applyFont="1" applyAlignment="1">
      <alignment/>
    </xf>
    <xf numFmtId="0" fontId="147" fillId="0" borderId="0" xfId="0" applyFont="1" applyAlignment="1">
      <alignment/>
    </xf>
    <xf numFmtId="0" fontId="15" fillId="0" borderId="0" xfId="0" applyFont="1" applyAlignment="1">
      <alignment/>
    </xf>
    <xf numFmtId="0" fontId="148" fillId="0" borderId="0" xfId="0" applyFont="1" applyAlignment="1">
      <alignment/>
    </xf>
    <xf numFmtId="189" fontId="7" fillId="0" borderId="0" xfId="0" applyNumberFormat="1" applyFont="1" applyBorder="1" applyAlignment="1" applyProtection="1">
      <alignment horizontal="right"/>
      <protection locked="0"/>
    </xf>
    <xf numFmtId="0" fontId="149" fillId="0" borderId="0" xfId="0" applyFont="1" applyAlignment="1">
      <alignment horizontal="left"/>
    </xf>
    <xf numFmtId="14" fontId="150" fillId="0" borderId="0" xfId="0" applyNumberFormat="1" applyFont="1" applyAlignment="1">
      <alignment horizontal="left"/>
    </xf>
    <xf numFmtId="0" fontId="32"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190" fontId="7" fillId="2" borderId="0" xfId="0" applyNumberFormat="1" applyFont="1" applyFill="1" applyBorder="1" applyAlignment="1">
      <alignment horizontal="center"/>
    </xf>
    <xf numFmtId="0" fontId="33" fillId="2" borderId="0" xfId="0" applyFont="1" applyFill="1" applyAlignment="1">
      <alignment/>
    </xf>
    <xf numFmtId="0" fontId="34" fillId="2" borderId="0" xfId="0" applyFont="1" applyFill="1" applyAlignment="1">
      <alignment horizontal="center"/>
    </xf>
    <xf numFmtId="0" fontId="34" fillId="0" borderId="0" xfId="0" applyFont="1" applyFill="1" applyAlignment="1">
      <alignment horizontal="center"/>
    </xf>
    <xf numFmtId="0" fontId="34" fillId="0" borderId="0" xfId="0" applyFont="1" applyAlignment="1" applyProtection="1">
      <alignment horizontal="center"/>
      <protection/>
    </xf>
    <xf numFmtId="0" fontId="35" fillId="0" borderId="0" xfId="0" applyFont="1" applyAlignment="1" applyProtection="1">
      <alignment horizontal="left"/>
      <protection/>
    </xf>
    <xf numFmtId="0" fontId="35" fillId="0" borderId="0" xfId="50" applyFont="1" applyAlignment="1" applyProtection="1">
      <alignment horizontal="center"/>
      <protection/>
    </xf>
    <xf numFmtId="191" fontId="2" fillId="0" borderId="0" xfId="50" applyNumberFormat="1" applyFont="1" applyFill="1" applyBorder="1" applyAlignment="1" applyProtection="1">
      <alignment horizontal="left" vertical="center"/>
      <protection/>
    </xf>
    <xf numFmtId="0" fontId="32" fillId="0" borderId="0" xfId="49" applyFont="1">
      <alignment/>
      <protection/>
    </xf>
    <xf numFmtId="0" fontId="34" fillId="0" borderId="11" xfId="0" applyFont="1" applyBorder="1" applyAlignment="1" applyProtection="1">
      <alignment horizontal="center"/>
      <protection/>
    </xf>
    <xf numFmtId="0" fontId="16" fillId="2" borderId="25" xfId="0" applyFont="1" applyFill="1" applyBorder="1" applyAlignment="1">
      <alignment/>
    </xf>
    <xf numFmtId="0" fontId="16" fillId="2" borderId="25" xfId="0" applyFont="1" applyFill="1" applyBorder="1" applyAlignment="1">
      <alignment horizontal="center"/>
    </xf>
    <xf numFmtId="0" fontId="33" fillId="2" borderId="25" xfId="0" applyFont="1" applyFill="1" applyBorder="1" applyAlignment="1">
      <alignment/>
    </xf>
    <xf numFmtId="0" fontId="151" fillId="2" borderId="0" xfId="0" applyFont="1" applyFill="1" applyAlignment="1">
      <alignment horizontal="center"/>
    </xf>
    <xf numFmtId="0" fontId="151" fillId="0" borderId="0" xfId="0" applyFont="1" applyFill="1" applyAlignment="1">
      <alignment horizontal="center"/>
    </xf>
    <xf numFmtId="0" fontId="16" fillId="0" borderId="0" xfId="0" applyFont="1" applyAlignment="1">
      <alignment horizontal="center"/>
    </xf>
    <xf numFmtId="0" fontId="35" fillId="0" borderId="0" xfId="0" applyFont="1" applyAlignment="1">
      <alignment/>
    </xf>
    <xf numFmtId="191" fontId="2" fillId="0" borderId="0" xfId="50" applyNumberFormat="1" applyFont="1" applyFill="1" applyBorder="1" applyAlignment="1">
      <alignment horizontal="left" vertical="center"/>
      <protection/>
    </xf>
    <xf numFmtId="0" fontId="34" fillId="0" borderId="26" xfId="0" applyFont="1" applyBorder="1" applyAlignment="1" applyProtection="1">
      <alignment horizontal="center"/>
      <protection/>
    </xf>
    <xf numFmtId="0" fontId="32" fillId="0" borderId="25" xfId="49" applyFont="1" applyBorder="1" applyAlignment="1">
      <alignment horizontal="center"/>
      <protection/>
    </xf>
    <xf numFmtId="0" fontId="32" fillId="0" borderId="25" xfId="0" applyFont="1" applyBorder="1" applyAlignment="1">
      <alignment horizontal="center"/>
    </xf>
    <xf numFmtId="0" fontId="148" fillId="0" borderId="0" xfId="0" applyFont="1" applyAlignment="1">
      <alignment horizontal="center"/>
    </xf>
    <xf numFmtId="0" fontId="7" fillId="2" borderId="0" xfId="0" applyFont="1" applyFill="1" applyAlignment="1">
      <alignment horizontal="center"/>
    </xf>
    <xf numFmtId="189" fontId="7" fillId="2" borderId="0" xfId="0" applyNumberFormat="1" applyFont="1" applyFill="1" applyBorder="1" applyAlignment="1">
      <alignment horizontal="center"/>
    </xf>
    <xf numFmtId="0" fontId="33" fillId="2" borderId="0" xfId="0" applyFont="1" applyFill="1" applyAlignment="1">
      <alignment horizontal="center"/>
    </xf>
    <xf numFmtId="0" fontId="16" fillId="0" borderId="0" xfId="0" applyFont="1" applyAlignment="1">
      <alignment/>
    </xf>
    <xf numFmtId="0" fontId="35" fillId="0" borderId="0" xfId="50" applyFont="1" applyAlignment="1">
      <alignment horizontal="center"/>
      <protection/>
    </xf>
    <xf numFmtId="0" fontId="32" fillId="0" borderId="0" xfId="49" applyFont="1" applyAlignment="1">
      <alignment horizontal="left"/>
      <protection/>
    </xf>
    <xf numFmtId="0" fontId="31" fillId="0" borderId="11" xfId="0" applyFont="1" applyBorder="1" applyAlignment="1">
      <alignment/>
    </xf>
    <xf numFmtId="0" fontId="32" fillId="0" borderId="0" xfId="0" applyFont="1" applyAlignment="1">
      <alignment horizontal="center"/>
    </xf>
    <xf numFmtId="0" fontId="16" fillId="0" borderId="0" xfId="50" applyFont="1" applyAlignment="1">
      <alignment horizontal="center"/>
      <protection/>
    </xf>
    <xf numFmtId="0" fontId="32" fillId="0" borderId="0" xfId="0" applyFont="1" applyAlignment="1">
      <alignment/>
    </xf>
    <xf numFmtId="0" fontId="34" fillId="0" borderId="11" xfId="0" applyFont="1" applyBorder="1" applyAlignment="1">
      <alignment horizontal="center"/>
    </xf>
    <xf numFmtId="3" fontId="32" fillId="0" borderId="0" xfId="0" applyNumberFormat="1"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32" fillId="0" borderId="0" xfId="0" applyNumberFormat="1" applyFont="1" applyAlignment="1">
      <alignment/>
    </xf>
    <xf numFmtId="0" fontId="34" fillId="0" borderId="11" xfId="0" applyFont="1" applyBorder="1" applyAlignment="1">
      <alignment/>
    </xf>
    <xf numFmtId="1" fontId="2" fillId="0" borderId="0" xfId="0" applyNumberFormat="1" applyFont="1" applyBorder="1" applyAlignment="1">
      <alignment horizontal="center"/>
    </xf>
    <xf numFmtId="180" fontId="2" fillId="0" borderId="0" xfId="0" applyNumberFormat="1" applyFont="1" applyBorder="1" applyAlignment="1">
      <alignment horizontal="center"/>
    </xf>
    <xf numFmtId="0" fontId="152" fillId="0" borderId="0" xfId="0" applyFont="1" applyBorder="1" applyAlignment="1" applyProtection="1">
      <alignment horizontal="left"/>
      <protection/>
    </xf>
    <xf numFmtId="3" fontId="152" fillId="0" borderId="0" xfId="0" applyNumberFormat="1" applyFont="1" applyBorder="1" applyAlignment="1" applyProtection="1">
      <alignment horizontal="right"/>
      <protection/>
    </xf>
    <xf numFmtId="4" fontId="152" fillId="0" borderId="0" xfId="0" applyNumberFormat="1" applyFont="1" applyBorder="1" applyAlignment="1" applyProtection="1">
      <alignment horizontal="center"/>
      <protection/>
    </xf>
    <xf numFmtId="190" fontId="152" fillId="0" borderId="0" xfId="0" applyNumberFormat="1" applyFont="1" applyBorder="1" applyAlignment="1" applyProtection="1">
      <alignment/>
      <protection/>
    </xf>
    <xf numFmtId="190" fontId="153" fillId="0" borderId="0" xfId="0" applyNumberFormat="1" applyFont="1" applyBorder="1" applyAlignment="1" applyProtection="1">
      <alignment horizontal="right"/>
      <protection locked="0"/>
    </xf>
    <xf numFmtId="3" fontId="153" fillId="0" borderId="0" xfId="0" applyNumberFormat="1" applyFont="1" applyBorder="1" applyAlignment="1" applyProtection="1">
      <alignment horizontal="right"/>
      <protection/>
    </xf>
    <xf numFmtId="3" fontId="154" fillId="0" borderId="0" xfId="0" applyNumberFormat="1" applyFont="1" applyBorder="1" applyAlignment="1" applyProtection="1">
      <alignment horizontal="right"/>
      <protection/>
    </xf>
    <xf numFmtId="190" fontId="154" fillId="0" borderId="0" xfId="0" applyNumberFormat="1" applyFont="1" applyBorder="1" applyAlignment="1" applyProtection="1">
      <alignment horizontal="right"/>
      <protection/>
    </xf>
    <xf numFmtId="4" fontId="152" fillId="0" borderId="0" xfId="0" applyNumberFormat="1" applyFont="1" applyAlignment="1" applyProtection="1">
      <alignment horizontal="left"/>
      <protection/>
    </xf>
    <xf numFmtId="0" fontId="152" fillId="0" borderId="0" xfId="0" applyFont="1" applyAlignment="1" applyProtection="1">
      <alignment horizontal="left"/>
      <protection/>
    </xf>
    <xf numFmtId="0" fontId="152" fillId="0" borderId="0" xfId="50" applyFont="1">
      <alignment/>
      <protection/>
    </xf>
    <xf numFmtId="0" fontId="155" fillId="0" borderId="0" xfId="0" applyFont="1" applyAlignment="1">
      <alignment/>
    </xf>
    <xf numFmtId="0" fontId="154" fillId="0" borderId="0" xfId="0" applyFont="1" applyAlignment="1">
      <alignment/>
    </xf>
    <xf numFmtId="2" fontId="152" fillId="0" borderId="0" xfId="0" applyNumberFormat="1" applyFont="1" applyAlignment="1" applyProtection="1">
      <alignment horizontal="center"/>
      <protection/>
    </xf>
    <xf numFmtId="3" fontId="154" fillId="0" borderId="0" xfId="0" applyNumberFormat="1" applyFont="1" applyAlignment="1" applyProtection="1">
      <alignment/>
      <protection/>
    </xf>
    <xf numFmtId="0" fontId="156" fillId="0" borderId="0" xfId="0" applyFont="1" applyBorder="1" applyAlignment="1" applyProtection="1">
      <alignment horizontal="left"/>
      <protection/>
    </xf>
    <xf numFmtId="3" fontId="157" fillId="0" borderId="0" xfId="0" applyNumberFormat="1" applyFont="1" applyBorder="1" applyAlignment="1" applyProtection="1">
      <alignment horizontal="right"/>
      <protection/>
    </xf>
    <xf numFmtId="3" fontId="156" fillId="0" borderId="0" xfId="0" applyNumberFormat="1" applyFont="1" applyBorder="1" applyAlignment="1" applyProtection="1">
      <alignment horizontal="right"/>
      <protection/>
    </xf>
    <xf numFmtId="4" fontId="156" fillId="0" borderId="0" xfId="0" applyNumberFormat="1" applyFont="1" applyBorder="1" applyAlignment="1" applyProtection="1">
      <alignment horizontal="center"/>
      <protection/>
    </xf>
    <xf numFmtId="190" fontId="156" fillId="0" borderId="0" xfId="0" applyNumberFormat="1" applyFont="1" applyBorder="1" applyAlignment="1" applyProtection="1">
      <alignment/>
      <protection/>
    </xf>
    <xf numFmtId="190" fontId="158" fillId="0" borderId="0" xfId="0" applyNumberFormat="1" applyFont="1" applyBorder="1" applyAlignment="1" applyProtection="1">
      <alignment horizontal="right"/>
      <protection locked="0"/>
    </xf>
    <xf numFmtId="3" fontId="158" fillId="0" borderId="0" xfId="0" applyNumberFormat="1" applyFont="1" applyBorder="1" applyAlignment="1" applyProtection="1">
      <alignment horizontal="right"/>
      <protection/>
    </xf>
    <xf numFmtId="190" fontId="34" fillId="0" borderId="0" xfId="0" applyNumberFormat="1" applyFont="1" applyBorder="1" applyAlignment="1" applyProtection="1">
      <alignment horizontal="right"/>
      <protection/>
    </xf>
    <xf numFmtId="4" fontId="156" fillId="0" borderId="0" xfId="0" applyNumberFormat="1" applyFont="1" applyAlignment="1" applyProtection="1">
      <alignment horizontal="left"/>
      <protection/>
    </xf>
    <xf numFmtId="0" fontId="156" fillId="0" borderId="0" xfId="0" applyFont="1" applyAlignment="1" applyProtection="1">
      <alignment horizontal="left"/>
      <protection/>
    </xf>
    <xf numFmtId="0" fontId="156" fillId="0" borderId="0" xfId="50" applyFont="1">
      <alignment/>
      <protection/>
    </xf>
    <xf numFmtId="0" fontId="159" fillId="0" borderId="0" xfId="0" applyFont="1" applyAlignment="1">
      <alignment/>
    </xf>
    <xf numFmtId="0" fontId="160" fillId="0" borderId="0" xfId="0" applyFont="1" applyAlignment="1">
      <alignment/>
    </xf>
    <xf numFmtId="2" fontId="156" fillId="0" borderId="0" xfId="0" applyNumberFormat="1" applyFont="1" applyAlignment="1" applyProtection="1">
      <alignment horizontal="center"/>
      <protection/>
    </xf>
    <xf numFmtId="3" fontId="160" fillId="0" borderId="0" xfId="0" applyNumberFormat="1" applyFont="1" applyAlignment="1" applyProtection="1">
      <alignment/>
      <protection/>
    </xf>
    <xf numFmtId="0" fontId="161" fillId="0" borderId="0" xfId="0" applyFont="1" applyBorder="1" applyAlignment="1" applyProtection="1">
      <alignment horizontal="left"/>
      <protection/>
    </xf>
    <xf numFmtId="3" fontId="161" fillId="0" borderId="0" xfId="0" applyNumberFormat="1" applyFont="1" applyBorder="1" applyAlignment="1" applyProtection="1">
      <alignment horizontal="right"/>
      <protection/>
    </xf>
    <xf numFmtId="4" fontId="161" fillId="0" borderId="0" xfId="0" applyNumberFormat="1" applyFont="1" applyBorder="1" applyAlignment="1" applyProtection="1">
      <alignment horizontal="center"/>
      <protection/>
    </xf>
    <xf numFmtId="190" fontId="161" fillId="0" borderId="0" xfId="0" applyNumberFormat="1" applyFont="1" applyBorder="1" applyAlignment="1" applyProtection="1">
      <alignment/>
      <protection/>
    </xf>
    <xf numFmtId="190" fontId="162" fillId="0" borderId="0" xfId="0" applyNumberFormat="1" applyFont="1" applyBorder="1" applyAlignment="1" applyProtection="1">
      <alignment horizontal="right"/>
      <protection locked="0"/>
    </xf>
    <xf numFmtId="3" fontId="162" fillId="0" borderId="0" xfId="0" applyNumberFormat="1" applyFont="1" applyBorder="1" applyAlignment="1" applyProtection="1">
      <alignment horizontal="right"/>
      <protection/>
    </xf>
    <xf numFmtId="4" fontId="16" fillId="0" borderId="0" xfId="0" applyNumberFormat="1" applyFont="1" applyAlignment="1" applyProtection="1">
      <alignment horizontal="left"/>
      <protection/>
    </xf>
    <xf numFmtId="0" fontId="16" fillId="0" borderId="0" xfId="0" applyFont="1" applyAlignment="1" applyProtection="1">
      <alignment horizontal="left"/>
      <protection/>
    </xf>
    <xf numFmtId="0" fontId="16" fillId="0" borderId="0" xfId="50" applyFont="1">
      <alignment/>
      <protection/>
    </xf>
    <xf numFmtId="2" fontId="163" fillId="0" borderId="0" xfId="0" applyNumberFormat="1" applyFont="1" applyAlignment="1" applyProtection="1">
      <alignment horizontal="center"/>
      <protection/>
    </xf>
    <xf numFmtId="3" fontId="34" fillId="0" borderId="0" xfId="0" applyNumberFormat="1" applyFont="1" applyAlignment="1" applyProtection="1">
      <alignment/>
      <protection/>
    </xf>
    <xf numFmtId="0" fontId="22" fillId="0" borderId="0" xfId="0" applyFont="1" applyBorder="1" applyAlignment="1" applyProtection="1">
      <alignment horizontal="left"/>
      <protection/>
    </xf>
    <xf numFmtId="3" fontId="7" fillId="0" borderId="0" xfId="0" applyNumberFormat="1" applyFont="1" applyBorder="1" applyAlignment="1" applyProtection="1">
      <alignment horizontal="right"/>
      <protection locked="0"/>
    </xf>
    <xf numFmtId="3" fontId="7" fillId="0" borderId="0" xfId="0" applyNumberFormat="1" applyFont="1" applyBorder="1" applyAlignment="1" applyProtection="1">
      <alignment horizontal="center"/>
      <protection locked="0"/>
    </xf>
    <xf numFmtId="190" fontId="7" fillId="0" borderId="0" xfId="0" applyNumberFormat="1" applyFont="1" applyBorder="1" applyAlignment="1" applyProtection="1">
      <alignment horizontal="right"/>
      <protection locked="0"/>
    </xf>
    <xf numFmtId="190" fontId="22" fillId="0" borderId="0" xfId="0" applyNumberFormat="1" applyFont="1" applyBorder="1" applyAlignment="1" applyProtection="1">
      <alignment horizontal="right"/>
      <protection locked="0"/>
    </xf>
    <xf numFmtId="190" fontId="32" fillId="0" borderId="0" xfId="0" applyNumberFormat="1" applyFont="1" applyBorder="1" applyAlignment="1" applyProtection="1">
      <alignment horizontal="right"/>
      <protection locked="0"/>
    </xf>
    <xf numFmtId="0" fontId="37" fillId="0" borderId="0" xfId="0" applyFont="1" applyAlignment="1" applyProtection="1">
      <alignment/>
      <protection/>
    </xf>
    <xf numFmtId="191" fontId="38" fillId="0" borderId="0" xfId="0" applyNumberFormat="1" applyFont="1" applyFill="1" applyBorder="1" applyAlignment="1" applyProtection="1">
      <alignment vertical="center"/>
      <protection/>
    </xf>
    <xf numFmtId="191" fontId="7" fillId="0" borderId="0" xfId="50" applyNumberFormat="1" applyFont="1" applyFill="1" applyBorder="1" applyAlignment="1">
      <alignment horizontal="left" vertical="center"/>
      <protection/>
    </xf>
    <xf numFmtId="0" fontId="139" fillId="0" borderId="0" xfId="0" applyFont="1" applyAlignment="1">
      <alignment horizontal="center"/>
    </xf>
    <xf numFmtId="0" fontId="7" fillId="0" borderId="0" xfId="0" applyFont="1" applyAlignment="1" applyProtection="1">
      <alignment horizontal="left"/>
      <protection/>
    </xf>
    <xf numFmtId="3" fontId="163" fillId="0" borderId="0" xfId="47" applyNumberFormat="1" applyFont="1" applyAlignment="1" applyProtection="1">
      <alignment horizontal="right"/>
      <protection locked="0"/>
    </xf>
    <xf numFmtId="3" fontId="16" fillId="0" borderId="0" xfId="0" applyNumberFormat="1" applyFont="1" applyBorder="1" applyAlignment="1" applyProtection="1">
      <alignment/>
      <protection/>
    </xf>
    <xf numFmtId="3" fontId="16" fillId="0" borderId="0" xfId="0" applyNumberFormat="1" applyFont="1" applyBorder="1" applyAlignment="1" applyProtection="1">
      <alignment horizontal="center"/>
      <protection/>
    </xf>
    <xf numFmtId="190" fontId="34" fillId="0" borderId="0" xfId="0" applyNumberFormat="1" applyFont="1" applyBorder="1" applyAlignment="1" applyProtection="1">
      <alignment/>
      <protection/>
    </xf>
    <xf numFmtId="0" fontId="7" fillId="0" borderId="0" xfId="0" applyFont="1" applyAlignment="1" applyProtection="1">
      <alignment/>
      <protection/>
    </xf>
    <xf numFmtId="0" fontId="35" fillId="0" borderId="0" xfId="50" applyFont="1" applyBorder="1" applyAlignment="1">
      <alignment horizontal="right"/>
      <protection/>
    </xf>
    <xf numFmtId="49" fontId="2" fillId="0" borderId="0" xfId="48" applyNumberFormat="1" applyFont="1" applyFill="1" applyBorder="1" applyAlignment="1" applyProtection="1">
      <alignment horizontal="center"/>
      <protection locked="0"/>
    </xf>
    <xf numFmtId="0" fontId="164" fillId="0" borderId="0" xfId="0" applyFont="1" applyAlignment="1" applyProtection="1">
      <alignment horizontal="left"/>
      <protection/>
    </xf>
    <xf numFmtId="192" fontId="163" fillId="0" borderId="0" xfId="0" applyNumberFormat="1" applyFont="1" applyAlignment="1">
      <alignment horizontal="center"/>
    </xf>
    <xf numFmtId="3" fontId="32" fillId="0" borderId="0" xfId="0" applyNumberFormat="1" applyFont="1" applyBorder="1" applyAlignment="1">
      <alignment/>
    </xf>
    <xf numFmtId="3" fontId="32" fillId="0" borderId="0" xfId="58" applyNumberFormat="1" applyFont="1" applyAlignment="1">
      <alignment/>
    </xf>
    <xf numFmtId="192" fontId="0" fillId="0" borderId="0" xfId="0" applyNumberFormat="1" applyAlignment="1">
      <alignment/>
    </xf>
    <xf numFmtId="0" fontId="16" fillId="0" borderId="0" xfId="0" applyFont="1" applyAlignment="1" applyProtection="1">
      <alignment/>
      <protection/>
    </xf>
    <xf numFmtId="191" fontId="35" fillId="0" borderId="0" xfId="0" applyNumberFormat="1" applyFont="1" applyFill="1" applyBorder="1" applyAlignment="1" applyProtection="1">
      <alignment vertical="center"/>
      <protection/>
    </xf>
    <xf numFmtId="3" fontId="164" fillId="0" borderId="0" xfId="47" applyNumberFormat="1" applyFont="1" applyAlignment="1" applyProtection="1">
      <alignment horizontal="right"/>
      <protection locked="0"/>
    </xf>
    <xf numFmtId="0" fontId="39" fillId="0" borderId="0" xfId="0" applyFont="1" applyAlignment="1">
      <alignment/>
    </xf>
    <xf numFmtId="190" fontId="164" fillId="0" borderId="0" xfId="47" applyNumberFormat="1" applyFont="1" applyAlignment="1" applyProtection="1">
      <alignment horizontal="right"/>
      <protection locked="0"/>
    </xf>
    <xf numFmtId="190" fontId="33" fillId="2" borderId="0" xfId="0" applyNumberFormat="1" applyFont="1" applyFill="1" applyBorder="1" applyAlignment="1" applyProtection="1">
      <alignment/>
      <protection/>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65" fillId="34" borderId="12" xfId="0" applyFont="1" applyFill="1" applyBorder="1" applyAlignment="1">
      <alignment horizontal="center"/>
    </xf>
    <xf numFmtId="0" fontId="165" fillId="34" borderId="13" xfId="0" applyFont="1" applyFill="1" applyBorder="1" applyAlignment="1">
      <alignment horizontal="center"/>
    </xf>
    <xf numFmtId="0" fontId="165" fillId="34" borderId="39" xfId="0" applyFont="1" applyFill="1" applyBorder="1" applyAlignment="1">
      <alignment horizontal="center"/>
    </xf>
    <xf numFmtId="0" fontId="166"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114300</xdr:colOff>
      <xdr:row>105</xdr:row>
      <xdr:rowOff>85725</xdr:rowOff>
    </xdr:to>
    <xdr:sp>
      <xdr:nvSpPr>
        <xdr:cNvPr id="1" name="Tekstiruutu 2"/>
        <xdr:cNvSpPr txBox="1">
          <a:spLocks noChangeArrowheads="1"/>
        </xdr:cNvSpPr>
      </xdr:nvSpPr>
      <xdr:spPr>
        <a:xfrm>
          <a:off x="38100" y="9525"/>
          <a:ext cx="7172325" cy="1701165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KUNTALIITON</a:t>
          </a:r>
          <a:r>
            <a:rPr lang="en-US" cap="none" sz="1400" b="1" i="0" u="sng" baseline="0">
              <a:solidFill>
                <a:srgbClr val="000000"/>
              </a:solidFill>
              <a:latin typeface="Calibri"/>
              <a:ea typeface="Calibri"/>
              <a:cs typeface="Calibri"/>
            </a:rPr>
            <a:t> V</a:t>
          </a:r>
          <a:r>
            <a:rPr lang="en-US" cap="none" sz="1400" b="1" i="0" u="sng" baseline="0">
              <a:solidFill>
                <a:srgbClr val="000000"/>
              </a:solidFill>
              <a:latin typeface="Calibri"/>
              <a:ea typeface="Calibri"/>
              <a:cs typeface="Calibri"/>
            </a:rPr>
            <a:t>ALTIONOSUUSLASKURIN KÄYTTÖOHJEET</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päivitetty 6.1.2019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Valtionosuuslaskurin avulla voidaan laskea kunnan valtionosuusrahoituksen määrä.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Valtionosuuslaskurilla</a:t>
          </a:r>
          <a:r>
            <a:rPr lang="en-US" cap="none" sz="1200" b="1" i="0" u="none" baseline="0">
              <a:solidFill>
                <a:srgbClr val="000000"/>
              </a:solidFill>
              <a:latin typeface="Calibri"/>
              <a:ea typeface="Calibri"/>
              <a:cs typeface="Calibri"/>
            </a:rPr>
            <a:t> on monta käyttötarkoitusta</a:t>
          </a:r>
          <a:r>
            <a:rPr lang="en-US" cap="none" sz="1200" b="1" i="0" u="none" baseline="0">
              <a:solidFill>
                <a:srgbClr val="000000"/>
              </a:solidFill>
              <a:latin typeface="Calibri"/>
              <a:ea typeface="Calibri"/>
              <a:cs typeface="Calibri"/>
            </a:rPr>
            <a:t>
</a:t>
          </a:r>
          <a:r>
            <a:rPr lang="en-US" cap="none" sz="5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a:t>
          </a:r>
          <a:r>
            <a:rPr lang="en-US" cap="none" sz="1200" b="0" i="0" u="none" baseline="0">
              <a:solidFill>
                <a:srgbClr val="000000"/>
              </a:solidFill>
              <a:latin typeface="Calibri"/>
              <a:ea typeface="Calibri"/>
              <a:cs typeface="Calibri"/>
            </a:rPr>
            <a:t> on hyvä apu talousarvion valmistelussa. Laskurin avulla valtionosuusjärjestelmän kokonaisuuden hahmottaminen helpottuu: täyttäessään laskuria käyttäjä etenee laskennassa automaattisesti osa-alueittain käyden läpi koko kunnan valtionosuusrahoituksen kokonaisuuden.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Valtionosuuslaskuri on käytännöllinen väline myös vuosien välisten vertailujen tekoon. Laskuria voidaan käyttää skenaariolaskelmiin ja sen avulla voidaan tarkastella esimerkiksi miten tiettyjen olosuhteiden tai asukasmäärien muutokset vaikuttavat kunnan saaman valtionosuuden määrään. Mielenkiintoisia kysymyksiä ovat esimerkiksi muuttoliikkeen aiheuttamasta väestökehityksestä johtuvien ikärakennemuutosten vaikutus valtionosuusrahoitukseen sekä se, miten muutos työllisyydessä tai sairastavuudessa vaikuttaa kunnan saaman valtionosuusrahoituksen määrään.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Laskurin värikoodaus auttaa havainnollistamaan valtionosuusjärjestelmän kokonaisuuden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valtionosuusrahoitus </a:t>
          </a:r>
          <a:r>
            <a:rPr lang="en-US" cap="none" sz="1200" b="0" i="0" u="none" baseline="0">
              <a:solidFill>
                <a:srgbClr val="000000"/>
              </a:solidFill>
              <a:latin typeface="Calibri"/>
              <a:ea typeface="Calibri"/>
              <a:cs typeface="Calibri"/>
            </a:rPr>
            <a:t>muodostuu kahdesta osasta: </a:t>
          </a:r>
          <a:r>
            <a:rPr lang="en-US" cap="none" sz="1200" b="1" i="0" u="none" baseline="0">
              <a:solidFill>
                <a:srgbClr val="008000"/>
              </a:solidFill>
              <a:latin typeface="Calibri"/>
              <a:ea typeface="Calibri"/>
              <a:cs typeface="Calibri"/>
            </a:rPr>
            <a:t>kunnan peruspalvelujen valtionosuudesta </a:t>
          </a:r>
          <a:r>
            <a:rPr lang="en-US" cap="none" sz="1200" b="0" i="0" u="none" baseline="0">
              <a:solidFill>
                <a:srgbClr val="000000"/>
              </a:solidFill>
              <a:latin typeface="Calibri"/>
              <a:ea typeface="Calibri"/>
              <a:cs typeface="Calibri"/>
            </a:rPr>
            <a:t>ja </a:t>
          </a:r>
          <a:r>
            <a:rPr lang="en-US" cap="none" sz="1200" b="1" i="0" u="none" baseline="0">
              <a:solidFill>
                <a:srgbClr val="0066CC"/>
              </a:solidFill>
              <a:latin typeface="Calibri"/>
              <a:ea typeface="Calibri"/>
              <a:cs typeface="Calibri"/>
            </a:rPr>
            <a:t>opetus- ja kulttuuritoimen rahoituksesta </a:t>
          </a:r>
          <a:r>
            <a:rPr lang="en-US" cap="none" sz="1200" b="0" i="0" u="none" baseline="0">
              <a:solidFill>
                <a:srgbClr val="000000"/>
              </a:solidFill>
              <a:latin typeface="Calibri"/>
              <a:ea typeface="Calibri"/>
              <a:cs typeface="Calibri"/>
            </a:rPr>
            <a:t>annetun lain mukaisesta valtionosuusrahoituksesta. </a:t>
          </a:r>
          <a:r>
            <a:rPr lang="en-US" cap="none" sz="1200" b="0" i="0" u="none" baseline="0">
              <a:solidFill>
                <a:srgbClr val="000000"/>
              </a:solidFill>
              <a:latin typeface="Calibri"/>
              <a:ea typeface="Calibri"/>
              <a:cs typeface="Calibri"/>
            </a:rPr>
            <a:t>Kumpikin valtionosuusrahoituksen osa tulee ottaa huomioon</a:t>
          </a:r>
          <a:r>
            <a:rPr lang="en-US" cap="none" sz="1200" b="0" i="0" u="none" baseline="0">
              <a:solidFill>
                <a:srgbClr val="000000"/>
              </a:solidFill>
              <a:latin typeface="Calibri"/>
              <a:ea typeface="Calibri"/>
              <a:cs typeface="Calibri"/>
            </a:rPr>
            <a:t> kunnan valtionosuusrahoituksen kokonaisuutta arvioitaessa.</a:t>
          </a:r>
          <a:r>
            <a:rPr lang="en-US" cap="none" sz="1200" b="0" i="0" u="none" baseline="0">
              <a:solidFill>
                <a:srgbClr val="000000"/>
              </a:solidFill>
              <a:latin typeface="Calibri"/>
              <a:ea typeface="Calibri"/>
              <a:cs typeface="Calibri"/>
            </a:rPr>
            <a:t> Valtionosuusrahoituksen maksatus tapahtuu keskitetysti kuukauden 11. päivään mennessä.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Valtionosuuden perusteena olevat laskennalliset kustannukset ja muut valtionosuusrahoituksen osatekijät on eroteltu valtionosuuslaskurissa omiksi taulukoikseen. 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Opetus- ja kulttuuritoimen valtionosuuteen liittyvät taulukot on merkitty </a:t>
          </a:r>
          <a:r>
            <a:rPr lang="en-US" cap="none" sz="1200" b="1" i="0" u="none" baseline="0">
              <a:solidFill>
                <a:srgbClr val="0066CC"/>
              </a:solidFill>
              <a:latin typeface="Calibri"/>
              <a:ea typeface="Calibri"/>
              <a:cs typeface="Calibri"/>
            </a:rPr>
            <a:t>sinisin</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taulukonvalitsimin.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merkittyyn Yhteenveto-taulukkoon, joka kertoo kunnan valtionosuusrahoituksen yhteismäärän.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Valtionosuuslaskuri koostuu kymmenestä erillisestä taulukosta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Täyttöohjeet
</a:t>
          </a:r>
          <a:r>
            <a:rPr lang="en-US" cap="none" sz="1200" b="1" i="0" u="none" baseline="0">
              <a:solidFill>
                <a:srgbClr val="FF0000"/>
              </a:solidFill>
              <a:latin typeface="Calibri"/>
              <a:ea typeface="Calibri"/>
              <a:cs typeface="Calibri"/>
            </a:rPr>
            <a:t>2. Yhteenveto
</a:t>
          </a:r>
          <a:r>
            <a:rPr lang="en-US" cap="none" sz="1200" b="1" i="0" u="none" baseline="0">
              <a:solidFill>
                <a:srgbClr val="008000"/>
              </a:solidFill>
              <a:latin typeface="Calibri"/>
              <a:ea typeface="Calibri"/>
              <a:cs typeface="Calibri"/>
            </a:rPr>
            <a:t>3. Ikärakenne
</a:t>
          </a:r>
          <a:r>
            <a:rPr lang="en-US" cap="none" sz="1200" b="1" i="0" u="none" baseline="0">
              <a:solidFill>
                <a:srgbClr val="008000"/>
              </a:solidFill>
              <a:latin typeface="Calibri"/>
              <a:ea typeface="Calibri"/>
              <a:cs typeface="Calibri"/>
            </a:rPr>
            <a:t>4. Muut laskennalliset korotukset
</a:t>
          </a:r>
          <a:r>
            <a:rPr lang="en-US" cap="none" sz="1200" b="1" i="0" u="none" baseline="0">
              <a:solidFill>
                <a:srgbClr val="008000"/>
              </a:solidFill>
              <a:latin typeface="Calibri"/>
              <a:ea typeface="Calibri"/>
              <a:cs typeface="Calibri"/>
            </a:rPr>
            <a:t>5. Lisäosat
</a:t>
          </a:r>
          <a:r>
            <a:rPr lang="en-US" cap="none" sz="1200" b="1" i="0" u="none" baseline="0">
              <a:solidFill>
                <a:srgbClr val="008000"/>
              </a:solidFill>
              <a:latin typeface="Calibri"/>
              <a:ea typeface="Calibri"/>
              <a:cs typeface="Calibri"/>
            </a:rPr>
            <a:t>6. Vähennykset ja lisäykset
</a:t>
          </a:r>
          <a:r>
            <a:rPr lang="en-US" cap="none" sz="1200" b="1" i="0" u="none" baseline="0">
              <a:solidFill>
                <a:srgbClr val="008000"/>
              </a:solidFill>
              <a:latin typeface="Calibri"/>
              <a:ea typeface="Calibri"/>
              <a:cs typeface="Calibri"/>
            </a:rPr>
            <a:t>7. Järjestelmämuutoksen tasaus 2015
</a:t>
          </a:r>
          <a:r>
            <a:rPr lang="en-US" cap="none" sz="1200" b="1" i="0" u="none" baseline="0">
              <a:solidFill>
                <a:srgbClr val="008000"/>
              </a:solidFill>
              <a:latin typeface="Calibri"/>
              <a:ea typeface="Calibri"/>
              <a:cs typeface="Calibri"/>
            </a:rPr>
            <a:t>8. Kotikuntakorvaukset </a:t>
          </a:r>
          <a:r>
            <a:rPr lang="en-US" cap="none" sz="1200" b="0" i="0" u="none" baseline="0">
              <a:solidFill>
                <a:srgbClr val="000000"/>
              </a:solidFill>
              <a:latin typeface="Calibri"/>
              <a:ea typeface="Calibri"/>
              <a:cs typeface="Calibri"/>
            </a:rPr>
            <a:t>
</a:t>
          </a:r>
          <a:r>
            <a:rPr lang="en-US" cap="none" sz="1200" b="1" i="0" u="none" baseline="0">
              <a:solidFill>
                <a:srgbClr val="0066CC"/>
              </a:solidFill>
              <a:latin typeface="Calibri"/>
              <a:ea typeface="Calibri"/>
              <a:cs typeface="Calibri"/>
            </a:rPr>
            <a:t>9. Opetus ja kulttuurin, muu vos 
</a:t>
          </a:r>
          <a:r>
            <a:rPr lang="en-US" cap="none" sz="1200" b="1" i="0" u="none" baseline="0">
              <a:solidFill>
                <a:srgbClr val="0066CC"/>
              </a:solidFill>
              <a:latin typeface="Calibri"/>
              <a:ea typeface="Calibri"/>
              <a:cs typeface="Calibri"/>
            </a:rPr>
            <a:t>10. Lukio</a:t>
          </a:r>
          <a:r>
            <a:rPr lang="en-US" cap="none" sz="1200" b="1" i="1"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Syöttämällä ja/tai tarkistamalla kunkin em. kymmenen taulukon värillisiin soluihin vaadittavat valtionosuuden perusteena olevat </a:t>
          </a:r>
          <a:r>
            <a:rPr lang="en-US" cap="none" sz="1200" b="0" i="0" u="none" baseline="0">
              <a:solidFill>
                <a:srgbClr val="000000"/>
              </a:solidFill>
              <a:latin typeface="Calibri"/>
              <a:ea typeface="Calibri"/>
              <a:cs typeface="Calibri"/>
            </a:rPr>
            <a:t>kunnan </a:t>
          </a:r>
          <a:r>
            <a:rPr lang="en-US" cap="none" sz="1200" b="0" i="0" u="none" baseline="0">
              <a:solidFill>
                <a:srgbClr val="000000"/>
              </a:solidFill>
              <a:latin typeface="Calibri"/>
              <a:ea typeface="Calibri"/>
              <a:cs typeface="Calibri"/>
            </a:rPr>
            <a:t>tiedot </a:t>
          </a:r>
          <a:r>
            <a:rPr lang="en-US" cap="none" sz="1200" b="0" i="0" u="none" baseline="0">
              <a:solidFill>
                <a:srgbClr val="000000"/>
              </a:solidFill>
              <a:latin typeface="Calibri"/>
              <a:ea typeface="Calibri"/>
              <a:cs typeface="Calibri"/>
            </a:rPr>
            <a:t>laskuri laskee kunnalle myönnettävän valtionosuuden määrän. Työkirjan taulukoita voidaan käyttää myös erillisinä esimerkiksi ikärakenteen tai sairastavuuden perusteella määräytyvien laskennallisten kustannusten tai lukion yksikköhinnan laskemiseen.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Huomioithan, että taulukot sisältävät kommentti-työkalulla tehtyjä lisätietoja valtionosuuden määräytymisestä. Soluun sisältyvät kommentit erotat punaisesta kolmiosta solun yläkulmassa. Kommentit saa näkymään kuljettamalla hiiren ko. solun päälle.</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Yhteenveto
</a:t>
          </a:r>
          <a:r>
            <a:rPr lang="en-US" cap="none" sz="1200" b="0" i="0" u="none" baseline="0">
              <a:solidFill>
                <a:srgbClr val="000000"/>
              </a:solidFill>
              <a:latin typeface="Calibri"/>
              <a:ea typeface="Calibri"/>
              <a:cs typeface="Calibri"/>
            </a:rPr>
            <a:t>Yhteenveto-taulukko on merkitty </a:t>
          </a:r>
          <a:r>
            <a:rPr lang="en-US" cap="none" sz="1200" b="1" i="0" u="none" baseline="0">
              <a:solidFill>
                <a:srgbClr val="FF0000"/>
              </a:solidFill>
              <a:latin typeface="Calibri"/>
              <a:ea typeface="Calibri"/>
              <a:cs typeface="Calibri"/>
            </a:rPr>
            <a:t>punaisella </a:t>
          </a:r>
          <a:r>
            <a:rPr lang="en-US" cap="none" sz="1200" b="0" i="0" u="none" baseline="0">
              <a:solidFill>
                <a:srgbClr val="000000"/>
              </a:solidFill>
              <a:latin typeface="Calibri"/>
              <a:ea typeface="Calibri"/>
              <a:cs typeface="Calibri"/>
            </a:rPr>
            <a:t>taulukonvalitsimella. </a:t>
          </a:r>
          <a:r>
            <a:rPr lang="en-US" cap="none" sz="1200" b="1" i="0" u="none" baseline="0">
              <a:solidFill>
                <a:srgbClr val="0066CC"/>
              </a:solidFill>
              <a:latin typeface="Calibri"/>
              <a:ea typeface="Calibri"/>
              <a:cs typeface="Calibri"/>
            </a:rPr>
            <a:t>Sinisistä</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ja </a:t>
          </a:r>
          <a:r>
            <a:rPr lang="en-US" cap="none" sz="1200" b="1" i="0" u="none" baseline="0">
              <a:solidFill>
                <a:srgbClr val="008000"/>
              </a:solidFill>
              <a:latin typeface="Calibri"/>
              <a:ea typeface="Calibri"/>
              <a:cs typeface="Calibri"/>
            </a:rPr>
            <a:t>vihreistä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taulukoista tiedot siirtyvät automaattisesti Yhteenveto-taulukon keltaisiin soluihin.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Kunnan peruspalvelujen valtionosuus 
</a:t>
          </a:r>
          <a:r>
            <a:rPr lang="en-US" cap="none" sz="1200" b="0" i="0" u="none" baseline="0">
              <a:solidFill>
                <a:srgbClr val="000000"/>
              </a:solidFill>
              <a:latin typeface="Calibri"/>
              <a:ea typeface="Calibri"/>
              <a:cs typeface="Calibri"/>
            </a:rPr>
            <a:t>Kunnan peruspalvelujen valtionosuuteen sisältyvät taulukot on merkitty </a:t>
          </a:r>
          <a:r>
            <a:rPr lang="en-US" cap="none" sz="1200" b="1" i="0" u="none" baseline="0">
              <a:solidFill>
                <a:srgbClr val="008000"/>
              </a:solidFill>
              <a:latin typeface="Calibri"/>
              <a:ea typeface="Calibri"/>
              <a:cs typeface="Calibri"/>
            </a:rPr>
            <a:t>vihreällä</a:t>
          </a:r>
          <a:r>
            <a:rPr lang="en-US" cap="none" sz="1200" b="0" i="0" u="none" baseline="0">
              <a:solidFill>
                <a:srgbClr val="008000"/>
              </a:solidFill>
              <a:latin typeface="Calibri"/>
              <a:ea typeface="Calibri"/>
              <a:cs typeface="Calibri"/>
            </a:rPr>
            <a:t> </a:t>
          </a:r>
          <a:r>
            <a:rPr lang="en-US" cap="none" sz="1200" b="0" i="0" u="none" baseline="0">
              <a:solidFill>
                <a:srgbClr val="000000"/>
              </a:solidFill>
              <a:latin typeface="Calibri"/>
              <a:ea typeface="Calibri"/>
              <a:cs typeface="Calibri"/>
            </a:rPr>
            <a:t>taulukonvalitsimen pohjavärillä. Laskuri laskee ikärakenteen, sairastavuuden ja muiden tekijöiden perusteella määräytyvät</a:t>
          </a:r>
          <a:r>
            <a:rPr lang="en-US" cap="none" sz="1200" b="0" i="0" u="none" baseline="0">
              <a:solidFill>
                <a:srgbClr val="000000"/>
              </a:solidFill>
              <a:latin typeface="Calibri"/>
              <a:ea typeface="Calibri"/>
              <a:cs typeface="Calibri"/>
            </a:rPr>
            <a:t> laskennalliset kustannukset sekä lisäosat ja valtionosuuteen tehtävät vähennykset ja lisäykset , kun tarvittavat tiedot täytetään kunkin taulukon keltaisiin soluihin.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Kun laskuria käytetään tulevan varainhoitovuoden valtionosuusrahoituksen ennakointiin, on hyvä tarkistaa valtakunnallisten tietojen, esimerkiksi perushintojen oikeellisuus, sillä valtakunnalliset tiedot päivittyvät säännöllisesti laskennan edetessä ennen varainhoitovuoden alkua.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Kotikuntakorvausten laskentaa varten ao. taulukkoon täytetään kotikuntakorvauskyselyssä 31.12. tilanteesta ilmoitetut tiedot muualla kuin omassa kotikunnassaan oppivelvollisuuttaan suorittavista 6-15-vuotiaista ikäryhmittäin. Vuoden 2015 alusta alkaen kotikuntakorvauksen perusosa on kaikille kunnille yhtä suuri. Kotikuntaa vailla olevien 6-15-vuotiaiden kotikuntakorvauksen maksaa valtio.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Opetus- ja kulttuuritoimen valtionosuus 
</a:t>
          </a:r>
          <a:r>
            <a:rPr lang="en-US" cap="none" sz="1200" b="0" i="0" u="none" baseline="0">
              <a:solidFill>
                <a:srgbClr val="000000"/>
              </a:solidFill>
              <a:latin typeface="Calibri"/>
              <a:ea typeface="Calibri"/>
              <a:cs typeface="Calibri"/>
            </a:rPr>
            <a:t>Osa valtionosuusrahoituksesta myönnetään opetus- ja kulttuuritoimen rahoituksesta annettuun lakiin (1705/2009) perustuen. Opetus- ja kulttuuritoimen valtionosuusrahoituksesta euromääräisesti suurin on toisen asteen koulutuksen ylläpitäjille maksettava yksikköhintarahoitus. Lukiokoulutuksessa ylläpitäjä on tyypillisesti kunta, kun taas valtaosa toisen asteen ammatillisen koulutuksen ylläpitäjistä on kuntayhtymiä tai yksityisiä opetuksen järjestäjiä.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Opetus- ja kulttuuritoimen valtionosuusrahoitukseen sisältyvät myös  esi- ja perusopetuksen oppilaskohtaisesti rahoitettavat lisät (mm.  vammais-, lisä- ja aineopetus) sekä muu opetus- ja kulttuuritoimen valtionosuusrahoitus, esimerkiksi valtionosuus aamu- ja iltapäivätoimintaan, liikuntaan, nuorisotyöhön,  museoille, teattereille ja orkestereille. Laskurin opetus- ja kulttuuritoimen valtionosuuteen liittyvät osat on merkitty </a:t>
          </a:r>
          <a:r>
            <a:rPr lang="en-US" cap="none" sz="1200" b="1" i="0" u="none" baseline="0">
              <a:solidFill>
                <a:srgbClr val="0066CC"/>
              </a:solidFill>
              <a:latin typeface="Calibri"/>
              <a:ea typeface="Calibri"/>
              <a:cs typeface="Calibri"/>
            </a:rPr>
            <a:t>sinisellä </a:t>
          </a:r>
          <a:r>
            <a:rPr lang="en-US" cap="none" sz="1200" b="0" i="0" u="none" baseline="0">
              <a:solidFill>
                <a:srgbClr val="000000"/>
              </a:solidFill>
              <a:latin typeface="Calibri"/>
              <a:ea typeface="Calibri"/>
              <a:cs typeface="Calibri"/>
            </a:rPr>
            <a:t>taulukonvalitsimella. Opetus- ja kulttuuriministeriön erikseen päättämät avustukset ja lisät eivät sisälly laskuriin. Näitä ovat esimerkiksi maakunta- ja keskuskirjastolisät ja erillisavustukset.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8</xdr:row>
      <xdr:rowOff>133350</xdr:rowOff>
    </xdr:from>
    <xdr:ext cx="5743575" cy="1743075"/>
    <xdr:sp>
      <xdr:nvSpPr>
        <xdr:cNvPr id="1" name="Tekstiruutu 1"/>
        <xdr:cNvSpPr txBox="1">
          <a:spLocks noChangeArrowheads="1"/>
        </xdr:cNvSpPr>
      </xdr:nvSpPr>
      <xdr:spPr>
        <a:xfrm>
          <a:off x="66675" y="1428750"/>
          <a:ext cx="5743575" cy="1743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600075</xdr:colOff>
      <xdr:row>3</xdr:row>
      <xdr:rowOff>47625</xdr:rowOff>
    </xdr:from>
    <xdr:ext cx="5124450" cy="2647950"/>
    <xdr:sp>
      <xdr:nvSpPr>
        <xdr:cNvPr id="1" name="Suorakulmio 1"/>
        <xdr:cNvSpPr>
          <a:spLocks/>
        </xdr:cNvSpPr>
      </xdr:nvSpPr>
      <xdr:spPr>
        <a:xfrm>
          <a:off x="1323975" y="638175"/>
          <a:ext cx="5124450" cy="2647950"/>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447675</xdr:colOff>
      <xdr:row>4</xdr:row>
      <xdr:rowOff>95250</xdr:rowOff>
    </xdr:from>
    <xdr:ext cx="5124450" cy="2667000"/>
    <xdr:sp>
      <xdr:nvSpPr>
        <xdr:cNvPr id="1" name="Suorakulmio 1"/>
        <xdr:cNvSpPr>
          <a:spLocks/>
        </xdr:cNvSpPr>
      </xdr:nvSpPr>
      <xdr:spPr>
        <a:xfrm>
          <a:off x="1247775" y="866775"/>
          <a:ext cx="5124450" cy="2667000"/>
        </a:xfrm>
        <a:prstGeom prst="rect">
          <a:avLst/>
        </a:prstGeom>
        <a:noFill/>
        <a:ln w="9525" cmpd="sng">
          <a:noFill/>
        </a:ln>
      </xdr:spPr>
      <xdr:txBody>
        <a:bodyPr vertOverflow="clip" wrap="square">
          <a:spAutoFit/>
        </a:bodyPr>
        <a:p>
          <a:pPr algn="ctr">
            <a:defRPr/>
          </a:pPr>
          <a:r>
            <a:rPr lang="en-US" cap="none" sz="5400" b="1" i="0" u="none" baseline="0">
              <a:solidFill>
                <a:srgbClr val="FFFFFF"/>
              </a:solidFill>
            </a:rPr>
            <a:t>HUOM!
</a:t>
          </a:r>
          <a:r>
            <a:rPr lang="en-US" cap="none" sz="5400" b="1" i="0" u="none" baseline="0">
              <a:solidFill>
                <a:srgbClr val="FFFFFF"/>
              </a:solidFill>
            </a:rPr>
            <a:t>TÄTÄ</a:t>
          </a:r>
          <a:r>
            <a:rPr lang="en-US" cap="none" sz="5400" b="1" i="0" u="none" baseline="0">
              <a:solidFill>
                <a:srgbClr val="FFFFFF"/>
              </a:solidFill>
            </a:rPr>
            <a:t> VÄLILEHTEÄ
</a:t>
          </a:r>
          <a:r>
            <a:rPr lang="en-US" cap="none" sz="5400" b="1" i="0" u="none" baseline="0">
              <a:solidFill>
                <a:srgbClr val="FFFFFF"/>
              </a:solidFill>
            </a:rPr>
            <a:t>EI OLE PÄIVITETTY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s://vos.oph.fi/cgi-bin/tiedot1r.cgi?tnimi=vos/v18/v06yt7s18.lis" TargetMode="External" /><Relationship Id="rId2" Type="http://schemas.openxmlformats.org/officeDocument/2006/relationships/hyperlink" Target="http://www02.oph.fi/asiakkaat/rahoitus/rahjulk18/04_LUKIOKOULUTUS.pdf" TargetMode="External" /><Relationship Id="rId3" Type="http://schemas.openxmlformats.org/officeDocument/2006/relationships/hyperlink" Target="https://vos.oph.fi/rap/vos/v18/v06yk6s18.html" TargetMode="External" /><Relationship Id="rId4" Type="http://schemas.openxmlformats.org/officeDocument/2006/relationships/drawing" Target="../drawings/drawing4.x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P298"/>
  <sheetViews>
    <sheetView zoomScalePageLayoutView="0" workbookViewId="0" topLeftCell="BI1">
      <pane ySplit="1" topLeftCell="A2" activePane="bottomLeft" state="frozen"/>
      <selection pane="topLeft" activeCell="A1" sqref="A1"/>
      <selection pane="bottomLeft" activeCell="A2" sqref="A2:IV296"/>
    </sheetView>
  </sheetViews>
  <sheetFormatPr defaultColWidth="6.00390625" defaultRowHeight="12.75"/>
  <cols>
    <col min="1" max="1" width="7.00390625" style="175" bestFit="1" customWidth="1"/>
    <col min="2" max="2" width="13.421875" style="175" bestFit="1" customWidth="1"/>
    <col min="3" max="3" width="7.8515625" style="175" bestFit="1" customWidth="1"/>
    <col min="4" max="4" width="11.8515625" style="175" bestFit="1" customWidth="1"/>
    <col min="5" max="6" width="10.8515625" style="175" bestFit="1" customWidth="1"/>
    <col min="7" max="7" width="11.8515625" style="175" bestFit="1" customWidth="1"/>
    <col min="8" max="8" width="7.8515625" style="175" bestFit="1" customWidth="1"/>
    <col min="9" max="9" width="11.8515625" style="175" bestFit="1" customWidth="1"/>
    <col min="10" max="10" width="10.8515625" style="175" bestFit="1" customWidth="1"/>
    <col min="11" max="11" width="10.57421875" style="175" bestFit="1" customWidth="1"/>
    <col min="12" max="13" width="11.28125" style="175" bestFit="1" customWidth="1"/>
    <col min="14" max="14" width="10.8515625" style="175" bestFit="1" customWidth="1"/>
    <col min="15" max="16" width="11.28125" style="175" bestFit="1" customWidth="1"/>
    <col min="17" max="28" width="7.8515625" style="175" bestFit="1" customWidth="1"/>
    <col min="29" max="29" width="8.140625" style="175" bestFit="1" customWidth="1"/>
    <col min="30" max="30" width="7.8515625" style="175" bestFit="1" customWidth="1"/>
    <col min="31" max="31" width="7.8515625" style="175" customWidth="1"/>
    <col min="32" max="35" width="7.7109375" style="175" customWidth="1"/>
    <col min="36" max="37" width="7.8515625" style="175" bestFit="1" customWidth="1"/>
    <col min="38" max="38" width="10.57421875" style="175" bestFit="1" customWidth="1"/>
    <col min="39" max="39" width="7.8515625" style="175" bestFit="1" customWidth="1"/>
    <col min="40" max="41" width="10.57421875" style="175" bestFit="1" customWidth="1"/>
    <col min="42" max="44" width="7.8515625" style="175" bestFit="1" customWidth="1"/>
    <col min="45" max="45" width="8.28125" style="175" bestFit="1" customWidth="1"/>
    <col min="46" max="46" width="8.140625" style="175" customWidth="1"/>
    <col min="47" max="47" width="8.28125" style="175" bestFit="1" customWidth="1"/>
    <col min="48" max="49" width="10.57421875" style="175" bestFit="1" customWidth="1"/>
    <col min="50" max="51" width="8.28125" style="175" bestFit="1" customWidth="1"/>
    <col min="52" max="54" width="10.57421875" style="175" bestFit="1" customWidth="1"/>
    <col min="55" max="56" width="7.8515625" style="175" bestFit="1" customWidth="1"/>
    <col min="57" max="58" width="10.57421875" style="175" bestFit="1" customWidth="1"/>
    <col min="59" max="60" width="7.8515625" style="175" bestFit="1" customWidth="1"/>
    <col min="61" max="64" width="9.57421875" style="175" bestFit="1" customWidth="1"/>
    <col min="65" max="65" width="10.421875" style="175" bestFit="1" customWidth="1"/>
    <col min="66" max="66" width="8.57421875" style="175" bestFit="1" customWidth="1"/>
    <col min="67" max="67" width="8.140625" style="175" bestFit="1" customWidth="1"/>
    <col min="68" max="69" width="7.8515625" style="175" customWidth="1"/>
    <col min="70" max="70" width="11.28125" style="175" bestFit="1" customWidth="1"/>
    <col min="71" max="72" width="8.8515625" style="175" bestFit="1" customWidth="1"/>
    <col min="73" max="73" width="10.57421875" style="175" bestFit="1" customWidth="1"/>
    <col min="74" max="76" width="11.28125" style="175" bestFit="1" customWidth="1"/>
    <col min="77" max="80" width="11.140625" style="175" customWidth="1"/>
    <col min="81" max="81" width="8.140625" style="175" bestFit="1" customWidth="1"/>
    <col min="82" max="82" width="11.28125" style="175" bestFit="1" customWidth="1"/>
    <col min="83" max="83" width="11.28125" style="175" customWidth="1"/>
    <col min="84" max="85" width="11.28125" style="175" bestFit="1" customWidth="1"/>
    <col min="86" max="86" width="9.28125" style="175" customWidth="1"/>
    <col min="87" max="87" width="10.7109375" style="175" customWidth="1"/>
    <col min="88" max="88" width="8.57421875" style="175" bestFit="1" customWidth="1"/>
    <col min="89" max="91" width="8.57421875" style="175" customWidth="1"/>
    <col min="92" max="92" width="8.8515625" style="175" customWidth="1"/>
    <col min="93" max="93" width="10.28125" style="175" bestFit="1" customWidth="1"/>
    <col min="94" max="94" width="9.8515625" style="175" bestFit="1" customWidth="1"/>
    <col min="95" max="16384" width="6.00390625" style="175" customWidth="1"/>
  </cols>
  <sheetData>
    <row r="1" spans="1:94" ht="9.75">
      <c r="A1" s="175" t="s">
        <v>596</v>
      </c>
      <c r="B1" s="175" t="s">
        <v>597</v>
      </c>
      <c r="C1" s="175" t="s">
        <v>421</v>
      </c>
      <c r="D1" s="175" t="s">
        <v>422</v>
      </c>
      <c r="E1" s="175" t="s">
        <v>423</v>
      </c>
      <c r="F1" s="175" t="s">
        <v>424</v>
      </c>
      <c r="G1" s="175" t="s">
        <v>425</v>
      </c>
      <c r="H1" s="175" t="s">
        <v>426</v>
      </c>
      <c r="I1" s="175" t="s">
        <v>427</v>
      </c>
      <c r="J1" s="175" t="s">
        <v>428</v>
      </c>
      <c r="K1" s="175" t="s">
        <v>429</v>
      </c>
      <c r="L1" s="175" t="s">
        <v>430</v>
      </c>
      <c r="M1" s="175" t="s">
        <v>431</v>
      </c>
      <c r="N1" s="175" t="s">
        <v>432</v>
      </c>
      <c r="O1" s="175" t="s">
        <v>433</v>
      </c>
      <c r="P1" s="175" t="s">
        <v>434</v>
      </c>
      <c r="Q1" s="175" t="s">
        <v>435</v>
      </c>
      <c r="R1" s="175" t="s">
        <v>436</v>
      </c>
      <c r="S1" s="175" t="s">
        <v>437</v>
      </c>
      <c r="T1" s="175" t="s">
        <v>438</v>
      </c>
      <c r="U1" s="175" t="s">
        <v>439</v>
      </c>
      <c r="V1" s="175" t="s">
        <v>440</v>
      </c>
      <c r="W1" s="175" t="s">
        <v>441</v>
      </c>
      <c r="X1" s="175" t="s">
        <v>442</v>
      </c>
      <c r="Y1" s="175" t="s">
        <v>443</v>
      </c>
      <c r="Z1" s="175" t="s">
        <v>444</v>
      </c>
      <c r="AA1" s="175" t="s">
        <v>445</v>
      </c>
      <c r="AB1" s="175" t="s">
        <v>446</v>
      </c>
      <c r="AC1" s="175" t="s">
        <v>447</v>
      </c>
      <c r="AD1" s="175" t="s">
        <v>448</v>
      </c>
      <c r="AE1" s="175" t="s">
        <v>583</v>
      </c>
      <c r="AF1" s="175" t="s">
        <v>495</v>
      </c>
      <c r="AG1" s="175" t="s">
        <v>561</v>
      </c>
      <c r="AH1" s="175" t="s">
        <v>562</v>
      </c>
      <c r="AI1" s="175" t="s">
        <v>563</v>
      </c>
      <c r="AJ1" s="175" t="s">
        <v>449</v>
      </c>
      <c r="AK1" s="175" t="s">
        <v>450</v>
      </c>
      <c r="AL1" s="175" t="s">
        <v>451</v>
      </c>
      <c r="AM1" s="175" t="s">
        <v>452</v>
      </c>
      <c r="AN1" s="175" t="s">
        <v>453</v>
      </c>
      <c r="AO1" s="175" t="s">
        <v>454</v>
      </c>
      <c r="AP1" s="175" t="s">
        <v>455</v>
      </c>
      <c r="AQ1" s="175" t="s">
        <v>456</v>
      </c>
      <c r="AR1" s="175" t="s">
        <v>457</v>
      </c>
      <c r="AS1" s="175" t="s">
        <v>458</v>
      </c>
      <c r="AT1" s="175" t="s">
        <v>588</v>
      </c>
      <c r="AU1" s="175" t="s">
        <v>459</v>
      </c>
      <c r="AV1" s="175" t="s">
        <v>460</v>
      </c>
      <c r="AW1" s="175" t="s">
        <v>461</v>
      </c>
      <c r="AX1" s="175" t="s">
        <v>462</v>
      </c>
      <c r="AY1" s="175" t="s">
        <v>463</v>
      </c>
      <c r="AZ1" s="175" t="s">
        <v>464</v>
      </c>
      <c r="BA1" s="175" t="s">
        <v>465</v>
      </c>
      <c r="BB1" s="175" t="s">
        <v>466</v>
      </c>
      <c r="BC1" s="175" t="s">
        <v>467</v>
      </c>
      <c r="BD1" s="175" t="s">
        <v>468</v>
      </c>
      <c r="BE1" s="175" t="s">
        <v>469</v>
      </c>
      <c r="BF1" s="175" t="s">
        <v>470</v>
      </c>
      <c r="BG1" s="175" t="s">
        <v>471</v>
      </c>
      <c r="BH1" s="175" t="s">
        <v>472</v>
      </c>
      <c r="BI1" s="175" t="s">
        <v>474</v>
      </c>
      <c r="BJ1" s="175" t="s">
        <v>475</v>
      </c>
      <c r="BK1" s="175" t="s">
        <v>476</v>
      </c>
      <c r="BL1" s="175" t="s">
        <v>477</v>
      </c>
      <c r="BM1" s="175" t="s">
        <v>478</v>
      </c>
      <c r="BN1" s="175" t="s">
        <v>479</v>
      </c>
      <c r="BO1" s="175" t="s">
        <v>480</v>
      </c>
      <c r="BP1" s="175" t="s">
        <v>590</v>
      </c>
      <c r="BQ1" s="175" t="s">
        <v>592</v>
      </c>
      <c r="BR1" s="175" t="s">
        <v>481</v>
      </c>
      <c r="BS1" s="175" t="s">
        <v>482</v>
      </c>
      <c r="BT1" s="175" t="s">
        <v>483</v>
      </c>
      <c r="BU1" s="175" t="s">
        <v>484</v>
      </c>
      <c r="BV1" s="175" t="s">
        <v>485</v>
      </c>
      <c r="BW1" s="175" t="s">
        <v>486</v>
      </c>
      <c r="BX1" s="175" t="s">
        <v>487</v>
      </c>
      <c r="BY1" s="175" t="s">
        <v>577</v>
      </c>
      <c r="BZ1" s="175" t="s">
        <v>594</v>
      </c>
      <c r="CA1" s="175" t="s">
        <v>610</v>
      </c>
      <c r="CB1" s="175" t="s">
        <v>671</v>
      </c>
      <c r="CC1" s="175" t="s">
        <v>488</v>
      </c>
      <c r="CD1" s="175" t="s">
        <v>489</v>
      </c>
      <c r="CE1" s="175" t="s">
        <v>671</v>
      </c>
      <c r="CF1" s="175" t="s">
        <v>496</v>
      </c>
      <c r="CG1" s="175" t="s">
        <v>497</v>
      </c>
      <c r="CH1" s="175" t="s">
        <v>473</v>
      </c>
      <c r="CI1" s="175" t="s">
        <v>490</v>
      </c>
      <c r="CJ1" s="175" t="s">
        <v>560</v>
      </c>
      <c r="CK1" s="175" t="s">
        <v>678</v>
      </c>
      <c r="CL1" s="175" t="s">
        <v>679</v>
      </c>
      <c r="CM1" s="175" t="s">
        <v>569</v>
      </c>
      <c r="CN1" s="175" t="s">
        <v>600</v>
      </c>
      <c r="CO1" s="175" t="s">
        <v>680</v>
      </c>
      <c r="CP1" s="175" t="s">
        <v>598</v>
      </c>
    </row>
    <row r="2" spans="1:94" ht="9.75">
      <c r="A2" s="175">
        <v>20</v>
      </c>
      <c r="B2" s="175" t="s">
        <v>59</v>
      </c>
      <c r="C2" s="207">
        <v>16769</v>
      </c>
      <c r="D2" s="207">
        <v>58890501.269999996</v>
      </c>
      <c r="E2" s="207">
        <v>17900610.569068395</v>
      </c>
      <c r="F2" s="207">
        <v>2549222.8587157256</v>
      </c>
      <c r="G2" s="207">
        <v>79340334.69778411</v>
      </c>
      <c r="H2" s="207">
        <v>3524.51</v>
      </c>
      <c r="I2" s="207">
        <v>59102508.190000005</v>
      </c>
      <c r="J2" s="207">
        <v>20237826.507784106</v>
      </c>
      <c r="K2" s="207">
        <v>288246.30592021794</v>
      </c>
      <c r="L2" s="207">
        <v>3961652.8705285504</v>
      </c>
      <c r="M2" s="207">
        <v>0</v>
      </c>
      <c r="N2" s="207">
        <v>24487725.684232872</v>
      </c>
      <c r="O2" s="207">
        <v>8616545.241334664</v>
      </c>
      <c r="P2" s="207">
        <v>33104270.925567538</v>
      </c>
      <c r="Q2" s="207">
        <v>1043</v>
      </c>
      <c r="R2" s="207">
        <v>205</v>
      </c>
      <c r="S2" s="207">
        <v>1338</v>
      </c>
      <c r="T2" s="207">
        <v>640</v>
      </c>
      <c r="U2" s="207">
        <v>558</v>
      </c>
      <c r="V2" s="207">
        <v>9257</v>
      </c>
      <c r="W2" s="207">
        <v>2182</v>
      </c>
      <c r="X2" s="207">
        <v>1048</v>
      </c>
      <c r="Y2" s="207">
        <v>498</v>
      </c>
      <c r="Z2" s="207">
        <v>26</v>
      </c>
      <c r="AA2" s="207">
        <v>0</v>
      </c>
      <c r="AB2" s="207">
        <v>16404</v>
      </c>
      <c r="AC2" s="207">
        <v>339</v>
      </c>
      <c r="AD2" s="207">
        <v>3728</v>
      </c>
      <c r="AE2" s="207">
        <v>0.9418656686394621</v>
      </c>
      <c r="AF2" s="207">
        <v>17900610.569068395</v>
      </c>
      <c r="AG2" s="207">
        <v>22905602.58896629</v>
      </c>
      <c r="AH2" s="207">
        <v>4910286.637501654</v>
      </c>
      <c r="AI2" s="207">
        <v>2206874.315614207</v>
      </c>
      <c r="AJ2" s="207">
        <v>893</v>
      </c>
      <c r="AK2" s="207">
        <v>7914</v>
      </c>
      <c r="AL2" s="207">
        <v>0.9751685337138247</v>
      </c>
      <c r="AM2" s="207">
        <v>339</v>
      </c>
      <c r="AN2" s="207">
        <v>0.020215874530383447</v>
      </c>
      <c r="AO2" s="207">
        <v>0.015275163067932855</v>
      </c>
      <c r="AP2" s="207">
        <v>0</v>
      </c>
      <c r="AQ2" s="207">
        <v>26</v>
      </c>
      <c r="AR2" s="207">
        <v>0</v>
      </c>
      <c r="AS2" s="207">
        <v>0</v>
      </c>
      <c r="AT2" s="207">
        <v>0</v>
      </c>
      <c r="AU2" s="207">
        <v>293.14</v>
      </c>
      <c r="AV2" s="207">
        <v>57.204748584294194</v>
      </c>
      <c r="AW2" s="207">
        <v>0.31703367935923893</v>
      </c>
      <c r="AX2" s="207">
        <v>697</v>
      </c>
      <c r="AY2" s="207">
        <v>5582</v>
      </c>
      <c r="AZ2" s="207">
        <v>0.1248656395557148</v>
      </c>
      <c r="BA2" s="207">
        <v>0.06368180347148031</v>
      </c>
      <c r="BB2" s="207">
        <v>0</v>
      </c>
      <c r="BC2" s="207">
        <v>4512</v>
      </c>
      <c r="BD2" s="207">
        <v>6657</v>
      </c>
      <c r="BE2" s="207">
        <v>0.6777827850383056</v>
      </c>
      <c r="BF2" s="207">
        <v>0.2688759024472125</v>
      </c>
      <c r="BG2" s="207">
        <v>0</v>
      </c>
      <c r="BH2" s="207">
        <v>0</v>
      </c>
      <c r="BI2" s="207">
        <v>0</v>
      </c>
      <c r="BJ2" s="207">
        <v>-4024.56</v>
      </c>
      <c r="BK2" s="207">
        <v>-68752.9</v>
      </c>
      <c r="BL2" s="207">
        <v>-4695.320000000001</v>
      </c>
      <c r="BM2" s="207">
        <v>-6539.91</v>
      </c>
      <c r="BN2" s="207">
        <v>-335.38</v>
      </c>
      <c r="BO2" s="207">
        <v>140004</v>
      </c>
      <c r="BP2" s="207">
        <v>-868874.640613653</v>
      </c>
      <c r="BQ2" s="207">
        <v>-1520780.6099999999</v>
      </c>
      <c r="BR2" s="207">
        <v>-115745.45612722076</v>
      </c>
      <c r="BS2" s="207">
        <v>1334279</v>
      </c>
      <c r="BT2" s="207">
        <v>410543</v>
      </c>
      <c r="BU2" s="207">
        <v>897394.9424826249</v>
      </c>
      <c r="BV2" s="207">
        <v>27428.68789498369</v>
      </c>
      <c r="BW2" s="207">
        <v>125948.33979683967</v>
      </c>
      <c r="BX2" s="207">
        <v>413526.2233831386</v>
      </c>
      <c r="BY2" s="207">
        <v>833777.015607583</v>
      </c>
      <c r="BZ2" s="207">
        <v>1346679.5531167898</v>
      </c>
      <c r="CA2" s="207">
        <v>355892.2472376277</v>
      </c>
      <c r="CB2" s="207">
        <v>697081.5574756723</v>
      </c>
      <c r="CC2" s="207">
        <v>1509.21</v>
      </c>
      <c r="CD2" s="207">
        <v>149281.52027416526</v>
      </c>
      <c r="CE2" s="207">
        <v>724756.1799999999</v>
      </c>
      <c r="CF2" s="207">
        <v>7342356.021142203</v>
      </c>
      <c r="CG2" s="207">
        <v>3961652.8705285504</v>
      </c>
      <c r="CH2" s="207">
        <v>0</v>
      </c>
      <c r="CI2" s="207">
        <v>8616545.241334664</v>
      </c>
      <c r="CJ2" s="207">
        <v>-2655165</v>
      </c>
      <c r="CK2" s="207">
        <v>0</v>
      </c>
      <c r="CL2" s="207">
        <v>0</v>
      </c>
      <c r="CM2" s="207">
        <v>-922677.3653200003</v>
      </c>
      <c r="CN2" s="207">
        <v>30449105.925567538</v>
      </c>
      <c r="CO2" s="207">
        <v>29526428.560247537</v>
      </c>
      <c r="CP2" s="207">
        <v>16923</v>
      </c>
    </row>
    <row r="3" spans="1:94" ht="9.75">
      <c r="A3" s="175">
        <v>5</v>
      </c>
      <c r="B3" s="175" t="s">
        <v>60</v>
      </c>
      <c r="C3" s="207">
        <v>9831</v>
      </c>
      <c r="D3" s="207">
        <v>37379594.9</v>
      </c>
      <c r="E3" s="207">
        <v>15475104.413606359</v>
      </c>
      <c r="F3" s="207">
        <v>1974339.9068397018</v>
      </c>
      <c r="G3" s="207">
        <v>54829039.22044606</v>
      </c>
      <c r="H3" s="207">
        <v>3524.51</v>
      </c>
      <c r="I3" s="207">
        <v>34649457.81</v>
      </c>
      <c r="J3" s="207">
        <v>20179581.410446055</v>
      </c>
      <c r="K3" s="207">
        <v>351225.5004009403</v>
      </c>
      <c r="L3" s="207">
        <v>3649203.752970079</v>
      </c>
      <c r="M3" s="207">
        <v>0</v>
      </c>
      <c r="N3" s="207">
        <v>24180010.663817078</v>
      </c>
      <c r="O3" s="207">
        <v>9538574.777475446</v>
      </c>
      <c r="P3" s="207">
        <v>33718585.441292524</v>
      </c>
      <c r="Q3" s="207">
        <v>608</v>
      </c>
      <c r="R3" s="207">
        <v>121</v>
      </c>
      <c r="S3" s="207">
        <v>762</v>
      </c>
      <c r="T3" s="207">
        <v>366</v>
      </c>
      <c r="U3" s="207">
        <v>410</v>
      </c>
      <c r="V3" s="207">
        <v>4950</v>
      </c>
      <c r="W3" s="207">
        <v>1430</v>
      </c>
      <c r="X3" s="207">
        <v>781</v>
      </c>
      <c r="Y3" s="207">
        <v>403</v>
      </c>
      <c r="Z3" s="207">
        <v>11</v>
      </c>
      <c r="AA3" s="207">
        <v>0</v>
      </c>
      <c r="AB3" s="207">
        <v>9610</v>
      </c>
      <c r="AC3" s="207">
        <v>210</v>
      </c>
      <c r="AD3" s="207">
        <v>2614</v>
      </c>
      <c r="AE3" s="207">
        <v>1.3888782570734561</v>
      </c>
      <c r="AF3" s="207">
        <v>15475104.413606359</v>
      </c>
      <c r="AG3" s="207">
        <v>18810590.77463373</v>
      </c>
      <c r="AH3" s="207">
        <v>5528087.300814083</v>
      </c>
      <c r="AI3" s="207">
        <v>1840551.048649906</v>
      </c>
      <c r="AJ3" s="207">
        <v>398</v>
      </c>
      <c r="AK3" s="207">
        <v>4077</v>
      </c>
      <c r="AL3" s="207">
        <v>0.8436583842698988</v>
      </c>
      <c r="AM3" s="207">
        <v>210</v>
      </c>
      <c r="AN3" s="207">
        <v>0.021361000915471468</v>
      </c>
      <c r="AO3" s="207">
        <v>0.016420289453020875</v>
      </c>
      <c r="AP3" s="207">
        <v>0</v>
      </c>
      <c r="AQ3" s="207">
        <v>11</v>
      </c>
      <c r="AR3" s="207">
        <v>0</v>
      </c>
      <c r="AS3" s="207">
        <v>0</v>
      </c>
      <c r="AT3" s="207">
        <v>0</v>
      </c>
      <c r="AU3" s="207">
        <v>1008.82</v>
      </c>
      <c r="AV3" s="207">
        <v>9.745048670724213</v>
      </c>
      <c r="AW3" s="207">
        <v>1.8610304097281865</v>
      </c>
      <c r="AX3" s="207">
        <v>311</v>
      </c>
      <c r="AY3" s="207">
        <v>2544</v>
      </c>
      <c r="AZ3" s="207">
        <v>0.12224842767295598</v>
      </c>
      <c r="BA3" s="207">
        <v>0.06106459158872148</v>
      </c>
      <c r="BB3" s="207">
        <v>0</v>
      </c>
      <c r="BC3" s="207">
        <v>3330</v>
      </c>
      <c r="BD3" s="207">
        <v>3441</v>
      </c>
      <c r="BE3" s="207">
        <v>0.967741935483871</v>
      </c>
      <c r="BF3" s="207">
        <v>0.5588350528927779</v>
      </c>
      <c r="BG3" s="207">
        <v>0</v>
      </c>
      <c r="BH3" s="207">
        <v>0</v>
      </c>
      <c r="BI3" s="207">
        <v>0</v>
      </c>
      <c r="BJ3" s="207">
        <v>-2359.44</v>
      </c>
      <c r="BK3" s="207">
        <v>-40307.1</v>
      </c>
      <c r="BL3" s="207">
        <v>-2752.6800000000003</v>
      </c>
      <c r="BM3" s="207">
        <v>-3834.09</v>
      </c>
      <c r="BN3" s="207">
        <v>-196.62</v>
      </c>
      <c r="BO3" s="207">
        <v>-188872</v>
      </c>
      <c r="BP3" s="207">
        <v>-198860.63068338233</v>
      </c>
      <c r="BQ3" s="207">
        <v>-891573.39</v>
      </c>
      <c r="BR3" s="207">
        <v>191146.63372095674</v>
      </c>
      <c r="BS3" s="207">
        <v>982443</v>
      </c>
      <c r="BT3" s="207">
        <v>316760</v>
      </c>
      <c r="BU3" s="207">
        <v>854672.9711615616</v>
      </c>
      <c r="BV3" s="207">
        <v>45846.99735082741</v>
      </c>
      <c r="BW3" s="207">
        <v>104017.12567895393</v>
      </c>
      <c r="BX3" s="207">
        <v>405909.5598663371</v>
      </c>
      <c r="BY3" s="207">
        <v>595879.924617515</v>
      </c>
      <c r="BZ3" s="207">
        <v>855777.1993154305</v>
      </c>
      <c r="CA3" s="207">
        <v>259567.6986035869</v>
      </c>
      <c r="CB3" s="207">
        <v>482826.7417279208</v>
      </c>
      <c r="CC3" s="207">
        <v>884.79</v>
      </c>
      <c r="CD3" s="207">
        <v>-11106.588389629876</v>
      </c>
      <c r="CE3" s="207">
        <v>424895.82</v>
      </c>
      <c r="CF3" s="207">
        <v>5320649.873653461</v>
      </c>
      <c r="CG3" s="207">
        <v>3649203.752970079</v>
      </c>
      <c r="CH3" s="207">
        <v>0</v>
      </c>
      <c r="CI3" s="207">
        <v>9538574.777475446</v>
      </c>
      <c r="CJ3" s="207">
        <v>1112611</v>
      </c>
      <c r="CK3" s="207">
        <v>0</v>
      </c>
      <c r="CL3" s="207">
        <v>0</v>
      </c>
      <c r="CM3" s="207">
        <v>2413616.1673</v>
      </c>
      <c r="CN3" s="207">
        <v>34831196.441292524</v>
      </c>
      <c r="CO3" s="207">
        <v>37244812.608592525</v>
      </c>
      <c r="CP3" s="207">
        <v>9899</v>
      </c>
    </row>
    <row r="4" spans="1:94" ht="9.75">
      <c r="A4" s="175">
        <v>9</v>
      </c>
      <c r="B4" s="175" t="s">
        <v>61</v>
      </c>
      <c r="C4" s="207">
        <v>2610</v>
      </c>
      <c r="D4" s="207">
        <v>9998481.51</v>
      </c>
      <c r="E4" s="207">
        <v>4406070.485292507</v>
      </c>
      <c r="F4" s="207">
        <v>443652.1788089346</v>
      </c>
      <c r="G4" s="207">
        <v>14848204.174101442</v>
      </c>
      <c r="H4" s="207">
        <v>3524.51</v>
      </c>
      <c r="I4" s="207">
        <v>9198971.100000001</v>
      </c>
      <c r="J4" s="207">
        <v>5649233.074101441</v>
      </c>
      <c r="K4" s="207">
        <v>57935.451925555644</v>
      </c>
      <c r="L4" s="207">
        <v>970734.9832438971</v>
      </c>
      <c r="M4" s="207">
        <v>0</v>
      </c>
      <c r="N4" s="207">
        <v>6677903.509270893</v>
      </c>
      <c r="O4" s="207">
        <v>2750568.2551401574</v>
      </c>
      <c r="P4" s="207">
        <v>9428471.76441105</v>
      </c>
      <c r="Q4" s="207">
        <v>185</v>
      </c>
      <c r="R4" s="207">
        <v>33</v>
      </c>
      <c r="S4" s="207">
        <v>219</v>
      </c>
      <c r="T4" s="207">
        <v>106</v>
      </c>
      <c r="U4" s="207">
        <v>105</v>
      </c>
      <c r="V4" s="207">
        <v>1360</v>
      </c>
      <c r="W4" s="207">
        <v>297</v>
      </c>
      <c r="X4" s="207">
        <v>211</v>
      </c>
      <c r="Y4" s="207">
        <v>94</v>
      </c>
      <c r="Z4" s="207">
        <v>6</v>
      </c>
      <c r="AA4" s="207">
        <v>0</v>
      </c>
      <c r="AB4" s="207">
        <v>2583</v>
      </c>
      <c r="AC4" s="207">
        <v>21</v>
      </c>
      <c r="AD4" s="207">
        <v>602</v>
      </c>
      <c r="AE4" s="207">
        <v>1.4894955850456453</v>
      </c>
      <c r="AF4" s="207">
        <v>4406070.485292507</v>
      </c>
      <c r="AG4" s="207">
        <v>4954745.7583204</v>
      </c>
      <c r="AH4" s="207">
        <v>1678374.5924952456</v>
      </c>
      <c r="AI4" s="207">
        <v>518213.40204706084</v>
      </c>
      <c r="AJ4" s="207">
        <v>102</v>
      </c>
      <c r="AK4" s="207">
        <v>1145</v>
      </c>
      <c r="AL4" s="207">
        <v>0.7698727562093755</v>
      </c>
      <c r="AM4" s="207">
        <v>21</v>
      </c>
      <c r="AN4" s="207">
        <v>0.008045977011494253</v>
      </c>
      <c r="AO4" s="207">
        <v>0.0031052655490436598</v>
      </c>
      <c r="AP4" s="207">
        <v>0</v>
      </c>
      <c r="AQ4" s="207">
        <v>6</v>
      </c>
      <c r="AR4" s="207">
        <v>0</v>
      </c>
      <c r="AS4" s="207">
        <v>0</v>
      </c>
      <c r="AT4" s="207">
        <v>0</v>
      </c>
      <c r="AU4" s="207">
        <v>251.41</v>
      </c>
      <c r="AV4" s="207">
        <v>10.381448629728332</v>
      </c>
      <c r="AW4" s="207">
        <v>1.746946169782626</v>
      </c>
      <c r="AX4" s="207">
        <v>93</v>
      </c>
      <c r="AY4" s="207">
        <v>683</v>
      </c>
      <c r="AZ4" s="207">
        <v>0.13616398243045388</v>
      </c>
      <c r="BA4" s="207">
        <v>0.07498014634621938</v>
      </c>
      <c r="BB4" s="207">
        <v>0</v>
      </c>
      <c r="BC4" s="207">
        <v>741</v>
      </c>
      <c r="BD4" s="207">
        <v>980</v>
      </c>
      <c r="BE4" s="207">
        <v>0.7561224489795918</v>
      </c>
      <c r="BF4" s="207">
        <v>0.3472155663884987</v>
      </c>
      <c r="BG4" s="207">
        <v>0</v>
      </c>
      <c r="BH4" s="207">
        <v>0</v>
      </c>
      <c r="BI4" s="207">
        <v>0</v>
      </c>
      <c r="BJ4" s="207">
        <v>-626.4</v>
      </c>
      <c r="BK4" s="207">
        <v>-10700.999999999998</v>
      </c>
      <c r="BL4" s="207">
        <v>-730.8000000000001</v>
      </c>
      <c r="BM4" s="207">
        <v>-1017.9000000000001</v>
      </c>
      <c r="BN4" s="207">
        <v>-52.2</v>
      </c>
      <c r="BO4" s="207">
        <v>8706</v>
      </c>
      <c r="BP4" s="207">
        <v>-46475.452309227476</v>
      </c>
      <c r="BQ4" s="207">
        <v>-236700.9</v>
      </c>
      <c r="BR4" s="207">
        <v>-17372.005542550236</v>
      </c>
      <c r="BS4" s="207">
        <v>269616</v>
      </c>
      <c r="BT4" s="207">
        <v>76861</v>
      </c>
      <c r="BU4" s="207">
        <v>208942.05469652946</v>
      </c>
      <c r="BV4" s="207">
        <v>11331.87612350449</v>
      </c>
      <c r="BW4" s="207">
        <v>20677.75817964038</v>
      </c>
      <c r="BX4" s="207">
        <v>98339.24119116721</v>
      </c>
      <c r="BY4" s="207">
        <v>155628.8025438553</v>
      </c>
      <c r="BZ4" s="207">
        <v>249305.43506665138</v>
      </c>
      <c r="CA4" s="207">
        <v>62436.342574807924</v>
      </c>
      <c r="CB4" s="207">
        <v>126039.71635671791</v>
      </c>
      <c r="CC4" s="207">
        <v>234.89999999999998</v>
      </c>
      <c r="CD4" s="207">
        <v>24611.014362801172</v>
      </c>
      <c r="CE4" s="207">
        <v>112804.2</v>
      </c>
      <c r="CF4" s="207">
        <v>1408162.3355531245</v>
      </c>
      <c r="CG4" s="207">
        <v>970734.9832438971</v>
      </c>
      <c r="CH4" s="207">
        <v>0</v>
      </c>
      <c r="CI4" s="207">
        <v>2750568.2551401574</v>
      </c>
      <c r="CJ4" s="207">
        <v>-529018</v>
      </c>
      <c r="CK4" s="207">
        <v>0</v>
      </c>
      <c r="CL4" s="207">
        <v>0</v>
      </c>
      <c r="CM4" s="207">
        <v>55441.42800000001</v>
      </c>
      <c r="CN4" s="207">
        <v>8899453.76441105</v>
      </c>
      <c r="CO4" s="207">
        <v>8954895.19241105</v>
      </c>
      <c r="CP4" s="207">
        <v>2639</v>
      </c>
    </row>
    <row r="5" spans="1:94" ht="9.75">
      <c r="A5" s="175">
        <v>10</v>
      </c>
      <c r="B5" s="175" t="s">
        <v>62</v>
      </c>
      <c r="C5" s="207">
        <v>11713</v>
      </c>
      <c r="D5" s="207">
        <v>43271311.13</v>
      </c>
      <c r="E5" s="207">
        <v>18547331.11373293</v>
      </c>
      <c r="F5" s="207">
        <v>2072613.0010261892</v>
      </c>
      <c r="G5" s="207">
        <v>63891255.24475912</v>
      </c>
      <c r="H5" s="207">
        <v>3524.51</v>
      </c>
      <c r="I5" s="207">
        <v>41282585.63</v>
      </c>
      <c r="J5" s="207">
        <v>22608669.614759117</v>
      </c>
      <c r="K5" s="207">
        <v>439024.19596567407</v>
      </c>
      <c r="L5" s="207">
        <v>4335153.152527021</v>
      </c>
      <c r="M5" s="207">
        <v>0</v>
      </c>
      <c r="N5" s="207">
        <v>27382846.963251814</v>
      </c>
      <c r="O5" s="207">
        <v>11451735.209523847</v>
      </c>
      <c r="P5" s="207">
        <v>38834582.17277566</v>
      </c>
      <c r="Q5" s="207">
        <v>723</v>
      </c>
      <c r="R5" s="207">
        <v>122</v>
      </c>
      <c r="S5" s="207">
        <v>887</v>
      </c>
      <c r="T5" s="207">
        <v>396</v>
      </c>
      <c r="U5" s="207">
        <v>442</v>
      </c>
      <c r="V5" s="207">
        <v>6025</v>
      </c>
      <c r="W5" s="207">
        <v>1683</v>
      </c>
      <c r="X5" s="207">
        <v>988</v>
      </c>
      <c r="Y5" s="207">
        <v>447</v>
      </c>
      <c r="Z5" s="207">
        <v>7</v>
      </c>
      <c r="AA5" s="207">
        <v>1</v>
      </c>
      <c r="AB5" s="207">
        <v>11536</v>
      </c>
      <c r="AC5" s="207">
        <v>169</v>
      </c>
      <c r="AD5" s="207">
        <v>3118</v>
      </c>
      <c r="AE5" s="207">
        <v>1.3971452839554992</v>
      </c>
      <c r="AF5" s="207">
        <v>18547331.11373293</v>
      </c>
      <c r="AG5" s="207">
        <v>22113821.038140744</v>
      </c>
      <c r="AH5" s="207">
        <v>6872621.22169039</v>
      </c>
      <c r="AI5" s="207">
        <v>2287286.740069786</v>
      </c>
      <c r="AJ5" s="207">
        <v>436</v>
      </c>
      <c r="AK5" s="207">
        <v>5076</v>
      </c>
      <c r="AL5" s="207">
        <v>0.742316547989857</v>
      </c>
      <c r="AM5" s="207">
        <v>169</v>
      </c>
      <c r="AN5" s="207">
        <v>0.014428412874583796</v>
      </c>
      <c r="AO5" s="207">
        <v>0.009487701412133204</v>
      </c>
      <c r="AP5" s="207">
        <v>0</v>
      </c>
      <c r="AQ5" s="207">
        <v>7</v>
      </c>
      <c r="AR5" s="207">
        <v>1</v>
      </c>
      <c r="AS5" s="207">
        <v>0</v>
      </c>
      <c r="AT5" s="207">
        <v>0</v>
      </c>
      <c r="AU5" s="207">
        <v>1087.23</v>
      </c>
      <c r="AV5" s="207">
        <v>10.77324945043827</v>
      </c>
      <c r="AW5" s="207">
        <v>1.6834133474706847</v>
      </c>
      <c r="AX5" s="207">
        <v>429</v>
      </c>
      <c r="AY5" s="207">
        <v>3171</v>
      </c>
      <c r="AZ5" s="207">
        <v>0.13528855250709557</v>
      </c>
      <c r="BA5" s="207">
        <v>0.07410471642286107</v>
      </c>
      <c r="BB5" s="207">
        <v>0</v>
      </c>
      <c r="BC5" s="207">
        <v>4355</v>
      </c>
      <c r="BD5" s="207">
        <v>4376</v>
      </c>
      <c r="BE5" s="207">
        <v>0.995201096892139</v>
      </c>
      <c r="BF5" s="207">
        <v>0.5862942143010459</v>
      </c>
      <c r="BG5" s="207">
        <v>0</v>
      </c>
      <c r="BH5" s="207">
        <v>1</v>
      </c>
      <c r="BI5" s="207">
        <v>0</v>
      </c>
      <c r="BJ5" s="207">
        <v>-2811.12</v>
      </c>
      <c r="BK5" s="207">
        <v>-48023.299999999996</v>
      </c>
      <c r="BL5" s="207">
        <v>-3279.6400000000003</v>
      </c>
      <c r="BM5" s="207">
        <v>-4568.07</v>
      </c>
      <c r="BN5" s="207">
        <v>-234.26</v>
      </c>
      <c r="BO5" s="207">
        <v>-11550</v>
      </c>
      <c r="BP5" s="207">
        <v>-168059.36781830247</v>
      </c>
      <c r="BQ5" s="207">
        <v>-1062251.97</v>
      </c>
      <c r="BR5" s="207">
        <v>-158146.872291727</v>
      </c>
      <c r="BS5" s="207">
        <v>1196258</v>
      </c>
      <c r="BT5" s="207">
        <v>389828</v>
      </c>
      <c r="BU5" s="207">
        <v>994223.9405232423</v>
      </c>
      <c r="BV5" s="207">
        <v>46805.49325746627</v>
      </c>
      <c r="BW5" s="207">
        <v>102562.06916084253</v>
      </c>
      <c r="BX5" s="207">
        <v>466334.08575838123</v>
      </c>
      <c r="BY5" s="207">
        <v>749068.4935681962</v>
      </c>
      <c r="BZ5" s="207">
        <v>1066515.1689976272</v>
      </c>
      <c r="CA5" s="207">
        <v>322351.75372613425</v>
      </c>
      <c r="CB5" s="207">
        <v>594111.2951684942</v>
      </c>
      <c r="CC5" s="207">
        <v>1054.17</v>
      </c>
      <c r="CD5" s="207">
        <v>-7948.667523332493</v>
      </c>
      <c r="CE5" s="207">
        <v>506235.86</v>
      </c>
      <c r="CF5" s="207">
        <v>6257702.790345323</v>
      </c>
      <c r="CG5" s="207">
        <v>4335153.152527021</v>
      </c>
      <c r="CH5" s="207">
        <v>0</v>
      </c>
      <c r="CI5" s="207">
        <v>11451735.209523847</v>
      </c>
      <c r="CJ5" s="207">
        <v>-762129</v>
      </c>
      <c r="CK5" s="207">
        <v>0</v>
      </c>
      <c r="CL5" s="207">
        <v>0</v>
      </c>
      <c r="CM5" s="207">
        <v>-30294.780300000013</v>
      </c>
      <c r="CN5" s="207">
        <v>38072453.17277566</v>
      </c>
      <c r="CO5" s="207">
        <v>38042158.392475665</v>
      </c>
      <c r="CP5" s="207">
        <v>11907</v>
      </c>
    </row>
    <row r="6" spans="1:94" ht="9.75">
      <c r="A6" s="175">
        <v>16</v>
      </c>
      <c r="B6" s="175" t="s">
        <v>63</v>
      </c>
      <c r="C6" s="207">
        <v>8248</v>
      </c>
      <c r="D6" s="207">
        <v>28670092.990000002</v>
      </c>
      <c r="E6" s="207">
        <v>10328980.286953565</v>
      </c>
      <c r="F6" s="207">
        <v>1814830.1520750718</v>
      </c>
      <c r="G6" s="207">
        <v>40813903.42902864</v>
      </c>
      <c r="H6" s="207">
        <v>3524.51</v>
      </c>
      <c r="I6" s="207">
        <v>29070158.48</v>
      </c>
      <c r="J6" s="207">
        <v>11743744.949028637</v>
      </c>
      <c r="K6" s="207">
        <v>183428.67956333995</v>
      </c>
      <c r="L6" s="207">
        <v>2552288.625749494</v>
      </c>
      <c r="M6" s="207">
        <v>0</v>
      </c>
      <c r="N6" s="207">
        <v>14479462.254341472</v>
      </c>
      <c r="O6" s="207">
        <v>4392450.320572726</v>
      </c>
      <c r="P6" s="207">
        <v>18871912.5749142</v>
      </c>
      <c r="Q6" s="207">
        <v>391</v>
      </c>
      <c r="R6" s="207">
        <v>75</v>
      </c>
      <c r="S6" s="207">
        <v>533</v>
      </c>
      <c r="T6" s="207">
        <v>248</v>
      </c>
      <c r="U6" s="207">
        <v>272</v>
      </c>
      <c r="V6" s="207">
        <v>4163</v>
      </c>
      <c r="W6" s="207">
        <v>1511</v>
      </c>
      <c r="X6" s="207">
        <v>766</v>
      </c>
      <c r="Y6" s="207">
        <v>289</v>
      </c>
      <c r="Z6" s="207">
        <v>17</v>
      </c>
      <c r="AA6" s="207">
        <v>4</v>
      </c>
      <c r="AB6" s="207">
        <v>8059</v>
      </c>
      <c r="AC6" s="207">
        <v>168</v>
      </c>
      <c r="AD6" s="207">
        <v>2566</v>
      </c>
      <c r="AE6" s="207">
        <v>1.1049358979937798</v>
      </c>
      <c r="AF6" s="207">
        <v>10328980.286953565</v>
      </c>
      <c r="AG6" s="207">
        <v>12209112.094625738</v>
      </c>
      <c r="AH6" s="207">
        <v>3394943.313063737</v>
      </c>
      <c r="AI6" s="207">
        <v>1098969.8008929046</v>
      </c>
      <c r="AJ6" s="207">
        <v>400</v>
      </c>
      <c r="AK6" s="207">
        <v>3516</v>
      </c>
      <c r="AL6" s="207">
        <v>0.9831853329984329</v>
      </c>
      <c r="AM6" s="207">
        <v>168</v>
      </c>
      <c r="AN6" s="207">
        <v>0.020368574199806012</v>
      </c>
      <c r="AO6" s="207">
        <v>0.01542786273735542</v>
      </c>
      <c r="AP6" s="207">
        <v>0</v>
      </c>
      <c r="AQ6" s="207">
        <v>17</v>
      </c>
      <c r="AR6" s="207">
        <v>4</v>
      </c>
      <c r="AS6" s="207">
        <v>3</v>
      </c>
      <c r="AT6" s="207">
        <v>505</v>
      </c>
      <c r="AU6" s="207">
        <v>563.3</v>
      </c>
      <c r="AV6" s="207">
        <v>14.642286525829931</v>
      </c>
      <c r="AW6" s="207">
        <v>1.2385928856470765</v>
      </c>
      <c r="AX6" s="207">
        <v>378</v>
      </c>
      <c r="AY6" s="207">
        <v>2317</v>
      </c>
      <c r="AZ6" s="207">
        <v>0.16314199395770393</v>
      </c>
      <c r="BA6" s="207">
        <v>0.10195815787346943</v>
      </c>
      <c r="BB6" s="207">
        <v>0</v>
      </c>
      <c r="BC6" s="207">
        <v>2318</v>
      </c>
      <c r="BD6" s="207">
        <v>3063</v>
      </c>
      <c r="BE6" s="207">
        <v>0.7567744041789096</v>
      </c>
      <c r="BF6" s="207">
        <v>0.34786752158781653</v>
      </c>
      <c r="BG6" s="207">
        <v>0</v>
      </c>
      <c r="BH6" s="207">
        <v>4</v>
      </c>
      <c r="BI6" s="207">
        <v>0</v>
      </c>
      <c r="BJ6" s="207">
        <v>-1979.52</v>
      </c>
      <c r="BK6" s="207">
        <v>-33816.799999999996</v>
      </c>
      <c r="BL6" s="207">
        <v>-2309.44</v>
      </c>
      <c r="BM6" s="207">
        <v>-3216.7200000000003</v>
      </c>
      <c r="BN6" s="207">
        <v>-164.96</v>
      </c>
      <c r="BO6" s="207">
        <v>198106</v>
      </c>
      <c r="BP6" s="207">
        <v>-285217.9235192569</v>
      </c>
      <c r="BQ6" s="207">
        <v>-748011.12</v>
      </c>
      <c r="BR6" s="207">
        <v>98970.00168253854</v>
      </c>
      <c r="BS6" s="207">
        <v>734044</v>
      </c>
      <c r="BT6" s="207">
        <v>234966</v>
      </c>
      <c r="BU6" s="207">
        <v>499428.03132371634</v>
      </c>
      <c r="BV6" s="207">
        <v>23164.14885330807</v>
      </c>
      <c r="BW6" s="207">
        <v>5375.026859721413</v>
      </c>
      <c r="BX6" s="207">
        <v>239081.0739268699</v>
      </c>
      <c r="BY6" s="207">
        <v>418755.6805136163</v>
      </c>
      <c r="BZ6" s="207">
        <v>701338.6127065108</v>
      </c>
      <c r="CA6" s="207">
        <v>207166.79425464023</v>
      </c>
      <c r="CB6" s="207">
        <v>358437.5608125639</v>
      </c>
      <c r="CC6" s="207">
        <v>742.3199999999999</v>
      </c>
      <c r="CD6" s="207">
        <v>-3079.3416647349222</v>
      </c>
      <c r="CE6" s="207">
        <v>356478.56</v>
      </c>
      <c r="CF6" s="207">
        <v>4072974.4692687504</v>
      </c>
      <c r="CG6" s="207">
        <v>2552288.625749494</v>
      </c>
      <c r="CH6" s="207">
        <v>0</v>
      </c>
      <c r="CI6" s="207">
        <v>4392450.320572726</v>
      </c>
      <c r="CJ6" s="207">
        <v>-462287</v>
      </c>
      <c r="CK6" s="207">
        <v>0</v>
      </c>
      <c r="CL6" s="207">
        <v>0</v>
      </c>
      <c r="CM6" s="207">
        <v>1020307.07996</v>
      </c>
      <c r="CN6" s="207">
        <v>18409625.5749142</v>
      </c>
      <c r="CO6" s="207">
        <v>19429932.6548742</v>
      </c>
      <c r="CP6" s="207">
        <v>8323</v>
      </c>
    </row>
    <row r="7" spans="1:94" ht="9.75">
      <c r="A7" s="175">
        <v>18</v>
      </c>
      <c r="B7" s="175" t="s">
        <v>64</v>
      </c>
      <c r="C7" s="207">
        <v>4990</v>
      </c>
      <c r="D7" s="207">
        <v>17572191.05</v>
      </c>
      <c r="E7" s="207">
        <v>4218478.080302932</v>
      </c>
      <c r="F7" s="207">
        <v>799747.1401438385</v>
      </c>
      <c r="G7" s="207">
        <v>22590416.27044677</v>
      </c>
      <c r="H7" s="207">
        <v>3524.51</v>
      </c>
      <c r="I7" s="207">
        <v>17587304.900000002</v>
      </c>
      <c r="J7" s="207">
        <v>5003111.370446768</v>
      </c>
      <c r="K7" s="207">
        <v>65265.54054389946</v>
      </c>
      <c r="L7" s="207">
        <v>1346297.8912595143</v>
      </c>
      <c r="M7" s="207">
        <v>0</v>
      </c>
      <c r="N7" s="207">
        <v>6414674.802250182</v>
      </c>
      <c r="O7" s="207">
        <v>1427959.6221219948</v>
      </c>
      <c r="P7" s="207">
        <v>7842634.424372178</v>
      </c>
      <c r="Q7" s="207">
        <v>368</v>
      </c>
      <c r="R7" s="207">
        <v>66</v>
      </c>
      <c r="S7" s="207">
        <v>439</v>
      </c>
      <c r="T7" s="207">
        <v>222</v>
      </c>
      <c r="U7" s="207">
        <v>188</v>
      </c>
      <c r="V7" s="207">
        <v>2778</v>
      </c>
      <c r="W7" s="207">
        <v>573</v>
      </c>
      <c r="X7" s="207">
        <v>249</v>
      </c>
      <c r="Y7" s="207">
        <v>107</v>
      </c>
      <c r="Z7" s="207">
        <v>161</v>
      </c>
      <c r="AA7" s="207">
        <v>0</v>
      </c>
      <c r="AB7" s="207">
        <v>4704</v>
      </c>
      <c r="AC7" s="207">
        <v>125</v>
      </c>
      <c r="AD7" s="207">
        <v>929</v>
      </c>
      <c r="AE7" s="207">
        <v>0.7459050344002957</v>
      </c>
      <c r="AF7" s="207">
        <v>4218478.080302932</v>
      </c>
      <c r="AG7" s="207">
        <v>5310383.209924425</v>
      </c>
      <c r="AH7" s="207">
        <v>1159019.5845205456</v>
      </c>
      <c r="AI7" s="207">
        <v>634364.6818162297</v>
      </c>
      <c r="AJ7" s="207">
        <v>181</v>
      </c>
      <c r="AK7" s="207">
        <v>2525</v>
      </c>
      <c r="AL7" s="207">
        <v>0.6195002110681888</v>
      </c>
      <c r="AM7" s="207">
        <v>125</v>
      </c>
      <c r="AN7" s="207">
        <v>0.025050100200400802</v>
      </c>
      <c r="AO7" s="207">
        <v>0.02010938873795021</v>
      </c>
      <c r="AP7" s="207">
        <v>0</v>
      </c>
      <c r="AQ7" s="207">
        <v>161</v>
      </c>
      <c r="AR7" s="207">
        <v>0</v>
      </c>
      <c r="AS7" s="207">
        <v>0</v>
      </c>
      <c r="AT7" s="207">
        <v>0</v>
      </c>
      <c r="AU7" s="207">
        <v>212.42</v>
      </c>
      <c r="AV7" s="207">
        <v>23.49119668581113</v>
      </c>
      <c r="AW7" s="207">
        <v>0.7720267367840477</v>
      </c>
      <c r="AX7" s="207">
        <v>263</v>
      </c>
      <c r="AY7" s="207">
        <v>1665</v>
      </c>
      <c r="AZ7" s="207">
        <v>0.15795795795795795</v>
      </c>
      <c r="BA7" s="207">
        <v>0.09677412187372345</v>
      </c>
      <c r="BB7" s="207">
        <v>0</v>
      </c>
      <c r="BC7" s="207">
        <v>1373</v>
      </c>
      <c r="BD7" s="207">
        <v>2238</v>
      </c>
      <c r="BE7" s="207">
        <v>0.6134941912421805</v>
      </c>
      <c r="BF7" s="207">
        <v>0.20458730865108743</v>
      </c>
      <c r="BG7" s="207">
        <v>0</v>
      </c>
      <c r="BH7" s="207">
        <v>0</v>
      </c>
      <c r="BI7" s="207">
        <v>0</v>
      </c>
      <c r="BJ7" s="207">
        <v>-1197.6</v>
      </c>
      <c r="BK7" s="207">
        <v>-20459</v>
      </c>
      <c r="BL7" s="207">
        <v>-1397.2</v>
      </c>
      <c r="BM7" s="207">
        <v>-1946.1000000000001</v>
      </c>
      <c r="BN7" s="207">
        <v>-99.8</v>
      </c>
      <c r="BO7" s="207">
        <v>4308</v>
      </c>
      <c r="BP7" s="207">
        <v>-94499.93732489084</v>
      </c>
      <c r="BQ7" s="207">
        <v>-452543.1</v>
      </c>
      <c r="BR7" s="207">
        <v>113498.53809232544</v>
      </c>
      <c r="BS7" s="207">
        <v>390010</v>
      </c>
      <c r="BT7" s="207">
        <v>130963</v>
      </c>
      <c r="BU7" s="207">
        <v>277568.86861187575</v>
      </c>
      <c r="BV7" s="207">
        <v>5685.533134850141</v>
      </c>
      <c r="BW7" s="207">
        <v>18260.159979551037</v>
      </c>
      <c r="BX7" s="207">
        <v>78444.9405121629</v>
      </c>
      <c r="BY7" s="207">
        <v>268579.92814660154</v>
      </c>
      <c r="BZ7" s="207">
        <v>394468.0167573563</v>
      </c>
      <c r="CA7" s="207">
        <v>106452.60858936342</v>
      </c>
      <c r="CB7" s="207">
        <v>194995.58547290025</v>
      </c>
      <c r="CC7" s="207">
        <v>449.09999999999997</v>
      </c>
      <c r="CD7" s="207">
        <v>-11102.15071258101</v>
      </c>
      <c r="CE7" s="207">
        <v>215667.8</v>
      </c>
      <c r="CF7" s="207">
        <v>2188249.928584405</v>
      </c>
      <c r="CG7" s="207">
        <v>1346297.8912595143</v>
      </c>
      <c r="CH7" s="207">
        <v>0</v>
      </c>
      <c r="CI7" s="207">
        <v>1427959.6221219948</v>
      </c>
      <c r="CJ7" s="207">
        <v>-219102</v>
      </c>
      <c r="CK7" s="207">
        <v>0</v>
      </c>
      <c r="CL7" s="207">
        <v>0</v>
      </c>
      <c r="CM7" s="207">
        <v>492715.89084</v>
      </c>
      <c r="CN7" s="207">
        <v>7623532.424372178</v>
      </c>
      <c r="CO7" s="207">
        <v>8116248.315212177</v>
      </c>
      <c r="CP7" s="207">
        <v>5046</v>
      </c>
    </row>
    <row r="8" spans="1:94" ht="9.75">
      <c r="A8" s="175">
        <v>19</v>
      </c>
      <c r="B8" s="175" t="s">
        <v>65</v>
      </c>
      <c r="C8" s="207">
        <v>3991</v>
      </c>
      <c r="D8" s="207">
        <v>13706394.059999999</v>
      </c>
      <c r="E8" s="207">
        <v>3607781.7502799924</v>
      </c>
      <c r="F8" s="207">
        <v>604616.3444516542</v>
      </c>
      <c r="G8" s="207">
        <v>17918792.154731646</v>
      </c>
      <c r="H8" s="207">
        <v>3524.51</v>
      </c>
      <c r="I8" s="207">
        <v>14066319.41</v>
      </c>
      <c r="J8" s="207">
        <v>3852472.744731646</v>
      </c>
      <c r="K8" s="207">
        <v>57122.719846331165</v>
      </c>
      <c r="L8" s="207">
        <v>884353.1144398723</v>
      </c>
      <c r="M8" s="207">
        <v>0</v>
      </c>
      <c r="N8" s="207">
        <v>4793948.57901785</v>
      </c>
      <c r="O8" s="207">
        <v>1844391.4977599562</v>
      </c>
      <c r="P8" s="207">
        <v>6638340.076777806</v>
      </c>
      <c r="Q8" s="207">
        <v>303</v>
      </c>
      <c r="R8" s="207">
        <v>64</v>
      </c>
      <c r="S8" s="207">
        <v>325</v>
      </c>
      <c r="T8" s="207">
        <v>158</v>
      </c>
      <c r="U8" s="207">
        <v>165</v>
      </c>
      <c r="V8" s="207">
        <v>2253</v>
      </c>
      <c r="W8" s="207">
        <v>447</v>
      </c>
      <c r="X8" s="207">
        <v>198</v>
      </c>
      <c r="Y8" s="207">
        <v>78</v>
      </c>
      <c r="Z8" s="207">
        <v>24</v>
      </c>
      <c r="AA8" s="207">
        <v>0</v>
      </c>
      <c r="AB8" s="207">
        <v>3861</v>
      </c>
      <c r="AC8" s="207">
        <v>106</v>
      </c>
      <c r="AD8" s="207">
        <v>723</v>
      </c>
      <c r="AE8" s="207">
        <v>0.7976030697832116</v>
      </c>
      <c r="AF8" s="207">
        <v>3607781.7502799924</v>
      </c>
      <c r="AG8" s="207">
        <v>4993670.589594207</v>
      </c>
      <c r="AH8" s="207">
        <v>700225.6813428358</v>
      </c>
      <c r="AI8" s="207">
        <v>589691.1126742417</v>
      </c>
      <c r="AJ8" s="207">
        <v>135</v>
      </c>
      <c r="AK8" s="207">
        <v>1962</v>
      </c>
      <c r="AL8" s="207">
        <v>0.5946467254855201</v>
      </c>
      <c r="AM8" s="207">
        <v>106</v>
      </c>
      <c r="AN8" s="207">
        <v>0.02655975945878226</v>
      </c>
      <c r="AO8" s="207">
        <v>0.02161904799633167</v>
      </c>
      <c r="AP8" s="207">
        <v>0</v>
      </c>
      <c r="AQ8" s="207">
        <v>24</v>
      </c>
      <c r="AR8" s="207">
        <v>0</v>
      </c>
      <c r="AS8" s="207">
        <v>0</v>
      </c>
      <c r="AT8" s="207">
        <v>0</v>
      </c>
      <c r="AU8" s="207">
        <v>95.01</v>
      </c>
      <c r="AV8" s="207">
        <v>42.006104620566255</v>
      </c>
      <c r="AW8" s="207">
        <v>0.4317427689217264</v>
      </c>
      <c r="AX8" s="207">
        <v>226</v>
      </c>
      <c r="AY8" s="207">
        <v>1352</v>
      </c>
      <c r="AZ8" s="207">
        <v>0.16715976331360946</v>
      </c>
      <c r="BA8" s="207">
        <v>0.10597592722937496</v>
      </c>
      <c r="BB8" s="207">
        <v>0</v>
      </c>
      <c r="BC8" s="207">
        <v>1127</v>
      </c>
      <c r="BD8" s="207">
        <v>1781</v>
      </c>
      <c r="BE8" s="207">
        <v>0.6327905670971364</v>
      </c>
      <c r="BF8" s="207">
        <v>0.22388368450604335</v>
      </c>
      <c r="BG8" s="207">
        <v>0</v>
      </c>
      <c r="BH8" s="207">
        <v>0</v>
      </c>
      <c r="BI8" s="207">
        <v>0</v>
      </c>
      <c r="BJ8" s="207">
        <v>-957.8399999999999</v>
      </c>
      <c r="BK8" s="207">
        <v>-16363.099999999999</v>
      </c>
      <c r="BL8" s="207">
        <v>-1117.48</v>
      </c>
      <c r="BM8" s="207">
        <v>-1556.49</v>
      </c>
      <c r="BN8" s="207">
        <v>-79.82000000000001</v>
      </c>
      <c r="BO8" s="207">
        <v>-66508</v>
      </c>
      <c r="BP8" s="207">
        <v>-101983.13406606432</v>
      </c>
      <c r="BQ8" s="207">
        <v>-361943.79</v>
      </c>
      <c r="BR8" s="207">
        <v>-55272.213284444064</v>
      </c>
      <c r="BS8" s="207">
        <v>304849</v>
      </c>
      <c r="BT8" s="207">
        <v>99381</v>
      </c>
      <c r="BU8" s="207">
        <v>201671.6672826829</v>
      </c>
      <c r="BV8" s="207">
        <v>3174.9392171713553</v>
      </c>
      <c r="BW8" s="207">
        <v>16950.500800257825</v>
      </c>
      <c r="BX8" s="207">
        <v>78918.645847082</v>
      </c>
      <c r="BY8" s="207">
        <v>205320.91818612782</v>
      </c>
      <c r="BZ8" s="207">
        <v>357272.2399105509</v>
      </c>
      <c r="CA8" s="207">
        <v>93136.486716834</v>
      </c>
      <c r="CB8" s="207">
        <v>166118.60393671633</v>
      </c>
      <c r="CC8" s="207">
        <v>359.19</v>
      </c>
      <c r="CD8" s="207">
        <v>6284.139892957548</v>
      </c>
      <c r="CE8" s="207">
        <v>172491.02</v>
      </c>
      <c r="CF8" s="207">
        <v>1584148.1385059366</v>
      </c>
      <c r="CG8" s="207">
        <v>884353.1144398723</v>
      </c>
      <c r="CH8" s="207">
        <v>0</v>
      </c>
      <c r="CI8" s="207">
        <v>1844391.4977599562</v>
      </c>
      <c r="CJ8" s="207">
        <v>-647325</v>
      </c>
      <c r="CK8" s="207">
        <v>0</v>
      </c>
      <c r="CL8" s="207">
        <v>0</v>
      </c>
      <c r="CM8" s="207">
        <v>-84996.98925999997</v>
      </c>
      <c r="CN8" s="207">
        <v>5991015.076777806</v>
      </c>
      <c r="CO8" s="207">
        <v>5906018.087517805</v>
      </c>
      <c r="CP8" s="207">
        <v>3984</v>
      </c>
    </row>
    <row r="9" spans="1:94" ht="9.75">
      <c r="A9" s="175">
        <v>46</v>
      </c>
      <c r="B9" s="175" t="s">
        <v>66</v>
      </c>
      <c r="C9" s="207">
        <v>1416</v>
      </c>
      <c r="D9" s="207">
        <v>5261119.74</v>
      </c>
      <c r="E9" s="207">
        <v>2285670.8555644583</v>
      </c>
      <c r="F9" s="207">
        <v>1024367.6729531802</v>
      </c>
      <c r="G9" s="207">
        <v>8571158.26851764</v>
      </c>
      <c r="H9" s="207">
        <v>3524.51</v>
      </c>
      <c r="I9" s="207">
        <v>4990706.16</v>
      </c>
      <c r="J9" s="207">
        <v>3580452.1085176393</v>
      </c>
      <c r="K9" s="207">
        <v>81233.8984182672</v>
      </c>
      <c r="L9" s="207">
        <v>726223.1468400084</v>
      </c>
      <c r="M9" s="207">
        <v>0</v>
      </c>
      <c r="N9" s="207">
        <v>4387909.1537759155</v>
      </c>
      <c r="O9" s="207">
        <v>1201237.571542549</v>
      </c>
      <c r="P9" s="207">
        <v>5589146.725318464</v>
      </c>
      <c r="Q9" s="207">
        <v>65</v>
      </c>
      <c r="R9" s="207">
        <v>14</v>
      </c>
      <c r="S9" s="207">
        <v>63</v>
      </c>
      <c r="T9" s="207">
        <v>39</v>
      </c>
      <c r="U9" s="207">
        <v>31</v>
      </c>
      <c r="V9" s="207">
        <v>676</v>
      </c>
      <c r="W9" s="207">
        <v>289</v>
      </c>
      <c r="X9" s="207">
        <v>165</v>
      </c>
      <c r="Y9" s="207">
        <v>74</v>
      </c>
      <c r="Z9" s="207">
        <v>1</v>
      </c>
      <c r="AA9" s="207">
        <v>0</v>
      </c>
      <c r="AB9" s="207">
        <v>1379</v>
      </c>
      <c r="AC9" s="207">
        <v>36</v>
      </c>
      <c r="AD9" s="207">
        <v>528</v>
      </c>
      <c r="AE9" s="207">
        <v>1.4242253924364925</v>
      </c>
      <c r="AF9" s="207">
        <v>2285670.8555644583</v>
      </c>
      <c r="AG9" s="207">
        <v>2704046.9179347116</v>
      </c>
      <c r="AH9" s="207">
        <v>944482.3544921024</v>
      </c>
      <c r="AI9" s="207">
        <v>223367.84570994004</v>
      </c>
      <c r="AJ9" s="207">
        <v>86</v>
      </c>
      <c r="AK9" s="207">
        <v>575</v>
      </c>
      <c r="AL9" s="207">
        <v>1.292572383698844</v>
      </c>
      <c r="AM9" s="207">
        <v>36</v>
      </c>
      <c r="AN9" s="207">
        <v>0.025423728813559324</v>
      </c>
      <c r="AO9" s="207">
        <v>0.02048301735110873</v>
      </c>
      <c r="AP9" s="207">
        <v>0</v>
      </c>
      <c r="AQ9" s="207">
        <v>1</v>
      </c>
      <c r="AR9" s="207">
        <v>0</v>
      </c>
      <c r="AS9" s="207">
        <v>1</v>
      </c>
      <c r="AT9" s="207">
        <v>0</v>
      </c>
      <c r="AU9" s="207">
        <v>305.55</v>
      </c>
      <c r="AV9" s="207">
        <v>4.634266077565046</v>
      </c>
      <c r="AW9" s="207">
        <v>3.9134205108110667</v>
      </c>
      <c r="AX9" s="207">
        <v>64</v>
      </c>
      <c r="AY9" s="207">
        <v>354</v>
      </c>
      <c r="AZ9" s="207">
        <v>0.1807909604519774</v>
      </c>
      <c r="BA9" s="207">
        <v>0.1196071243677429</v>
      </c>
      <c r="BB9" s="207">
        <v>0.1604</v>
      </c>
      <c r="BC9" s="207">
        <v>378</v>
      </c>
      <c r="BD9" s="207">
        <v>486</v>
      </c>
      <c r="BE9" s="207">
        <v>0.7777777777777778</v>
      </c>
      <c r="BF9" s="207">
        <v>0.3688708951866847</v>
      </c>
      <c r="BG9" s="207">
        <v>0</v>
      </c>
      <c r="BH9" s="207">
        <v>0</v>
      </c>
      <c r="BI9" s="207">
        <v>0</v>
      </c>
      <c r="BJ9" s="207">
        <v>-339.84</v>
      </c>
      <c r="BK9" s="207">
        <v>-5805.599999999999</v>
      </c>
      <c r="BL9" s="207">
        <v>-396.48</v>
      </c>
      <c r="BM9" s="207">
        <v>-552.24</v>
      </c>
      <c r="BN9" s="207">
        <v>-28.32</v>
      </c>
      <c r="BO9" s="207">
        <v>30511</v>
      </c>
      <c r="BP9" s="207">
        <v>-29434.864947325128</v>
      </c>
      <c r="BQ9" s="207">
        <v>-128417.04</v>
      </c>
      <c r="BR9" s="207">
        <v>129093.88504570909</v>
      </c>
      <c r="BS9" s="207">
        <v>170795</v>
      </c>
      <c r="BT9" s="207">
        <v>51004</v>
      </c>
      <c r="BU9" s="207">
        <v>132057.32919923117</v>
      </c>
      <c r="BV9" s="207">
        <v>6623.632441935772</v>
      </c>
      <c r="BW9" s="207">
        <v>5672.3970182429675</v>
      </c>
      <c r="BX9" s="207">
        <v>61209.4471838827</v>
      </c>
      <c r="BY9" s="207">
        <v>88357.1907931275</v>
      </c>
      <c r="BZ9" s="207">
        <v>132007.98019348277</v>
      </c>
      <c r="CA9" s="207">
        <v>36934.000312073</v>
      </c>
      <c r="CB9" s="207">
        <v>69106.6379195624</v>
      </c>
      <c r="CC9" s="207">
        <v>127.44</v>
      </c>
      <c r="CD9" s="207">
        <v>-6938.808319913951</v>
      </c>
      <c r="CE9" s="207">
        <v>61199.52</v>
      </c>
      <c r="CF9" s="207">
        <v>967760.6517873335</v>
      </c>
      <c r="CG9" s="207">
        <v>726223.1468400084</v>
      </c>
      <c r="CH9" s="207">
        <v>0</v>
      </c>
      <c r="CI9" s="207">
        <v>1201237.571542549</v>
      </c>
      <c r="CJ9" s="207">
        <v>-342872</v>
      </c>
      <c r="CK9" s="207">
        <v>0</v>
      </c>
      <c r="CL9" s="207">
        <v>0</v>
      </c>
      <c r="CM9" s="207">
        <v>131448.98572</v>
      </c>
      <c r="CN9" s="207">
        <v>5246274.725318464</v>
      </c>
      <c r="CO9" s="207">
        <v>5377723.711038465</v>
      </c>
      <c r="CP9" s="207">
        <v>1453</v>
      </c>
    </row>
    <row r="10" spans="1:94" ht="9.75">
      <c r="A10" s="175">
        <v>47</v>
      </c>
      <c r="B10" s="175" t="s">
        <v>67</v>
      </c>
      <c r="C10" s="207">
        <v>1893</v>
      </c>
      <c r="D10" s="207">
        <v>5640521.390000001</v>
      </c>
      <c r="E10" s="207">
        <v>2396842.287628367</v>
      </c>
      <c r="F10" s="207">
        <v>1907047.1762955652</v>
      </c>
      <c r="G10" s="207">
        <v>9944410.853923934</v>
      </c>
      <c r="H10" s="207">
        <v>3524.51</v>
      </c>
      <c r="I10" s="207">
        <v>6671897.430000001</v>
      </c>
      <c r="J10" s="207">
        <v>3272513.423923933</v>
      </c>
      <c r="K10" s="207">
        <v>2876095.6885603233</v>
      </c>
      <c r="L10" s="207">
        <v>1166926.8677999084</v>
      </c>
      <c r="M10" s="207">
        <v>0</v>
      </c>
      <c r="N10" s="207">
        <v>7315535.980284164</v>
      </c>
      <c r="O10" s="207">
        <v>1488222.0244775477</v>
      </c>
      <c r="P10" s="207">
        <v>8803758.00476171</v>
      </c>
      <c r="Q10" s="207">
        <v>88</v>
      </c>
      <c r="R10" s="207">
        <v>23</v>
      </c>
      <c r="S10" s="207">
        <v>105</v>
      </c>
      <c r="T10" s="207">
        <v>45</v>
      </c>
      <c r="U10" s="207">
        <v>40</v>
      </c>
      <c r="V10" s="207">
        <v>1097</v>
      </c>
      <c r="W10" s="207">
        <v>322</v>
      </c>
      <c r="X10" s="207">
        <v>131</v>
      </c>
      <c r="Y10" s="207">
        <v>42</v>
      </c>
      <c r="Z10" s="207">
        <v>13</v>
      </c>
      <c r="AA10" s="207">
        <v>204</v>
      </c>
      <c r="AB10" s="207">
        <v>1613</v>
      </c>
      <c r="AC10" s="207">
        <v>63</v>
      </c>
      <c r="AD10" s="207">
        <v>495</v>
      </c>
      <c r="AE10" s="207">
        <v>1.1171645125568896</v>
      </c>
      <c r="AF10" s="207">
        <v>2396842.287628367</v>
      </c>
      <c r="AG10" s="207">
        <v>3142316.6052121413</v>
      </c>
      <c r="AH10" s="207">
        <v>723405.2990894155</v>
      </c>
      <c r="AI10" s="207">
        <v>250171.98719513282</v>
      </c>
      <c r="AJ10" s="207">
        <v>160</v>
      </c>
      <c r="AK10" s="207">
        <v>903</v>
      </c>
      <c r="AL10" s="207">
        <v>1.5312866581716458</v>
      </c>
      <c r="AM10" s="207">
        <v>63</v>
      </c>
      <c r="AN10" s="207">
        <v>0.03328050713153724</v>
      </c>
      <c r="AO10" s="207">
        <v>0.028339795669086648</v>
      </c>
      <c r="AP10" s="207">
        <v>0</v>
      </c>
      <c r="AQ10" s="207">
        <v>13</v>
      </c>
      <c r="AR10" s="207">
        <v>204</v>
      </c>
      <c r="AS10" s="207">
        <v>0</v>
      </c>
      <c r="AT10" s="207">
        <v>0</v>
      </c>
      <c r="AU10" s="207">
        <v>7952.91</v>
      </c>
      <c r="AV10" s="207">
        <v>0.23802608101940045</v>
      </c>
      <c r="AW10" s="207">
        <v>76.19262495449324</v>
      </c>
      <c r="AX10" s="207">
        <v>106</v>
      </c>
      <c r="AY10" s="207">
        <v>550</v>
      </c>
      <c r="AZ10" s="207">
        <v>0.19272727272727272</v>
      </c>
      <c r="BA10" s="207">
        <v>0.13154343664303822</v>
      </c>
      <c r="BB10" s="207">
        <v>1.90255</v>
      </c>
      <c r="BC10" s="207">
        <v>626</v>
      </c>
      <c r="BD10" s="207">
        <v>729</v>
      </c>
      <c r="BE10" s="207">
        <v>0.8587105624142661</v>
      </c>
      <c r="BF10" s="207">
        <v>0.44980367982317304</v>
      </c>
      <c r="BG10" s="207">
        <v>1</v>
      </c>
      <c r="BH10" s="207">
        <v>204</v>
      </c>
      <c r="BI10" s="207">
        <v>0</v>
      </c>
      <c r="BJ10" s="207">
        <v>-454.32</v>
      </c>
      <c r="BK10" s="207">
        <v>-7761.299999999999</v>
      </c>
      <c r="BL10" s="207">
        <v>-530.0400000000001</v>
      </c>
      <c r="BM10" s="207">
        <v>-738.27</v>
      </c>
      <c r="BN10" s="207">
        <v>-37.86</v>
      </c>
      <c r="BO10" s="207">
        <v>95738</v>
      </c>
      <c r="BP10" s="207">
        <v>-40706.34118485432</v>
      </c>
      <c r="BQ10" s="207">
        <v>-171676.16999999998</v>
      </c>
      <c r="BR10" s="207">
        <v>358000.4534871001</v>
      </c>
      <c r="BS10" s="207">
        <v>173397</v>
      </c>
      <c r="BT10" s="207">
        <v>59946</v>
      </c>
      <c r="BU10" s="207">
        <v>172394.94870718927</v>
      </c>
      <c r="BV10" s="207">
        <v>9669.362924982988</v>
      </c>
      <c r="BW10" s="207">
        <v>17796.73113292622</v>
      </c>
      <c r="BX10" s="207">
        <v>66470.25845941098</v>
      </c>
      <c r="BY10" s="207">
        <v>120347.25272450408</v>
      </c>
      <c r="BZ10" s="207">
        <v>149976.14331376436</v>
      </c>
      <c r="CA10" s="207">
        <v>66511.29198030259</v>
      </c>
      <c r="CB10" s="207">
        <v>106033.8413544209</v>
      </c>
      <c r="CC10" s="207">
        <v>170.37</v>
      </c>
      <c r="CD10" s="207">
        <v>12918.564900160985</v>
      </c>
      <c r="CE10" s="207">
        <v>81815.45999999999</v>
      </c>
      <c r="CF10" s="207">
        <v>1491185.6789847626</v>
      </c>
      <c r="CG10" s="207">
        <v>1166926.8677999084</v>
      </c>
      <c r="CH10" s="207">
        <v>0</v>
      </c>
      <c r="CI10" s="207">
        <v>1488222.0244775477</v>
      </c>
      <c r="CJ10" s="207">
        <v>-14399</v>
      </c>
      <c r="CK10" s="207">
        <v>0</v>
      </c>
      <c r="CL10" s="207">
        <v>0</v>
      </c>
      <c r="CM10" s="207">
        <v>-19800.510000000002</v>
      </c>
      <c r="CN10" s="207">
        <v>8789359.00476171</v>
      </c>
      <c r="CO10" s="207">
        <v>8769558.494761711</v>
      </c>
      <c r="CP10" s="207">
        <v>1872</v>
      </c>
    </row>
    <row r="11" spans="1:94" ht="9.75">
      <c r="A11" s="175">
        <v>49</v>
      </c>
      <c r="B11" s="175" t="s">
        <v>68</v>
      </c>
      <c r="C11" s="207">
        <v>279044</v>
      </c>
      <c r="D11" s="207">
        <v>888960258.0299999</v>
      </c>
      <c r="E11" s="207">
        <v>204411929.95258504</v>
      </c>
      <c r="F11" s="207">
        <v>124664061.57219239</v>
      </c>
      <c r="G11" s="207">
        <v>1218036249.5547774</v>
      </c>
      <c r="H11" s="207">
        <v>3524.51</v>
      </c>
      <c r="I11" s="207">
        <v>983493368.44</v>
      </c>
      <c r="J11" s="207">
        <v>234542881.11477733</v>
      </c>
      <c r="K11" s="207">
        <v>9049619.448168261</v>
      </c>
      <c r="L11" s="207">
        <v>5018611.748995118</v>
      </c>
      <c r="M11" s="207">
        <v>0</v>
      </c>
      <c r="N11" s="207">
        <v>248611112.3119407</v>
      </c>
      <c r="O11" s="207">
        <v>-171818904.52791807</v>
      </c>
      <c r="P11" s="207">
        <v>76792207.78402263</v>
      </c>
      <c r="Q11" s="207">
        <v>21409</v>
      </c>
      <c r="R11" s="207">
        <v>3851</v>
      </c>
      <c r="S11" s="207">
        <v>22047</v>
      </c>
      <c r="T11" s="207">
        <v>9959</v>
      </c>
      <c r="U11" s="207">
        <v>9585</v>
      </c>
      <c r="V11" s="207">
        <v>171861</v>
      </c>
      <c r="W11" s="207">
        <v>24860</v>
      </c>
      <c r="X11" s="207">
        <v>11527</v>
      </c>
      <c r="Y11" s="207">
        <v>3945</v>
      </c>
      <c r="Z11" s="207">
        <v>20077</v>
      </c>
      <c r="AA11" s="207">
        <v>13</v>
      </c>
      <c r="AB11" s="207">
        <v>214299</v>
      </c>
      <c r="AC11" s="207">
        <v>44655</v>
      </c>
      <c r="AD11" s="207">
        <v>40332</v>
      </c>
      <c r="AE11" s="207">
        <v>0.6463411953145273</v>
      </c>
      <c r="AF11" s="207">
        <v>204411929.95258504</v>
      </c>
      <c r="AG11" s="207">
        <v>249951718.91020185</v>
      </c>
      <c r="AH11" s="207">
        <v>51088806.24605905</v>
      </c>
      <c r="AI11" s="207">
        <v>26223385.086346958</v>
      </c>
      <c r="AJ11" s="207">
        <v>13062</v>
      </c>
      <c r="AK11" s="207">
        <v>140457</v>
      </c>
      <c r="AL11" s="207">
        <v>0.8036936880647345</v>
      </c>
      <c r="AM11" s="207">
        <v>44655</v>
      </c>
      <c r="AN11" s="207">
        <v>0.16002852596723097</v>
      </c>
      <c r="AO11" s="207">
        <v>0.15508781450478037</v>
      </c>
      <c r="AP11" s="207">
        <v>1</v>
      </c>
      <c r="AQ11" s="207">
        <v>20077</v>
      </c>
      <c r="AR11" s="207">
        <v>13</v>
      </c>
      <c r="AS11" s="207">
        <v>3</v>
      </c>
      <c r="AT11" s="207">
        <v>685</v>
      </c>
      <c r="AU11" s="207">
        <v>312.29</v>
      </c>
      <c r="AV11" s="207">
        <v>893.5412597265362</v>
      </c>
      <c r="AW11" s="207">
        <v>0.020296580290035383</v>
      </c>
      <c r="AX11" s="207">
        <v>16943</v>
      </c>
      <c r="AY11" s="207">
        <v>101042</v>
      </c>
      <c r="AZ11" s="207">
        <v>0.16768274578887987</v>
      </c>
      <c r="BA11" s="207">
        <v>0.10649890970464537</v>
      </c>
      <c r="BB11" s="207">
        <v>0</v>
      </c>
      <c r="BC11" s="207">
        <v>117007</v>
      </c>
      <c r="BD11" s="207">
        <v>127710</v>
      </c>
      <c r="BE11" s="207">
        <v>0.9161929371231696</v>
      </c>
      <c r="BF11" s="207">
        <v>0.5072860545320765</v>
      </c>
      <c r="BG11" s="207">
        <v>0</v>
      </c>
      <c r="BH11" s="207">
        <v>13</v>
      </c>
      <c r="BI11" s="207">
        <v>0</v>
      </c>
      <c r="BJ11" s="207">
        <v>-66970.56</v>
      </c>
      <c r="BK11" s="207">
        <v>-1144080.4</v>
      </c>
      <c r="BL11" s="207">
        <v>-78132.32</v>
      </c>
      <c r="BM11" s="207">
        <v>-108827.16</v>
      </c>
      <c r="BN11" s="207">
        <v>-5580.88</v>
      </c>
      <c r="BO11" s="207">
        <v>-2408909</v>
      </c>
      <c r="BP11" s="207">
        <v>-24724387.15331262</v>
      </c>
      <c r="BQ11" s="207">
        <v>-25306500.36</v>
      </c>
      <c r="BR11" s="207">
        <v>-266216.5658850074</v>
      </c>
      <c r="BS11" s="207">
        <v>12227998</v>
      </c>
      <c r="BT11" s="207">
        <v>4741059</v>
      </c>
      <c r="BU11" s="207">
        <v>9930861.540707117</v>
      </c>
      <c r="BV11" s="207">
        <v>158476.05074123334</v>
      </c>
      <c r="BW11" s="207">
        <v>-3216643.810550721</v>
      </c>
      <c r="BX11" s="207">
        <v>3590217.8977544284</v>
      </c>
      <c r="BY11" s="207">
        <v>10354449.592781734</v>
      </c>
      <c r="BZ11" s="207">
        <v>14030211.993497528</v>
      </c>
      <c r="CA11" s="207">
        <v>5368588.6363894185</v>
      </c>
      <c r="CB11" s="207">
        <v>8687348.306144333</v>
      </c>
      <c r="CC11" s="207">
        <v>25113.96</v>
      </c>
      <c r="CD11" s="207">
        <v>-3741837.619272322</v>
      </c>
      <c r="CE11" s="207">
        <v>12060281.68</v>
      </c>
      <c r="CF11" s="207">
        <v>71540999.66230774</v>
      </c>
      <c r="CG11" s="207">
        <v>5018611.748995118</v>
      </c>
      <c r="CH11" s="207">
        <v>0</v>
      </c>
      <c r="CI11" s="207">
        <v>-171818904.52791807</v>
      </c>
      <c r="CJ11" s="207">
        <v>-15918156</v>
      </c>
      <c r="CK11" s="207">
        <v>0</v>
      </c>
      <c r="CL11" s="207">
        <v>0</v>
      </c>
      <c r="CM11" s="207">
        <v>-13649880.218767997</v>
      </c>
      <c r="CN11" s="207">
        <v>60874051.78402263</v>
      </c>
      <c r="CO11" s="207">
        <v>47224171.56525463</v>
      </c>
      <c r="CP11" s="207">
        <v>274583</v>
      </c>
    </row>
    <row r="12" spans="1:94" ht="9.75">
      <c r="A12" s="175">
        <v>50</v>
      </c>
      <c r="B12" s="175" t="s">
        <v>69</v>
      </c>
      <c r="C12" s="207">
        <v>11910</v>
      </c>
      <c r="D12" s="207">
        <v>43001935.11</v>
      </c>
      <c r="E12" s="207">
        <v>13256782.467988215</v>
      </c>
      <c r="F12" s="207">
        <v>2097115.0297308806</v>
      </c>
      <c r="G12" s="207">
        <v>58355832.60771909</v>
      </c>
      <c r="H12" s="207">
        <v>3524.51</v>
      </c>
      <c r="I12" s="207">
        <v>41976914.1</v>
      </c>
      <c r="J12" s="207">
        <v>16378918.507719092</v>
      </c>
      <c r="K12" s="207">
        <v>509443.52432994026</v>
      </c>
      <c r="L12" s="207">
        <v>3410016.185548949</v>
      </c>
      <c r="M12" s="207">
        <v>0</v>
      </c>
      <c r="N12" s="207">
        <v>20298378.217597984</v>
      </c>
      <c r="O12" s="207">
        <v>4124389.729487084</v>
      </c>
      <c r="P12" s="207">
        <v>24422767.947085068</v>
      </c>
      <c r="Q12" s="207">
        <v>699</v>
      </c>
      <c r="R12" s="207">
        <v>128</v>
      </c>
      <c r="S12" s="207">
        <v>815</v>
      </c>
      <c r="T12" s="207">
        <v>420</v>
      </c>
      <c r="U12" s="207">
        <v>379</v>
      </c>
      <c r="V12" s="207">
        <v>6255</v>
      </c>
      <c r="W12" s="207">
        <v>1791</v>
      </c>
      <c r="X12" s="207">
        <v>978</v>
      </c>
      <c r="Y12" s="207">
        <v>445</v>
      </c>
      <c r="Z12" s="207">
        <v>22</v>
      </c>
      <c r="AA12" s="207">
        <v>0</v>
      </c>
      <c r="AB12" s="207">
        <v>11543</v>
      </c>
      <c r="AC12" s="207">
        <v>345</v>
      </c>
      <c r="AD12" s="207">
        <v>3214</v>
      </c>
      <c r="AE12" s="207">
        <v>0.9820976134212798</v>
      </c>
      <c r="AF12" s="207">
        <v>13256782.467988215</v>
      </c>
      <c r="AG12" s="207">
        <v>17454465.594964735</v>
      </c>
      <c r="AH12" s="207">
        <v>4092576.282571813</v>
      </c>
      <c r="AI12" s="207">
        <v>1786942.7656795206</v>
      </c>
      <c r="AJ12" s="207">
        <v>398</v>
      </c>
      <c r="AK12" s="207">
        <v>5427</v>
      </c>
      <c r="AL12" s="207">
        <v>0.6337931145510185</v>
      </c>
      <c r="AM12" s="207">
        <v>345</v>
      </c>
      <c r="AN12" s="207">
        <v>0.028967254408060455</v>
      </c>
      <c r="AO12" s="207">
        <v>0.024026542945609863</v>
      </c>
      <c r="AP12" s="207">
        <v>0</v>
      </c>
      <c r="AQ12" s="207">
        <v>22</v>
      </c>
      <c r="AR12" s="207">
        <v>0</v>
      </c>
      <c r="AS12" s="207">
        <v>0</v>
      </c>
      <c r="AT12" s="207">
        <v>0</v>
      </c>
      <c r="AU12" s="207">
        <v>578.8</v>
      </c>
      <c r="AV12" s="207">
        <v>20.57705597788528</v>
      </c>
      <c r="AW12" s="207">
        <v>0.8813618400994813</v>
      </c>
      <c r="AX12" s="207">
        <v>569</v>
      </c>
      <c r="AY12" s="207">
        <v>3441</v>
      </c>
      <c r="AZ12" s="207">
        <v>0.16535890729439118</v>
      </c>
      <c r="BA12" s="207">
        <v>0.10417507121015668</v>
      </c>
      <c r="BB12" s="207">
        <v>0</v>
      </c>
      <c r="BC12" s="207">
        <v>5211</v>
      </c>
      <c r="BD12" s="207">
        <v>4834</v>
      </c>
      <c r="BE12" s="207">
        <v>1.0779892428630533</v>
      </c>
      <c r="BF12" s="207">
        <v>0.6690823602719602</v>
      </c>
      <c r="BG12" s="207">
        <v>0</v>
      </c>
      <c r="BH12" s="207">
        <v>0</v>
      </c>
      <c r="BI12" s="207">
        <v>0</v>
      </c>
      <c r="BJ12" s="207">
        <v>-2858.4</v>
      </c>
      <c r="BK12" s="207">
        <v>-48830.99999999999</v>
      </c>
      <c r="BL12" s="207">
        <v>-3334.8</v>
      </c>
      <c r="BM12" s="207">
        <v>-4644.900000000001</v>
      </c>
      <c r="BN12" s="207">
        <v>-238.20000000000002</v>
      </c>
      <c r="BO12" s="207">
        <v>-119829</v>
      </c>
      <c r="BP12" s="207">
        <v>-247866.2380001826</v>
      </c>
      <c r="BQ12" s="207">
        <v>-1080117.9</v>
      </c>
      <c r="BR12" s="207">
        <v>147021.0045784153</v>
      </c>
      <c r="BS12" s="207">
        <v>930471</v>
      </c>
      <c r="BT12" s="207">
        <v>326226</v>
      </c>
      <c r="BU12" s="207">
        <v>755979.6991818466</v>
      </c>
      <c r="BV12" s="207">
        <v>35805.37842070008</v>
      </c>
      <c r="BW12" s="207">
        <v>118088.13599981995</v>
      </c>
      <c r="BX12" s="207">
        <v>359583.83389071794</v>
      </c>
      <c r="BY12" s="207">
        <v>592840.1409151391</v>
      </c>
      <c r="BZ12" s="207">
        <v>1045132.1657653033</v>
      </c>
      <c r="CA12" s="207">
        <v>278567.27786175744</v>
      </c>
      <c r="CB12" s="207">
        <v>485946.3758917351</v>
      </c>
      <c r="CC12" s="207">
        <v>1071.8999999999999</v>
      </c>
      <c r="CD12" s="207">
        <v>-29772.788956303324</v>
      </c>
      <c r="CE12" s="207">
        <v>514750.2</v>
      </c>
      <c r="CF12" s="207">
        <v>5441881.323549132</v>
      </c>
      <c r="CG12" s="207">
        <v>3410016.185548949</v>
      </c>
      <c r="CH12" s="207">
        <v>0</v>
      </c>
      <c r="CI12" s="207">
        <v>4124389.729487084</v>
      </c>
      <c r="CJ12" s="207">
        <v>-1204492</v>
      </c>
      <c r="CK12" s="207">
        <v>0</v>
      </c>
      <c r="CL12" s="207">
        <v>0</v>
      </c>
      <c r="CM12" s="207">
        <v>190982.51911999998</v>
      </c>
      <c r="CN12" s="207">
        <v>23218275.947085068</v>
      </c>
      <c r="CO12" s="207">
        <v>23409258.466205068</v>
      </c>
      <c r="CP12" s="207">
        <v>12004</v>
      </c>
    </row>
    <row r="13" spans="1:94" ht="9.75">
      <c r="A13" s="175">
        <v>51</v>
      </c>
      <c r="B13" s="175" t="s">
        <v>70</v>
      </c>
      <c r="C13" s="207">
        <v>9521</v>
      </c>
      <c r="D13" s="207">
        <v>32823838.450000003</v>
      </c>
      <c r="E13" s="207">
        <v>8426187.962765642</v>
      </c>
      <c r="F13" s="207">
        <v>2082518.1395894336</v>
      </c>
      <c r="G13" s="207">
        <v>43332544.55235508</v>
      </c>
      <c r="H13" s="207">
        <v>3524.51</v>
      </c>
      <c r="I13" s="207">
        <v>33556859.71</v>
      </c>
      <c r="J13" s="207">
        <v>9775684.84235508</v>
      </c>
      <c r="K13" s="207">
        <v>294586.6455300985</v>
      </c>
      <c r="L13" s="207">
        <v>3627708.926456444</v>
      </c>
      <c r="M13" s="207">
        <v>1127997.178455826</v>
      </c>
      <c r="N13" s="207">
        <v>14825977.592797449</v>
      </c>
      <c r="O13" s="207">
        <v>-2708116.024128031</v>
      </c>
      <c r="P13" s="207">
        <v>12117861.568669418</v>
      </c>
      <c r="Q13" s="207">
        <v>595</v>
      </c>
      <c r="R13" s="207">
        <v>122</v>
      </c>
      <c r="S13" s="207">
        <v>735</v>
      </c>
      <c r="T13" s="207">
        <v>335</v>
      </c>
      <c r="U13" s="207">
        <v>307</v>
      </c>
      <c r="V13" s="207">
        <v>5129</v>
      </c>
      <c r="W13" s="207">
        <v>1398</v>
      </c>
      <c r="X13" s="207">
        <v>649</v>
      </c>
      <c r="Y13" s="207">
        <v>251</v>
      </c>
      <c r="Z13" s="207">
        <v>31</v>
      </c>
      <c r="AA13" s="207">
        <v>0</v>
      </c>
      <c r="AB13" s="207">
        <v>9081</v>
      </c>
      <c r="AC13" s="207">
        <v>409</v>
      </c>
      <c r="AD13" s="207">
        <v>2298</v>
      </c>
      <c r="AE13" s="207">
        <v>0.7808666316212756</v>
      </c>
      <c r="AF13" s="207">
        <v>8426187.962765642</v>
      </c>
      <c r="AG13" s="207">
        <v>7344172.431667427</v>
      </c>
      <c r="AH13" s="207">
        <v>1594401.6868022948</v>
      </c>
      <c r="AI13" s="207">
        <v>866667.2413545672</v>
      </c>
      <c r="AJ13" s="207">
        <v>357</v>
      </c>
      <c r="AK13" s="207">
        <v>4196</v>
      </c>
      <c r="AL13" s="207">
        <v>0.7352871950688924</v>
      </c>
      <c r="AM13" s="207">
        <v>409</v>
      </c>
      <c r="AN13" s="207">
        <v>0.04295767251339145</v>
      </c>
      <c r="AO13" s="207">
        <v>0.03801696105094086</v>
      </c>
      <c r="AP13" s="207">
        <v>0</v>
      </c>
      <c r="AQ13" s="207">
        <v>31</v>
      </c>
      <c r="AR13" s="207">
        <v>0</v>
      </c>
      <c r="AS13" s="207">
        <v>0</v>
      </c>
      <c r="AT13" s="207">
        <v>0</v>
      </c>
      <c r="AU13" s="207">
        <v>514.77</v>
      </c>
      <c r="AV13" s="207">
        <v>18.495638828991588</v>
      </c>
      <c r="AW13" s="207">
        <v>0.9805463919457275</v>
      </c>
      <c r="AX13" s="207">
        <v>533</v>
      </c>
      <c r="AY13" s="207">
        <v>3070</v>
      </c>
      <c r="AZ13" s="207">
        <v>0.1736156351791531</v>
      </c>
      <c r="BA13" s="207">
        <v>0.1124317990949186</v>
      </c>
      <c r="BB13" s="207">
        <v>0</v>
      </c>
      <c r="BC13" s="207">
        <v>3426</v>
      </c>
      <c r="BD13" s="207">
        <v>3837</v>
      </c>
      <c r="BE13" s="207">
        <v>0.8928850664581705</v>
      </c>
      <c r="BF13" s="207">
        <v>0.48397818386707736</v>
      </c>
      <c r="BG13" s="207">
        <v>0</v>
      </c>
      <c r="BH13" s="207">
        <v>0</v>
      </c>
      <c r="BI13" s="207">
        <v>0</v>
      </c>
      <c r="BJ13" s="207">
        <v>-2285.04</v>
      </c>
      <c r="BK13" s="207">
        <v>-39036.1</v>
      </c>
      <c r="BL13" s="207">
        <v>-2665.88</v>
      </c>
      <c r="BM13" s="207">
        <v>-3713.19</v>
      </c>
      <c r="BN13" s="207">
        <v>-190.42000000000002</v>
      </c>
      <c r="BO13" s="207">
        <v>166456</v>
      </c>
      <c r="BP13" s="207">
        <v>-206627.4082033093</v>
      </c>
      <c r="BQ13" s="207">
        <v>-863459.49</v>
      </c>
      <c r="BR13" s="207">
        <v>531912.2649731943</v>
      </c>
      <c r="BS13" s="207">
        <v>825213</v>
      </c>
      <c r="BT13" s="207">
        <v>332930</v>
      </c>
      <c r="BU13" s="207">
        <v>852349.3838743449</v>
      </c>
      <c r="BV13" s="207">
        <v>38149.05709767528</v>
      </c>
      <c r="BW13" s="207">
        <v>81094.72168116856</v>
      </c>
      <c r="BX13" s="207">
        <v>261660.24010085664</v>
      </c>
      <c r="BY13" s="207">
        <v>497056.58265767223</v>
      </c>
      <c r="BZ13" s="207">
        <v>700972.9043078987</v>
      </c>
      <c r="CA13" s="207">
        <v>275408.68621278135</v>
      </c>
      <c r="CB13" s="207">
        <v>436241.2523208853</v>
      </c>
      <c r="CC13" s="207">
        <v>856.89</v>
      </c>
      <c r="CD13" s="207">
        <v>-151311.67856672432</v>
      </c>
      <c r="CE13" s="207">
        <v>411497.62</v>
      </c>
      <c r="CF13" s="207">
        <v>5260486.924659753</v>
      </c>
      <c r="CG13" s="207">
        <v>3627708.926456444</v>
      </c>
      <c r="CH13" s="207">
        <v>1127997.178455826</v>
      </c>
      <c r="CI13" s="207">
        <v>-2708116.024128031</v>
      </c>
      <c r="CJ13" s="207">
        <v>-1056728</v>
      </c>
      <c r="CK13" s="207">
        <v>0</v>
      </c>
      <c r="CL13" s="207">
        <v>0</v>
      </c>
      <c r="CM13" s="207">
        <v>-114499.74915999992</v>
      </c>
      <c r="CN13" s="207">
        <v>11061133.568669418</v>
      </c>
      <c r="CO13" s="207">
        <v>10946633.819509419</v>
      </c>
      <c r="CP13" s="207">
        <v>9418</v>
      </c>
    </row>
    <row r="14" spans="1:94" ht="9.75">
      <c r="A14" s="175">
        <v>52</v>
      </c>
      <c r="B14" s="175" t="s">
        <v>71</v>
      </c>
      <c r="C14" s="207">
        <v>2499</v>
      </c>
      <c r="D14" s="207">
        <v>9074409.180000002</v>
      </c>
      <c r="E14" s="207">
        <v>4514013.155530476</v>
      </c>
      <c r="F14" s="207">
        <v>599074.3185557663</v>
      </c>
      <c r="G14" s="207">
        <v>14187496.654086245</v>
      </c>
      <c r="H14" s="207">
        <v>3524.51</v>
      </c>
      <c r="I14" s="207">
        <v>8807750.49</v>
      </c>
      <c r="J14" s="207">
        <v>5379746.164086245</v>
      </c>
      <c r="K14" s="207">
        <v>76041.66279956553</v>
      </c>
      <c r="L14" s="207">
        <v>1132515.991417013</v>
      </c>
      <c r="M14" s="207">
        <v>0</v>
      </c>
      <c r="N14" s="207">
        <v>6588303.818302823</v>
      </c>
      <c r="O14" s="207">
        <v>2043900.1087721554</v>
      </c>
      <c r="P14" s="207">
        <v>8632203.927074978</v>
      </c>
      <c r="Q14" s="207">
        <v>135</v>
      </c>
      <c r="R14" s="207">
        <v>35</v>
      </c>
      <c r="S14" s="207">
        <v>179</v>
      </c>
      <c r="T14" s="207">
        <v>85</v>
      </c>
      <c r="U14" s="207">
        <v>76</v>
      </c>
      <c r="V14" s="207">
        <v>1324</v>
      </c>
      <c r="W14" s="207">
        <v>354</v>
      </c>
      <c r="X14" s="207">
        <v>215</v>
      </c>
      <c r="Y14" s="207">
        <v>96</v>
      </c>
      <c r="Z14" s="207">
        <v>49</v>
      </c>
      <c r="AA14" s="207">
        <v>0</v>
      </c>
      <c r="AB14" s="207">
        <v>2377</v>
      </c>
      <c r="AC14" s="207">
        <v>73</v>
      </c>
      <c r="AD14" s="207">
        <v>665</v>
      </c>
      <c r="AE14" s="207">
        <v>1.5937670781205804</v>
      </c>
      <c r="AF14" s="207">
        <v>4514013.155530476</v>
      </c>
      <c r="AG14" s="207">
        <v>5707137.505484912</v>
      </c>
      <c r="AH14" s="207">
        <v>1583914.7478885665</v>
      </c>
      <c r="AI14" s="207">
        <v>437800.9775914824</v>
      </c>
      <c r="AJ14" s="207">
        <v>81</v>
      </c>
      <c r="AK14" s="207">
        <v>1144</v>
      </c>
      <c r="AL14" s="207">
        <v>0.6119039556307293</v>
      </c>
      <c r="AM14" s="207">
        <v>73</v>
      </c>
      <c r="AN14" s="207">
        <v>0.02921168467386955</v>
      </c>
      <c r="AO14" s="207">
        <v>0.024270973211418956</v>
      </c>
      <c r="AP14" s="207">
        <v>0</v>
      </c>
      <c r="AQ14" s="207">
        <v>49</v>
      </c>
      <c r="AR14" s="207">
        <v>0</v>
      </c>
      <c r="AS14" s="207">
        <v>0</v>
      </c>
      <c r="AT14" s="207">
        <v>0</v>
      </c>
      <c r="AU14" s="207">
        <v>354.15</v>
      </c>
      <c r="AV14" s="207">
        <v>7.056332062685303</v>
      </c>
      <c r="AW14" s="207">
        <v>2.570150009861833</v>
      </c>
      <c r="AX14" s="207">
        <v>117</v>
      </c>
      <c r="AY14" s="207">
        <v>704</v>
      </c>
      <c r="AZ14" s="207">
        <v>0.16619318181818182</v>
      </c>
      <c r="BA14" s="207">
        <v>0.10500934573394732</v>
      </c>
      <c r="BB14" s="207">
        <v>0</v>
      </c>
      <c r="BC14" s="207">
        <v>907</v>
      </c>
      <c r="BD14" s="207">
        <v>1025</v>
      </c>
      <c r="BE14" s="207">
        <v>0.8848780487804878</v>
      </c>
      <c r="BF14" s="207">
        <v>0.4759711661893947</v>
      </c>
      <c r="BG14" s="207">
        <v>0</v>
      </c>
      <c r="BH14" s="207">
        <v>0</v>
      </c>
      <c r="BI14" s="207">
        <v>0</v>
      </c>
      <c r="BJ14" s="207">
        <v>-599.76</v>
      </c>
      <c r="BK14" s="207">
        <v>-10245.9</v>
      </c>
      <c r="BL14" s="207">
        <v>-699.72</v>
      </c>
      <c r="BM14" s="207">
        <v>-974.61</v>
      </c>
      <c r="BN14" s="207">
        <v>-49.980000000000004</v>
      </c>
      <c r="BO14" s="207">
        <v>-100747</v>
      </c>
      <c r="BP14" s="207">
        <v>-20404.444481778497</v>
      </c>
      <c r="BQ14" s="207">
        <v>-226634.31</v>
      </c>
      <c r="BR14" s="207">
        <v>216915.193710112</v>
      </c>
      <c r="BS14" s="207">
        <v>268330</v>
      </c>
      <c r="BT14" s="207">
        <v>90507</v>
      </c>
      <c r="BU14" s="207">
        <v>236019.7094316398</v>
      </c>
      <c r="BV14" s="207">
        <v>12785.587300546524</v>
      </c>
      <c r="BW14" s="207">
        <v>13972.667475937424</v>
      </c>
      <c r="BX14" s="207">
        <v>91029.97670731465</v>
      </c>
      <c r="BY14" s="207">
        <v>159125.99451754062</v>
      </c>
      <c r="BZ14" s="207">
        <v>262773.8022734692</v>
      </c>
      <c r="CA14" s="207">
        <v>75899.24402966545</v>
      </c>
      <c r="CB14" s="207">
        <v>127170.54683329606</v>
      </c>
      <c r="CC14" s="207">
        <v>224.91</v>
      </c>
      <c r="CD14" s="207">
        <v>-34768.76638072978</v>
      </c>
      <c r="CE14" s="207">
        <v>108006.78</v>
      </c>
      <c r="CF14" s="207">
        <v>1527245.6458987917</v>
      </c>
      <c r="CG14" s="207">
        <v>1132515.991417013</v>
      </c>
      <c r="CH14" s="207">
        <v>0</v>
      </c>
      <c r="CI14" s="207">
        <v>2043900.1087721554</v>
      </c>
      <c r="CJ14" s="207">
        <v>227660</v>
      </c>
      <c r="CK14" s="207">
        <v>0</v>
      </c>
      <c r="CL14" s="207">
        <v>0</v>
      </c>
      <c r="CM14" s="207">
        <v>31746.817700000003</v>
      </c>
      <c r="CN14" s="207">
        <v>8859863.927074978</v>
      </c>
      <c r="CO14" s="207">
        <v>8891610.744774979</v>
      </c>
      <c r="CP14" s="207">
        <v>2535</v>
      </c>
    </row>
    <row r="15" spans="1:94" ht="9.75">
      <c r="A15" s="175">
        <v>61</v>
      </c>
      <c r="B15" s="175" t="s">
        <v>72</v>
      </c>
      <c r="C15" s="207">
        <v>17185</v>
      </c>
      <c r="D15" s="207">
        <v>57409040.92</v>
      </c>
      <c r="E15" s="207">
        <v>24531493.610941343</v>
      </c>
      <c r="F15" s="207">
        <v>4168425.0363106914</v>
      </c>
      <c r="G15" s="207">
        <v>86108959.56725203</v>
      </c>
      <c r="H15" s="207">
        <v>3524.51</v>
      </c>
      <c r="I15" s="207">
        <v>60568704.35</v>
      </c>
      <c r="J15" s="207">
        <v>25540255.217252024</v>
      </c>
      <c r="K15" s="207">
        <v>940798.3420567599</v>
      </c>
      <c r="L15" s="207">
        <v>5147544.237582194</v>
      </c>
      <c r="M15" s="207">
        <v>0</v>
      </c>
      <c r="N15" s="207">
        <v>31628597.796890974</v>
      </c>
      <c r="O15" s="207">
        <v>8528618.01171618</v>
      </c>
      <c r="P15" s="207">
        <v>40157215.80860715</v>
      </c>
      <c r="Q15" s="207">
        <v>757</v>
      </c>
      <c r="R15" s="207">
        <v>155</v>
      </c>
      <c r="S15" s="207">
        <v>952</v>
      </c>
      <c r="T15" s="207">
        <v>480</v>
      </c>
      <c r="U15" s="207">
        <v>537</v>
      </c>
      <c r="V15" s="207">
        <v>9305</v>
      </c>
      <c r="W15" s="207">
        <v>2830</v>
      </c>
      <c r="X15" s="207">
        <v>1563</v>
      </c>
      <c r="Y15" s="207">
        <v>606</v>
      </c>
      <c r="Z15" s="207">
        <v>46</v>
      </c>
      <c r="AA15" s="207">
        <v>1</v>
      </c>
      <c r="AB15" s="207">
        <v>16298</v>
      </c>
      <c r="AC15" s="207">
        <v>840</v>
      </c>
      <c r="AD15" s="207">
        <v>4999</v>
      </c>
      <c r="AE15" s="207">
        <v>1.2595132538969438</v>
      </c>
      <c r="AF15" s="207">
        <v>24531493.610941343</v>
      </c>
      <c r="AG15" s="207">
        <v>30668017.682946883</v>
      </c>
      <c r="AH15" s="207">
        <v>7412021.374895021</v>
      </c>
      <c r="AI15" s="207">
        <v>3243301.119708329</v>
      </c>
      <c r="AJ15" s="207">
        <v>986</v>
      </c>
      <c r="AK15" s="207">
        <v>7698</v>
      </c>
      <c r="AL15" s="207">
        <v>1.106937943618789</v>
      </c>
      <c r="AM15" s="207">
        <v>840</v>
      </c>
      <c r="AN15" s="207">
        <v>0.048879837067209775</v>
      </c>
      <c r="AO15" s="207">
        <v>0.04393912560475918</v>
      </c>
      <c r="AP15" s="207">
        <v>0</v>
      </c>
      <c r="AQ15" s="207">
        <v>46</v>
      </c>
      <c r="AR15" s="207">
        <v>1</v>
      </c>
      <c r="AS15" s="207">
        <v>0</v>
      </c>
      <c r="AT15" s="207">
        <v>0</v>
      </c>
      <c r="AU15" s="207">
        <v>248.76</v>
      </c>
      <c r="AV15" s="207">
        <v>69.08264994372085</v>
      </c>
      <c r="AW15" s="207">
        <v>0.26252368626961486</v>
      </c>
      <c r="AX15" s="207">
        <v>908</v>
      </c>
      <c r="AY15" s="207">
        <v>4718</v>
      </c>
      <c r="AZ15" s="207">
        <v>0.1924544298431539</v>
      </c>
      <c r="BA15" s="207">
        <v>0.1312705937589194</v>
      </c>
      <c r="BB15" s="207">
        <v>0</v>
      </c>
      <c r="BC15" s="207">
        <v>8095</v>
      </c>
      <c r="BD15" s="207">
        <v>6398</v>
      </c>
      <c r="BE15" s="207">
        <v>1.2652391372303844</v>
      </c>
      <c r="BF15" s="207">
        <v>0.8563322546392913</v>
      </c>
      <c r="BG15" s="207">
        <v>0</v>
      </c>
      <c r="BH15" s="207">
        <v>1</v>
      </c>
      <c r="BI15" s="207">
        <v>0</v>
      </c>
      <c r="BJ15" s="207">
        <v>-4124.4</v>
      </c>
      <c r="BK15" s="207">
        <v>-70458.5</v>
      </c>
      <c r="BL15" s="207">
        <v>-4811.8</v>
      </c>
      <c r="BM15" s="207">
        <v>-6702.150000000001</v>
      </c>
      <c r="BN15" s="207">
        <v>-343.7</v>
      </c>
      <c r="BO15" s="207">
        <v>482824</v>
      </c>
      <c r="BP15" s="207">
        <v>-984607.8974571513</v>
      </c>
      <c r="BQ15" s="207">
        <v>-1558507.65</v>
      </c>
      <c r="BR15" s="207">
        <v>86203.58749876171</v>
      </c>
      <c r="BS15" s="207">
        <v>1410670</v>
      </c>
      <c r="BT15" s="207">
        <v>454609</v>
      </c>
      <c r="BU15" s="207">
        <v>1074037.505485831</v>
      </c>
      <c r="BV15" s="207">
        <v>51148.73329094706</v>
      </c>
      <c r="BW15" s="207">
        <v>150656.3595286791</v>
      </c>
      <c r="BX15" s="207">
        <v>556585.7054233298</v>
      </c>
      <c r="BY15" s="207">
        <v>915212.8959526116</v>
      </c>
      <c r="BZ15" s="207">
        <v>1382738.1902656096</v>
      </c>
      <c r="CA15" s="207">
        <v>451111.4276717849</v>
      </c>
      <c r="CB15" s="207">
        <v>771945.669483833</v>
      </c>
      <c r="CC15" s="207">
        <v>1546.6499999999999</v>
      </c>
      <c r="CD15" s="207">
        <v>174267.8604379583</v>
      </c>
      <c r="CE15" s="207">
        <v>742735.7</v>
      </c>
      <c r="CF15" s="207">
        <v>8706293.285039345</v>
      </c>
      <c r="CG15" s="207">
        <v>5147544.237582194</v>
      </c>
      <c r="CH15" s="207">
        <v>0</v>
      </c>
      <c r="CI15" s="207">
        <v>8528618.01171618</v>
      </c>
      <c r="CJ15" s="207">
        <v>674468</v>
      </c>
      <c r="CK15" s="207">
        <v>0</v>
      </c>
      <c r="CL15" s="207">
        <v>0</v>
      </c>
      <c r="CM15" s="207">
        <v>241781.38754199998</v>
      </c>
      <c r="CN15" s="207">
        <v>40831683.80860715</v>
      </c>
      <c r="CO15" s="207">
        <v>41073465.196149155</v>
      </c>
      <c r="CP15" s="207">
        <v>17332</v>
      </c>
    </row>
    <row r="16" spans="1:94" ht="9.75">
      <c r="A16" s="175">
        <v>69</v>
      </c>
      <c r="B16" s="175" t="s">
        <v>73</v>
      </c>
      <c r="C16" s="207">
        <v>7251</v>
      </c>
      <c r="D16" s="207">
        <v>26290222.509999994</v>
      </c>
      <c r="E16" s="207">
        <v>11411821.271477375</v>
      </c>
      <c r="F16" s="207">
        <v>1499885.5785840969</v>
      </c>
      <c r="G16" s="207">
        <v>39201929.36006147</v>
      </c>
      <c r="H16" s="207">
        <v>3524.51</v>
      </c>
      <c r="I16" s="207">
        <v>25556222.01</v>
      </c>
      <c r="J16" s="207">
        <v>13645707.350061465</v>
      </c>
      <c r="K16" s="207">
        <v>567481.5068397435</v>
      </c>
      <c r="L16" s="207">
        <v>2173477.6743738865</v>
      </c>
      <c r="M16" s="207">
        <v>0</v>
      </c>
      <c r="N16" s="207">
        <v>16386666.531275094</v>
      </c>
      <c r="O16" s="207">
        <v>6461492.291844448</v>
      </c>
      <c r="P16" s="207">
        <v>22848158.823119543</v>
      </c>
      <c r="Q16" s="207">
        <v>490</v>
      </c>
      <c r="R16" s="207">
        <v>84</v>
      </c>
      <c r="S16" s="207">
        <v>602</v>
      </c>
      <c r="T16" s="207">
        <v>305</v>
      </c>
      <c r="U16" s="207">
        <v>322</v>
      </c>
      <c r="V16" s="207">
        <v>3829</v>
      </c>
      <c r="W16" s="207">
        <v>921</v>
      </c>
      <c r="X16" s="207">
        <v>501</v>
      </c>
      <c r="Y16" s="207">
        <v>197</v>
      </c>
      <c r="Z16" s="207">
        <v>6</v>
      </c>
      <c r="AA16" s="207">
        <v>0</v>
      </c>
      <c r="AB16" s="207">
        <v>7121</v>
      </c>
      <c r="AC16" s="207">
        <v>124</v>
      </c>
      <c r="AD16" s="207">
        <v>1619</v>
      </c>
      <c r="AE16" s="207">
        <v>1.3886261624083789</v>
      </c>
      <c r="AF16" s="207">
        <v>11411821.271477375</v>
      </c>
      <c r="AG16" s="207">
        <v>14089194.730075926</v>
      </c>
      <c r="AH16" s="207">
        <v>3307913.3292372646</v>
      </c>
      <c r="AI16" s="207">
        <v>1527836.06465599</v>
      </c>
      <c r="AJ16" s="207">
        <v>302</v>
      </c>
      <c r="AK16" s="207">
        <v>3104</v>
      </c>
      <c r="AL16" s="207">
        <v>0.8408325132960632</v>
      </c>
      <c r="AM16" s="207">
        <v>124</v>
      </c>
      <c r="AN16" s="207">
        <v>0.017101089504895875</v>
      </c>
      <c r="AO16" s="207">
        <v>0.012160378042445283</v>
      </c>
      <c r="AP16" s="207">
        <v>0</v>
      </c>
      <c r="AQ16" s="207">
        <v>6</v>
      </c>
      <c r="AR16" s="207">
        <v>0</v>
      </c>
      <c r="AS16" s="207">
        <v>0</v>
      </c>
      <c r="AT16" s="207">
        <v>0</v>
      </c>
      <c r="AU16" s="207">
        <v>765.89</v>
      </c>
      <c r="AV16" s="207">
        <v>9.46741699199624</v>
      </c>
      <c r="AW16" s="207">
        <v>1.9156050626935568</v>
      </c>
      <c r="AX16" s="207">
        <v>301</v>
      </c>
      <c r="AY16" s="207">
        <v>1957</v>
      </c>
      <c r="AZ16" s="207">
        <v>0.1538068472151252</v>
      </c>
      <c r="BA16" s="207">
        <v>0.09262301113089069</v>
      </c>
      <c r="BB16" s="207">
        <v>0.168916</v>
      </c>
      <c r="BC16" s="207">
        <v>2841</v>
      </c>
      <c r="BD16" s="207">
        <v>2639</v>
      </c>
      <c r="BE16" s="207">
        <v>1.0765441455096627</v>
      </c>
      <c r="BF16" s="207">
        <v>0.6676372629185696</v>
      </c>
      <c r="BG16" s="207">
        <v>0</v>
      </c>
      <c r="BH16" s="207">
        <v>0</v>
      </c>
      <c r="BI16" s="207">
        <v>0</v>
      </c>
      <c r="BJ16" s="207">
        <v>-1740.24</v>
      </c>
      <c r="BK16" s="207">
        <v>-29729.1</v>
      </c>
      <c r="BL16" s="207">
        <v>-2030.2800000000002</v>
      </c>
      <c r="BM16" s="207">
        <v>-2827.89</v>
      </c>
      <c r="BN16" s="207">
        <v>-145.02</v>
      </c>
      <c r="BO16" s="207">
        <v>4482</v>
      </c>
      <c r="BP16" s="207">
        <v>-214841.89997865187</v>
      </c>
      <c r="BQ16" s="207">
        <v>-657593.19</v>
      </c>
      <c r="BR16" s="207">
        <v>-113460.30353241414</v>
      </c>
      <c r="BS16" s="207">
        <v>673244</v>
      </c>
      <c r="BT16" s="207">
        <v>206380</v>
      </c>
      <c r="BU16" s="207">
        <v>508460.5721752701</v>
      </c>
      <c r="BV16" s="207">
        <v>25606.347000850088</v>
      </c>
      <c r="BW16" s="207">
        <v>17551.09041727703</v>
      </c>
      <c r="BX16" s="207">
        <v>266734.2517578432</v>
      </c>
      <c r="BY16" s="207">
        <v>405559.0589041466</v>
      </c>
      <c r="BZ16" s="207">
        <v>652159.7036758711</v>
      </c>
      <c r="CA16" s="207">
        <v>173760.4940445491</v>
      </c>
      <c r="CB16" s="207">
        <v>335303.7363628708</v>
      </c>
      <c r="CC16" s="207">
        <v>652.59</v>
      </c>
      <c r="CD16" s="207">
        <v>4625.103546274266</v>
      </c>
      <c r="CE16" s="207">
        <v>313388.22</v>
      </c>
      <c r="CF16" s="207">
        <v>3474446.8643525383</v>
      </c>
      <c r="CG16" s="207">
        <v>2173477.6743738865</v>
      </c>
      <c r="CH16" s="207">
        <v>0</v>
      </c>
      <c r="CI16" s="207">
        <v>6461492.291844448</v>
      </c>
      <c r="CJ16" s="207">
        <v>464694</v>
      </c>
      <c r="CK16" s="207">
        <v>0</v>
      </c>
      <c r="CL16" s="207">
        <v>0</v>
      </c>
      <c r="CM16" s="207">
        <v>210057.01042000004</v>
      </c>
      <c r="CN16" s="207">
        <v>23312852.823119543</v>
      </c>
      <c r="CO16" s="207">
        <v>23522909.83353954</v>
      </c>
      <c r="CP16" s="207">
        <v>7332</v>
      </c>
    </row>
    <row r="17" spans="1:94" ht="9.75">
      <c r="A17" s="175">
        <v>71</v>
      </c>
      <c r="B17" s="175" t="s">
        <v>74</v>
      </c>
      <c r="C17" s="207">
        <v>6970</v>
      </c>
      <c r="D17" s="207">
        <v>26331330.96</v>
      </c>
      <c r="E17" s="207">
        <v>10986494.8486043</v>
      </c>
      <c r="F17" s="207">
        <v>1587349.3543451636</v>
      </c>
      <c r="G17" s="207">
        <v>38905175.162949465</v>
      </c>
      <c r="H17" s="207">
        <v>3524.51</v>
      </c>
      <c r="I17" s="207">
        <v>24565834.700000003</v>
      </c>
      <c r="J17" s="207">
        <v>14339340.462949462</v>
      </c>
      <c r="K17" s="207">
        <v>688242.7794463714</v>
      </c>
      <c r="L17" s="207">
        <v>2158213.140737283</v>
      </c>
      <c r="M17" s="207">
        <v>0</v>
      </c>
      <c r="N17" s="207">
        <v>17185796.383133117</v>
      </c>
      <c r="O17" s="207">
        <v>7255676.657575558</v>
      </c>
      <c r="P17" s="207">
        <v>24441473.040708676</v>
      </c>
      <c r="Q17" s="207">
        <v>559</v>
      </c>
      <c r="R17" s="207">
        <v>101</v>
      </c>
      <c r="S17" s="207">
        <v>595</v>
      </c>
      <c r="T17" s="207">
        <v>324</v>
      </c>
      <c r="U17" s="207">
        <v>281</v>
      </c>
      <c r="V17" s="207">
        <v>3601</v>
      </c>
      <c r="W17" s="207">
        <v>863</v>
      </c>
      <c r="X17" s="207">
        <v>454</v>
      </c>
      <c r="Y17" s="207">
        <v>192</v>
      </c>
      <c r="Z17" s="207">
        <v>2</v>
      </c>
      <c r="AA17" s="207">
        <v>2</v>
      </c>
      <c r="AB17" s="207">
        <v>6874</v>
      </c>
      <c r="AC17" s="207">
        <v>92</v>
      </c>
      <c r="AD17" s="207">
        <v>1509</v>
      </c>
      <c r="AE17" s="207">
        <v>1.3907679232022188</v>
      </c>
      <c r="AF17" s="207">
        <v>10986494.8486043</v>
      </c>
      <c r="AG17" s="207">
        <v>13424184.579397239</v>
      </c>
      <c r="AH17" s="207">
        <v>3193330.945017527</v>
      </c>
      <c r="AI17" s="207">
        <v>1474227.7816856042</v>
      </c>
      <c r="AJ17" s="207">
        <v>336</v>
      </c>
      <c r="AK17" s="207">
        <v>2974</v>
      </c>
      <c r="AL17" s="207">
        <v>0.9763883288133463</v>
      </c>
      <c r="AM17" s="207">
        <v>92</v>
      </c>
      <c r="AN17" s="207">
        <v>0.013199426111908177</v>
      </c>
      <c r="AO17" s="207">
        <v>0.008258714649457585</v>
      </c>
      <c r="AP17" s="207">
        <v>0</v>
      </c>
      <c r="AQ17" s="207">
        <v>2</v>
      </c>
      <c r="AR17" s="207">
        <v>2</v>
      </c>
      <c r="AS17" s="207">
        <v>0</v>
      </c>
      <c r="AT17" s="207">
        <v>0</v>
      </c>
      <c r="AU17" s="207">
        <v>1049.78</v>
      </c>
      <c r="AV17" s="207">
        <v>6.639486368572463</v>
      </c>
      <c r="AW17" s="207">
        <v>2.7315112817075238</v>
      </c>
      <c r="AX17" s="207">
        <v>213</v>
      </c>
      <c r="AY17" s="207">
        <v>1843</v>
      </c>
      <c r="AZ17" s="207">
        <v>0.1155724362452523</v>
      </c>
      <c r="BA17" s="207">
        <v>0.05438860016101781</v>
      </c>
      <c r="BB17" s="207">
        <v>0.277066</v>
      </c>
      <c r="BC17" s="207">
        <v>2616</v>
      </c>
      <c r="BD17" s="207">
        <v>2514</v>
      </c>
      <c r="BE17" s="207">
        <v>1.0405727923627686</v>
      </c>
      <c r="BF17" s="207">
        <v>0.6316659097716755</v>
      </c>
      <c r="BG17" s="207">
        <v>0</v>
      </c>
      <c r="BH17" s="207">
        <v>2</v>
      </c>
      <c r="BI17" s="207">
        <v>0</v>
      </c>
      <c r="BJ17" s="207">
        <v>-1672.8</v>
      </c>
      <c r="BK17" s="207">
        <v>-28576.999999999996</v>
      </c>
      <c r="BL17" s="207">
        <v>-1951.6000000000001</v>
      </c>
      <c r="BM17" s="207">
        <v>-2718.3</v>
      </c>
      <c r="BN17" s="207">
        <v>-139.4</v>
      </c>
      <c r="BO17" s="207">
        <v>-163632</v>
      </c>
      <c r="BP17" s="207">
        <v>-177659.82088839705</v>
      </c>
      <c r="BQ17" s="207">
        <v>-632109.2999999999</v>
      </c>
      <c r="BR17" s="207">
        <v>-11546.944741975516</v>
      </c>
      <c r="BS17" s="207">
        <v>634501</v>
      </c>
      <c r="BT17" s="207">
        <v>212191</v>
      </c>
      <c r="BU17" s="207">
        <v>544020.7642299961</v>
      </c>
      <c r="BV17" s="207">
        <v>27631.80870777018</v>
      </c>
      <c r="BW17" s="207">
        <v>55173.66513559559</v>
      </c>
      <c r="BX17" s="207">
        <v>266304.3682504167</v>
      </c>
      <c r="BY17" s="207">
        <v>385249.7227873716</v>
      </c>
      <c r="BZ17" s="207">
        <v>604374.3985771033</v>
      </c>
      <c r="CA17" s="207">
        <v>179116.97758029238</v>
      </c>
      <c r="CB17" s="207">
        <v>325294.08349442657</v>
      </c>
      <c r="CC17" s="207">
        <v>627.3</v>
      </c>
      <c r="CD17" s="207">
        <v>19359.71760468343</v>
      </c>
      <c r="CE17" s="207">
        <v>301243.39999999997</v>
      </c>
      <c r="CF17" s="207">
        <v>3379909.26162568</v>
      </c>
      <c r="CG17" s="207">
        <v>2158213.140737283</v>
      </c>
      <c r="CH17" s="207">
        <v>0</v>
      </c>
      <c r="CI17" s="207">
        <v>7255676.657575558</v>
      </c>
      <c r="CJ17" s="207">
        <v>147443</v>
      </c>
      <c r="CK17" s="207">
        <v>0</v>
      </c>
      <c r="CL17" s="207">
        <v>0</v>
      </c>
      <c r="CM17" s="207">
        <v>143817.7043</v>
      </c>
      <c r="CN17" s="207">
        <v>24588916.040708676</v>
      </c>
      <c r="CO17" s="207">
        <v>24732733.745008677</v>
      </c>
      <c r="CP17" s="207">
        <v>7098</v>
      </c>
    </row>
    <row r="18" spans="1:94" ht="9.75">
      <c r="A18" s="175">
        <v>72</v>
      </c>
      <c r="B18" s="175" t="s">
        <v>75</v>
      </c>
      <c r="C18" s="207">
        <v>967</v>
      </c>
      <c r="D18" s="207">
        <v>3240928.4800000004</v>
      </c>
      <c r="E18" s="207">
        <v>1449126.2614478795</v>
      </c>
      <c r="F18" s="207">
        <v>1323292.30409211</v>
      </c>
      <c r="G18" s="207">
        <v>6013347.04553999</v>
      </c>
      <c r="H18" s="207">
        <v>3524.51</v>
      </c>
      <c r="I18" s="207">
        <v>3408201.1700000004</v>
      </c>
      <c r="J18" s="207">
        <v>2605145.8755399897</v>
      </c>
      <c r="K18" s="207">
        <v>189086.8988541205</v>
      </c>
      <c r="L18" s="207">
        <v>369084.04451252753</v>
      </c>
      <c r="M18" s="207">
        <v>0</v>
      </c>
      <c r="N18" s="207">
        <v>3163316.818906638</v>
      </c>
      <c r="O18" s="207">
        <v>432911.26248216594</v>
      </c>
      <c r="P18" s="207">
        <v>3596228.0813888037</v>
      </c>
      <c r="Q18" s="207">
        <v>46</v>
      </c>
      <c r="R18" s="207">
        <v>11</v>
      </c>
      <c r="S18" s="207">
        <v>55</v>
      </c>
      <c r="T18" s="207">
        <v>17</v>
      </c>
      <c r="U18" s="207">
        <v>17</v>
      </c>
      <c r="V18" s="207">
        <v>460</v>
      </c>
      <c r="W18" s="207">
        <v>217</v>
      </c>
      <c r="X18" s="207">
        <v>113</v>
      </c>
      <c r="Y18" s="207">
        <v>31</v>
      </c>
      <c r="Z18" s="207">
        <v>0</v>
      </c>
      <c r="AA18" s="207">
        <v>0</v>
      </c>
      <c r="AB18" s="207">
        <v>955</v>
      </c>
      <c r="AC18" s="207">
        <v>12</v>
      </c>
      <c r="AD18" s="207">
        <v>361</v>
      </c>
      <c r="AE18" s="207">
        <v>1.3222331462996129</v>
      </c>
      <c r="AF18" s="207">
        <v>1449126.2614478795</v>
      </c>
      <c r="AG18" s="207">
        <v>1739362.0636864386</v>
      </c>
      <c r="AH18" s="207">
        <v>388403.71172357246</v>
      </c>
      <c r="AI18" s="207">
        <v>169759.56273955444</v>
      </c>
      <c r="AJ18" s="207">
        <v>38</v>
      </c>
      <c r="AK18" s="207">
        <v>390</v>
      </c>
      <c r="AL18" s="207">
        <v>0.8420604228926579</v>
      </c>
      <c r="AM18" s="207">
        <v>12</v>
      </c>
      <c r="AN18" s="207">
        <v>0.012409513960703205</v>
      </c>
      <c r="AO18" s="207">
        <v>0.007468802498252612</v>
      </c>
      <c r="AP18" s="207">
        <v>0</v>
      </c>
      <c r="AQ18" s="207">
        <v>0</v>
      </c>
      <c r="AR18" s="207">
        <v>0</v>
      </c>
      <c r="AS18" s="207">
        <v>2</v>
      </c>
      <c r="AT18" s="207">
        <v>0</v>
      </c>
      <c r="AU18" s="207">
        <v>201.21</v>
      </c>
      <c r="AV18" s="207">
        <v>4.805924158839024</v>
      </c>
      <c r="AW18" s="207">
        <v>3.7736408900967984</v>
      </c>
      <c r="AX18" s="207">
        <v>24</v>
      </c>
      <c r="AY18" s="207">
        <v>247</v>
      </c>
      <c r="AZ18" s="207">
        <v>0.09716599190283401</v>
      </c>
      <c r="BA18" s="207">
        <v>0.035982155818599516</v>
      </c>
      <c r="BB18" s="207">
        <v>0.827266</v>
      </c>
      <c r="BC18" s="207">
        <v>250</v>
      </c>
      <c r="BD18" s="207">
        <v>337</v>
      </c>
      <c r="BE18" s="207">
        <v>0.7418397626112759</v>
      </c>
      <c r="BF18" s="207">
        <v>0.33293288002018284</v>
      </c>
      <c r="BG18" s="207">
        <v>0</v>
      </c>
      <c r="BH18" s="207">
        <v>0</v>
      </c>
      <c r="BI18" s="207">
        <v>0</v>
      </c>
      <c r="BJ18" s="207">
        <v>-232.07999999999998</v>
      </c>
      <c r="BK18" s="207">
        <v>-3964.7</v>
      </c>
      <c r="BL18" s="207">
        <v>-270.76000000000005</v>
      </c>
      <c r="BM18" s="207">
        <v>-377.13</v>
      </c>
      <c r="BN18" s="207">
        <v>-19.34</v>
      </c>
      <c r="BO18" s="207">
        <v>15733</v>
      </c>
      <c r="BP18" s="207">
        <v>-5024.8513097959585</v>
      </c>
      <c r="BQ18" s="207">
        <v>-87697.23</v>
      </c>
      <c r="BR18" s="207">
        <v>41680.04681260092</v>
      </c>
      <c r="BS18" s="207">
        <v>91944</v>
      </c>
      <c r="BT18" s="207">
        <v>29110</v>
      </c>
      <c r="BU18" s="207">
        <v>64666.662457567494</v>
      </c>
      <c r="BV18" s="207">
        <v>2692.481337280261</v>
      </c>
      <c r="BW18" s="207">
        <v>2749.036578336676</v>
      </c>
      <c r="BX18" s="207">
        <v>30690.44953189687</v>
      </c>
      <c r="BY18" s="207">
        <v>42842.84598806375</v>
      </c>
      <c r="BZ18" s="207">
        <v>82798.02735515137</v>
      </c>
      <c r="CA18" s="207">
        <v>22645.889351010537</v>
      </c>
      <c r="CB18" s="207">
        <v>41418.5949413645</v>
      </c>
      <c r="CC18" s="207">
        <v>87.03</v>
      </c>
      <c r="CD18" s="207">
        <v>8104.021469051028</v>
      </c>
      <c r="CE18" s="207">
        <v>41793.74</v>
      </c>
      <c r="CF18" s="207">
        <v>518955.82582232344</v>
      </c>
      <c r="CG18" s="207">
        <v>369084.04451252753</v>
      </c>
      <c r="CH18" s="207">
        <v>0</v>
      </c>
      <c r="CI18" s="207">
        <v>432911.26248216594</v>
      </c>
      <c r="CJ18" s="207">
        <v>-170710</v>
      </c>
      <c r="CK18" s="207">
        <v>0</v>
      </c>
      <c r="CL18" s="207">
        <v>0</v>
      </c>
      <c r="CM18" s="207">
        <v>0</v>
      </c>
      <c r="CN18" s="207">
        <v>3425518.0813888037</v>
      </c>
      <c r="CO18" s="207">
        <v>3425518.0813888037</v>
      </c>
      <c r="CP18" s="207">
        <v>994</v>
      </c>
    </row>
    <row r="19" spans="1:94" ht="9.75">
      <c r="A19" s="175">
        <v>74</v>
      </c>
      <c r="B19" s="175" t="s">
        <v>76</v>
      </c>
      <c r="C19" s="207">
        <v>1171</v>
      </c>
      <c r="D19" s="207">
        <v>4310222.34</v>
      </c>
      <c r="E19" s="207">
        <v>1805515.1630957415</v>
      </c>
      <c r="F19" s="207">
        <v>458090.9950008523</v>
      </c>
      <c r="G19" s="207">
        <v>6573828.498096594</v>
      </c>
      <c r="H19" s="207">
        <v>3524.51</v>
      </c>
      <c r="I19" s="207">
        <v>4127201.2100000004</v>
      </c>
      <c r="J19" s="207">
        <v>2446627.288096593</v>
      </c>
      <c r="K19" s="207">
        <v>252072.9301991124</v>
      </c>
      <c r="L19" s="207">
        <v>536247.958768016</v>
      </c>
      <c r="M19" s="207">
        <v>0</v>
      </c>
      <c r="N19" s="207">
        <v>3234948.177063721</v>
      </c>
      <c r="O19" s="207">
        <v>1163762.6187946054</v>
      </c>
      <c r="P19" s="207">
        <v>4398710.795858326</v>
      </c>
      <c r="Q19" s="207">
        <v>65</v>
      </c>
      <c r="R19" s="207">
        <v>11</v>
      </c>
      <c r="S19" s="207">
        <v>65</v>
      </c>
      <c r="T19" s="207">
        <v>32</v>
      </c>
      <c r="U19" s="207">
        <v>50</v>
      </c>
      <c r="V19" s="207">
        <v>576</v>
      </c>
      <c r="W19" s="207">
        <v>194</v>
      </c>
      <c r="X19" s="207">
        <v>127</v>
      </c>
      <c r="Y19" s="207">
        <v>51</v>
      </c>
      <c r="Z19" s="207">
        <v>9</v>
      </c>
      <c r="AA19" s="207">
        <v>0</v>
      </c>
      <c r="AB19" s="207">
        <v>1131</v>
      </c>
      <c r="AC19" s="207">
        <v>31</v>
      </c>
      <c r="AD19" s="207">
        <v>372</v>
      </c>
      <c r="AE19" s="207">
        <v>1.3604185095139938</v>
      </c>
      <c r="AF19" s="207">
        <v>1805515.1630957415</v>
      </c>
      <c r="AG19" s="207">
        <v>2298856.694777343</v>
      </c>
      <c r="AH19" s="207">
        <v>759471.0816266645</v>
      </c>
      <c r="AI19" s="207">
        <v>169759.5627395544</v>
      </c>
      <c r="AJ19" s="207">
        <v>42</v>
      </c>
      <c r="AK19" s="207">
        <v>506</v>
      </c>
      <c r="AL19" s="207">
        <v>0.7173366822852995</v>
      </c>
      <c r="AM19" s="207">
        <v>31</v>
      </c>
      <c r="AN19" s="207">
        <v>0.026473099914602904</v>
      </c>
      <c r="AO19" s="207">
        <v>0.02153238845215231</v>
      </c>
      <c r="AP19" s="207">
        <v>0</v>
      </c>
      <c r="AQ19" s="207">
        <v>9</v>
      </c>
      <c r="AR19" s="207">
        <v>0</v>
      </c>
      <c r="AS19" s="207">
        <v>0</v>
      </c>
      <c r="AT19" s="207">
        <v>0</v>
      </c>
      <c r="AU19" s="207">
        <v>413.01</v>
      </c>
      <c r="AV19" s="207">
        <v>2.835282438681872</v>
      </c>
      <c r="AW19" s="207">
        <v>6.396481589654392</v>
      </c>
      <c r="AX19" s="207">
        <v>49</v>
      </c>
      <c r="AY19" s="207">
        <v>292</v>
      </c>
      <c r="AZ19" s="207">
        <v>0.1678082191780822</v>
      </c>
      <c r="BA19" s="207">
        <v>0.1066243830938477</v>
      </c>
      <c r="BB19" s="207">
        <v>0.861433</v>
      </c>
      <c r="BC19" s="207">
        <v>422</v>
      </c>
      <c r="BD19" s="207">
        <v>450</v>
      </c>
      <c r="BE19" s="207">
        <v>0.9377777777777778</v>
      </c>
      <c r="BF19" s="207">
        <v>0.5288708951866847</v>
      </c>
      <c r="BG19" s="207">
        <v>0</v>
      </c>
      <c r="BH19" s="207">
        <v>0</v>
      </c>
      <c r="BI19" s="207">
        <v>0</v>
      </c>
      <c r="BJ19" s="207">
        <v>-281.03999999999996</v>
      </c>
      <c r="BK19" s="207">
        <v>-4801.099999999999</v>
      </c>
      <c r="BL19" s="207">
        <v>-327.88000000000005</v>
      </c>
      <c r="BM19" s="207">
        <v>-456.69</v>
      </c>
      <c r="BN19" s="207">
        <v>-23.42</v>
      </c>
      <c r="BO19" s="207">
        <v>-19165</v>
      </c>
      <c r="BP19" s="207">
        <v>-1700.1347238046837</v>
      </c>
      <c r="BQ19" s="207">
        <v>-106197.98999999999</v>
      </c>
      <c r="BR19" s="207">
        <v>55446.229112515226</v>
      </c>
      <c r="BS19" s="207">
        <v>134532</v>
      </c>
      <c r="BT19" s="207">
        <v>43901</v>
      </c>
      <c r="BU19" s="207">
        <v>113348.03837721006</v>
      </c>
      <c r="BV19" s="207">
        <v>6717.396987965677</v>
      </c>
      <c r="BW19" s="207">
        <v>-22207.792950525472</v>
      </c>
      <c r="BX19" s="207">
        <v>47988.048405878326</v>
      </c>
      <c r="BY19" s="207">
        <v>78960.37039101298</v>
      </c>
      <c r="BZ19" s="207">
        <v>126139.30799040805</v>
      </c>
      <c r="CA19" s="207">
        <v>43112.16629393451</v>
      </c>
      <c r="CB19" s="207">
        <v>69397.4331890611</v>
      </c>
      <c r="CC19" s="207">
        <v>105.39</v>
      </c>
      <c r="CD19" s="207">
        <v>-15533.024305639843</v>
      </c>
      <c r="CE19" s="207">
        <v>50610.619999999995</v>
      </c>
      <c r="CF19" s="207">
        <v>713352.1834918206</v>
      </c>
      <c r="CG19" s="207">
        <v>536247.958768016</v>
      </c>
      <c r="CH19" s="207">
        <v>0</v>
      </c>
      <c r="CI19" s="207">
        <v>1163762.6187946054</v>
      </c>
      <c r="CJ19" s="207">
        <v>-249950</v>
      </c>
      <c r="CK19" s="207">
        <v>0</v>
      </c>
      <c r="CL19" s="207">
        <v>0</v>
      </c>
      <c r="CM19" s="207">
        <v>6600.17</v>
      </c>
      <c r="CN19" s="207">
        <v>4148760.7958583264</v>
      </c>
      <c r="CO19" s="207">
        <v>4155360.9658583263</v>
      </c>
      <c r="CP19" s="207">
        <v>1219</v>
      </c>
    </row>
    <row r="20" spans="1:94" ht="9.75">
      <c r="A20" s="175">
        <v>75</v>
      </c>
      <c r="B20" s="175" t="s">
        <v>77</v>
      </c>
      <c r="C20" s="207">
        <v>20493</v>
      </c>
      <c r="D20" s="207">
        <v>70130587.11</v>
      </c>
      <c r="E20" s="207">
        <v>26459905.902013298</v>
      </c>
      <c r="F20" s="207">
        <v>5281875.231787531</v>
      </c>
      <c r="G20" s="207">
        <v>101872368.24380083</v>
      </c>
      <c r="H20" s="207">
        <v>3524.51</v>
      </c>
      <c r="I20" s="207">
        <v>72227783.43</v>
      </c>
      <c r="J20" s="207">
        <v>29644584.813800827</v>
      </c>
      <c r="K20" s="207">
        <v>574644.0303878706</v>
      </c>
      <c r="L20" s="207">
        <v>5086392.006323482</v>
      </c>
      <c r="M20" s="207">
        <v>0</v>
      </c>
      <c r="N20" s="207">
        <v>35305620.85051218</v>
      </c>
      <c r="O20" s="207">
        <v>4739426.577068324</v>
      </c>
      <c r="P20" s="207">
        <v>40045047.4275805</v>
      </c>
      <c r="Q20" s="207">
        <v>942</v>
      </c>
      <c r="R20" s="207">
        <v>196</v>
      </c>
      <c r="S20" s="207">
        <v>1210</v>
      </c>
      <c r="T20" s="207">
        <v>629</v>
      </c>
      <c r="U20" s="207">
        <v>646</v>
      </c>
      <c r="V20" s="207">
        <v>11068</v>
      </c>
      <c r="W20" s="207">
        <v>3212</v>
      </c>
      <c r="X20" s="207">
        <v>1844</v>
      </c>
      <c r="Y20" s="207">
        <v>746</v>
      </c>
      <c r="Z20" s="207">
        <v>71</v>
      </c>
      <c r="AA20" s="207">
        <v>0</v>
      </c>
      <c r="AB20" s="207">
        <v>19236</v>
      </c>
      <c r="AC20" s="207">
        <v>1186</v>
      </c>
      <c r="AD20" s="207">
        <v>5802</v>
      </c>
      <c r="AE20" s="207">
        <v>1.1392290283021669</v>
      </c>
      <c r="AF20" s="207">
        <v>26459905.902013298</v>
      </c>
      <c r="AG20" s="207">
        <v>32206644.52460357</v>
      </c>
      <c r="AH20" s="207">
        <v>8318386.995697006</v>
      </c>
      <c r="AI20" s="207">
        <v>3341582.9718207023</v>
      </c>
      <c r="AJ20" s="207">
        <v>1231</v>
      </c>
      <c r="AK20" s="207">
        <v>9147</v>
      </c>
      <c r="AL20" s="207">
        <v>1.1630640717017835</v>
      </c>
      <c r="AM20" s="207">
        <v>1186</v>
      </c>
      <c r="AN20" s="207">
        <v>0.05787342019226077</v>
      </c>
      <c r="AO20" s="207">
        <v>0.05293270872981018</v>
      </c>
      <c r="AP20" s="207">
        <v>0</v>
      </c>
      <c r="AQ20" s="207">
        <v>71</v>
      </c>
      <c r="AR20" s="207">
        <v>0</v>
      </c>
      <c r="AS20" s="207">
        <v>0</v>
      </c>
      <c r="AT20" s="207">
        <v>0</v>
      </c>
      <c r="AU20" s="207">
        <v>609.71</v>
      </c>
      <c r="AV20" s="207">
        <v>33.611060996211314</v>
      </c>
      <c r="AW20" s="207">
        <v>0.539579274886422</v>
      </c>
      <c r="AX20" s="207">
        <v>894</v>
      </c>
      <c r="AY20" s="207">
        <v>6063</v>
      </c>
      <c r="AZ20" s="207">
        <v>0.14745175655616033</v>
      </c>
      <c r="BA20" s="207">
        <v>0.08626792047192583</v>
      </c>
      <c r="BB20" s="207">
        <v>0</v>
      </c>
      <c r="BC20" s="207">
        <v>6409</v>
      </c>
      <c r="BD20" s="207">
        <v>7562</v>
      </c>
      <c r="BE20" s="207">
        <v>0.8475271092303623</v>
      </c>
      <c r="BF20" s="207">
        <v>0.43862022663926925</v>
      </c>
      <c r="BG20" s="207">
        <v>0</v>
      </c>
      <c r="BH20" s="207">
        <v>0</v>
      </c>
      <c r="BI20" s="207">
        <v>0</v>
      </c>
      <c r="BJ20" s="207">
        <v>-4918.32</v>
      </c>
      <c r="BK20" s="207">
        <v>-84021.29999999999</v>
      </c>
      <c r="BL20" s="207">
        <v>-5738.040000000001</v>
      </c>
      <c r="BM20" s="207">
        <v>-7992.27</v>
      </c>
      <c r="BN20" s="207">
        <v>-409.86</v>
      </c>
      <c r="BO20" s="207">
        <v>392114</v>
      </c>
      <c r="BP20" s="207">
        <v>-881178.1433101106</v>
      </c>
      <c r="BQ20" s="207">
        <v>-1858510.17</v>
      </c>
      <c r="BR20" s="207">
        <v>23925.74176903814</v>
      </c>
      <c r="BS20" s="207">
        <v>1568738</v>
      </c>
      <c r="BT20" s="207">
        <v>487407</v>
      </c>
      <c r="BU20" s="207">
        <v>1128575.9968275034</v>
      </c>
      <c r="BV20" s="207">
        <v>45002.87181555037</v>
      </c>
      <c r="BW20" s="207">
        <v>86422.8722369255</v>
      </c>
      <c r="BX20" s="207">
        <v>566255.6106364303</v>
      </c>
      <c r="BY20" s="207">
        <v>942635.9640092317</v>
      </c>
      <c r="BZ20" s="207">
        <v>1584026.0242622562</v>
      </c>
      <c r="CA20" s="207">
        <v>445115.1609238217</v>
      </c>
      <c r="CB20" s="207">
        <v>809673.0418329524</v>
      </c>
      <c r="CC20" s="207">
        <v>1844.37</v>
      </c>
      <c r="CD20" s="207">
        <v>69772.50531988277</v>
      </c>
      <c r="CE20" s="207">
        <v>885707.46</v>
      </c>
      <c r="CF20" s="207">
        <v>9037216.619633593</v>
      </c>
      <c r="CG20" s="207">
        <v>5086392.006323482</v>
      </c>
      <c r="CH20" s="207">
        <v>0</v>
      </c>
      <c r="CI20" s="207">
        <v>4739426.577068324</v>
      </c>
      <c r="CJ20" s="207">
        <v>-1892174</v>
      </c>
      <c r="CK20" s="207">
        <v>0</v>
      </c>
      <c r="CL20" s="207">
        <v>0</v>
      </c>
      <c r="CM20" s="207">
        <v>-53566.979719999974</v>
      </c>
      <c r="CN20" s="207">
        <v>38152873.4275805</v>
      </c>
      <c r="CO20" s="207">
        <v>38099306.4478605</v>
      </c>
      <c r="CP20" s="207">
        <v>20636</v>
      </c>
    </row>
    <row r="21" spans="1:94" ht="9.75">
      <c r="A21" s="175">
        <v>77</v>
      </c>
      <c r="B21" s="175" t="s">
        <v>78</v>
      </c>
      <c r="C21" s="207">
        <v>5019</v>
      </c>
      <c r="D21" s="207">
        <v>18546024.82</v>
      </c>
      <c r="E21" s="207">
        <v>8617950.848767918</v>
      </c>
      <c r="F21" s="207">
        <v>1109378.3551497427</v>
      </c>
      <c r="G21" s="207">
        <v>28273354.02391766</v>
      </c>
      <c r="H21" s="207">
        <v>3524.51</v>
      </c>
      <c r="I21" s="207">
        <v>17689515.69</v>
      </c>
      <c r="J21" s="207">
        <v>10583838.333917659</v>
      </c>
      <c r="K21" s="207">
        <v>296915.29055337585</v>
      </c>
      <c r="L21" s="207">
        <v>2218839.9620455476</v>
      </c>
      <c r="M21" s="207">
        <v>0</v>
      </c>
      <c r="N21" s="207">
        <v>13099593.586516581</v>
      </c>
      <c r="O21" s="207">
        <v>5349253.730697813</v>
      </c>
      <c r="P21" s="207">
        <v>18448847.317214396</v>
      </c>
      <c r="Q21" s="207">
        <v>263</v>
      </c>
      <c r="R21" s="207">
        <v>51</v>
      </c>
      <c r="S21" s="207">
        <v>339</v>
      </c>
      <c r="T21" s="207">
        <v>168</v>
      </c>
      <c r="U21" s="207">
        <v>158</v>
      </c>
      <c r="V21" s="207">
        <v>2567</v>
      </c>
      <c r="W21" s="207">
        <v>791</v>
      </c>
      <c r="X21" s="207">
        <v>464</v>
      </c>
      <c r="Y21" s="207">
        <v>218</v>
      </c>
      <c r="Z21" s="207">
        <v>9</v>
      </c>
      <c r="AA21" s="207">
        <v>0</v>
      </c>
      <c r="AB21" s="207">
        <v>4946</v>
      </c>
      <c r="AC21" s="207">
        <v>64</v>
      </c>
      <c r="AD21" s="207">
        <v>1473</v>
      </c>
      <c r="AE21" s="207">
        <v>1.515008621660855</v>
      </c>
      <c r="AF21" s="207">
        <v>8617950.848767918</v>
      </c>
      <c r="AG21" s="207">
        <v>10317537.998748295</v>
      </c>
      <c r="AH21" s="207">
        <v>3509216.1197509645</v>
      </c>
      <c r="AI21" s="207">
        <v>947079.6658101456</v>
      </c>
      <c r="AJ21" s="207">
        <v>269</v>
      </c>
      <c r="AK21" s="207">
        <v>2143</v>
      </c>
      <c r="AL21" s="207">
        <v>1.0848117366906789</v>
      </c>
      <c r="AM21" s="207">
        <v>64</v>
      </c>
      <c r="AN21" s="207">
        <v>0.01275154413229727</v>
      </c>
      <c r="AO21" s="207">
        <v>0.0078108326698466774</v>
      </c>
      <c r="AP21" s="207">
        <v>0</v>
      </c>
      <c r="AQ21" s="207">
        <v>9</v>
      </c>
      <c r="AR21" s="207">
        <v>0</v>
      </c>
      <c r="AS21" s="207">
        <v>0</v>
      </c>
      <c r="AT21" s="207">
        <v>0</v>
      </c>
      <c r="AU21" s="207">
        <v>571.69</v>
      </c>
      <c r="AV21" s="207">
        <v>8.779233500673442</v>
      </c>
      <c r="AW21" s="207">
        <v>2.0657648437198795</v>
      </c>
      <c r="AX21" s="207">
        <v>189</v>
      </c>
      <c r="AY21" s="207">
        <v>1335</v>
      </c>
      <c r="AZ21" s="207">
        <v>0.14157303370786517</v>
      </c>
      <c r="BA21" s="207">
        <v>0.08038919762363067</v>
      </c>
      <c r="BB21" s="207">
        <v>0.1618</v>
      </c>
      <c r="BC21" s="207">
        <v>1382</v>
      </c>
      <c r="BD21" s="207">
        <v>1725</v>
      </c>
      <c r="BE21" s="207">
        <v>0.8011594202898551</v>
      </c>
      <c r="BF21" s="207">
        <v>0.392252537698762</v>
      </c>
      <c r="BG21" s="207">
        <v>0</v>
      </c>
      <c r="BH21" s="207">
        <v>0</v>
      </c>
      <c r="BI21" s="207">
        <v>0</v>
      </c>
      <c r="BJ21" s="207">
        <v>-1204.56</v>
      </c>
      <c r="BK21" s="207">
        <v>-20577.899999999998</v>
      </c>
      <c r="BL21" s="207">
        <v>-1405.3200000000002</v>
      </c>
      <c r="BM21" s="207">
        <v>-1957.41</v>
      </c>
      <c r="BN21" s="207">
        <v>-100.38</v>
      </c>
      <c r="BO21" s="207">
        <v>96106</v>
      </c>
      <c r="BP21" s="207">
        <v>-142291.13901338945</v>
      </c>
      <c r="BQ21" s="207">
        <v>-455173.11</v>
      </c>
      <c r="BR21" s="207">
        <v>157787.49098494463</v>
      </c>
      <c r="BS21" s="207">
        <v>567639</v>
      </c>
      <c r="BT21" s="207">
        <v>165760</v>
      </c>
      <c r="BU21" s="207">
        <v>418313.4407374764</v>
      </c>
      <c r="BV21" s="207">
        <v>22899.471769744072</v>
      </c>
      <c r="BW21" s="207">
        <v>68329.26429098393</v>
      </c>
      <c r="BX21" s="207">
        <v>205003.42725285116</v>
      </c>
      <c r="BY21" s="207">
        <v>305523.6082293353</v>
      </c>
      <c r="BZ21" s="207">
        <v>467407.96175449586</v>
      </c>
      <c r="CA21" s="207">
        <v>130242.03157009084</v>
      </c>
      <c r="CB21" s="207">
        <v>244524.13581577002</v>
      </c>
      <c r="CC21" s="207">
        <v>451.71</v>
      </c>
      <c r="CD21" s="207">
        <v>46018.38865324468</v>
      </c>
      <c r="CE21" s="207">
        <v>216921.18</v>
      </c>
      <c r="CF21" s="207">
        <v>3112927.111058937</v>
      </c>
      <c r="CG21" s="207">
        <v>2218839.9620455476</v>
      </c>
      <c r="CH21" s="207">
        <v>0</v>
      </c>
      <c r="CI21" s="207">
        <v>5349253.730697813</v>
      </c>
      <c r="CJ21" s="207">
        <v>37067</v>
      </c>
      <c r="CK21" s="207">
        <v>0</v>
      </c>
      <c r="CL21" s="207">
        <v>0</v>
      </c>
      <c r="CM21" s="207">
        <v>35297.70916000003</v>
      </c>
      <c r="CN21" s="207">
        <v>18485914.317214396</v>
      </c>
      <c r="CO21" s="207">
        <v>18521212.026374396</v>
      </c>
      <c r="CP21" s="207">
        <v>5159</v>
      </c>
    </row>
    <row r="22" spans="1:94" ht="9.75">
      <c r="A22" s="175">
        <v>78</v>
      </c>
      <c r="B22" s="175" t="s">
        <v>79</v>
      </c>
      <c r="C22" s="207">
        <v>8517</v>
      </c>
      <c r="D22" s="207">
        <v>27554001.88</v>
      </c>
      <c r="E22" s="207">
        <v>9344544.017258167</v>
      </c>
      <c r="F22" s="207">
        <v>3153352.8700949727</v>
      </c>
      <c r="G22" s="207">
        <v>40051898.76735313</v>
      </c>
      <c r="H22" s="207">
        <v>3524.51</v>
      </c>
      <c r="I22" s="207">
        <v>30018251.67</v>
      </c>
      <c r="J22" s="207">
        <v>10033647.09735313</v>
      </c>
      <c r="K22" s="207">
        <v>1218535.4875146975</v>
      </c>
      <c r="L22" s="207">
        <v>2039132.2326592845</v>
      </c>
      <c r="M22" s="207">
        <v>0</v>
      </c>
      <c r="N22" s="207">
        <v>13291314.817527112</v>
      </c>
      <c r="O22" s="207">
        <v>-286510.7858735356</v>
      </c>
      <c r="P22" s="207">
        <v>13004804.031653576</v>
      </c>
      <c r="Q22" s="207">
        <v>352</v>
      </c>
      <c r="R22" s="207">
        <v>81</v>
      </c>
      <c r="S22" s="207">
        <v>503</v>
      </c>
      <c r="T22" s="207">
        <v>258</v>
      </c>
      <c r="U22" s="207">
        <v>274</v>
      </c>
      <c r="V22" s="207">
        <v>4437</v>
      </c>
      <c r="W22" s="207">
        <v>1621</v>
      </c>
      <c r="X22" s="207">
        <v>770</v>
      </c>
      <c r="Y22" s="207">
        <v>221</v>
      </c>
      <c r="Z22" s="207">
        <v>3644</v>
      </c>
      <c r="AA22" s="207">
        <v>1</v>
      </c>
      <c r="AB22" s="207">
        <v>4470</v>
      </c>
      <c r="AC22" s="207">
        <v>402</v>
      </c>
      <c r="AD22" s="207">
        <v>2612</v>
      </c>
      <c r="AE22" s="207">
        <v>0.9680543794994089</v>
      </c>
      <c r="AF22" s="207">
        <v>9344544.017258167</v>
      </c>
      <c r="AG22" s="207">
        <v>12611578.908086473</v>
      </c>
      <c r="AH22" s="207">
        <v>2594414.511188123</v>
      </c>
      <c r="AI22" s="207">
        <v>1224055.7944904715</v>
      </c>
      <c r="AJ22" s="207">
        <v>404</v>
      </c>
      <c r="AK22" s="207">
        <v>3867</v>
      </c>
      <c r="AL22" s="207">
        <v>0.9028829653816176</v>
      </c>
      <c r="AM22" s="207">
        <v>402</v>
      </c>
      <c r="AN22" s="207">
        <v>0.04719971821063755</v>
      </c>
      <c r="AO22" s="207">
        <v>0.04225900674818696</v>
      </c>
      <c r="AP22" s="207">
        <v>1</v>
      </c>
      <c r="AQ22" s="207">
        <v>3644</v>
      </c>
      <c r="AR22" s="207">
        <v>1</v>
      </c>
      <c r="AS22" s="207">
        <v>0</v>
      </c>
      <c r="AT22" s="207">
        <v>0</v>
      </c>
      <c r="AU22" s="207">
        <v>116.92</v>
      </c>
      <c r="AV22" s="207">
        <v>72.84468012316114</v>
      </c>
      <c r="AW22" s="207">
        <v>0.24896577059348868</v>
      </c>
      <c r="AX22" s="207">
        <v>620</v>
      </c>
      <c r="AY22" s="207">
        <v>2483</v>
      </c>
      <c r="AZ22" s="207">
        <v>0.24969794603302456</v>
      </c>
      <c r="BA22" s="207">
        <v>0.18851410994879006</v>
      </c>
      <c r="BB22" s="207">
        <v>0.472016</v>
      </c>
      <c r="BC22" s="207">
        <v>3515</v>
      </c>
      <c r="BD22" s="207">
        <v>3220</v>
      </c>
      <c r="BE22" s="207">
        <v>1.0916149068322982</v>
      </c>
      <c r="BF22" s="207">
        <v>0.6827080242412051</v>
      </c>
      <c r="BG22" s="207">
        <v>0</v>
      </c>
      <c r="BH22" s="207">
        <v>1</v>
      </c>
      <c r="BI22" s="207">
        <v>0</v>
      </c>
      <c r="BJ22" s="207">
        <v>-2044.08</v>
      </c>
      <c r="BK22" s="207">
        <v>-34919.7</v>
      </c>
      <c r="BL22" s="207">
        <v>-2384.76</v>
      </c>
      <c r="BM22" s="207">
        <v>-3321.63</v>
      </c>
      <c r="BN22" s="207">
        <v>-170.34</v>
      </c>
      <c r="BO22" s="207">
        <v>286074</v>
      </c>
      <c r="BP22" s="207">
        <v>-418401.97519932984</v>
      </c>
      <c r="BQ22" s="207">
        <v>-772406.73</v>
      </c>
      <c r="BR22" s="207">
        <v>82923.98256242089</v>
      </c>
      <c r="BS22" s="207">
        <v>656636</v>
      </c>
      <c r="BT22" s="207">
        <v>215300</v>
      </c>
      <c r="BU22" s="207">
        <v>400984.0691540849</v>
      </c>
      <c r="BV22" s="207">
        <v>7536.817691286501</v>
      </c>
      <c r="BW22" s="207">
        <v>13723.005639968009</v>
      </c>
      <c r="BX22" s="207">
        <v>240221.42672180056</v>
      </c>
      <c r="BY22" s="207">
        <v>317595.93887166877</v>
      </c>
      <c r="BZ22" s="207">
        <v>682918.9141502562</v>
      </c>
      <c r="CA22" s="207">
        <v>171481.5886962977</v>
      </c>
      <c r="CB22" s="207">
        <v>327290.6439745335</v>
      </c>
      <c r="CC22" s="207">
        <v>766.53</v>
      </c>
      <c r="CD22" s="207">
        <v>-38262.019603702414</v>
      </c>
      <c r="CE22" s="207">
        <v>368104.74</v>
      </c>
      <c r="CF22" s="207">
        <v>3733295.6378586143</v>
      </c>
      <c r="CG22" s="207">
        <v>2039132.2326592845</v>
      </c>
      <c r="CH22" s="207">
        <v>0</v>
      </c>
      <c r="CI22" s="207">
        <v>-286510.7858735356</v>
      </c>
      <c r="CJ22" s="207">
        <v>-518559</v>
      </c>
      <c r="CK22" s="207">
        <v>0</v>
      </c>
      <c r="CL22" s="207">
        <v>0</v>
      </c>
      <c r="CM22" s="207">
        <v>124931.97786200003</v>
      </c>
      <c r="CN22" s="207">
        <v>12486245.031653576</v>
      </c>
      <c r="CO22" s="207">
        <v>12611177.009515576</v>
      </c>
      <c r="CP22" s="207">
        <v>8663</v>
      </c>
    </row>
    <row r="23" spans="1:94" ht="9.75">
      <c r="A23" s="175">
        <v>79</v>
      </c>
      <c r="B23" s="175" t="s">
        <v>80</v>
      </c>
      <c r="C23" s="207">
        <v>7151</v>
      </c>
      <c r="D23" s="207">
        <v>25635552.38</v>
      </c>
      <c r="E23" s="207">
        <v>8851615.916201448</v>
      </c>
      <c r="F23" s="207">
        <v>1400568.3717371454</v>
      </c>
      <c r="G23" s="207">
        <v>35887736.66793859</v>
      </c>
      <c r="H23" s="207">
        <v>3524.51</v>
      </c>
      <c r="I23" s="207">
        <v>25203771.01</v>
      </c>
      <c r="J23" s="207">
        <v>10683965.657938588</v>
      </c>
      <c r="K23" s="207">
        <v>470780.1412819777</v>
      </c>
      <c r="L23" s="207">
        <v>1603982.1043118557</v>
      </c>
      <c r="M23" s="207">
        <v>0</v>
      </c>
      <c r="N23" s="207">
        <v>12758727.903532421</v>
      </c>
      <c r="O23" s="207">
        <v>-1828441.9235179478</v>
      </c>
      <c r="P23" s="207">
        <v>10930285.980014473</v>
      </c>
      <c r="Q23" s="207">
        <v>380</v>
      </c>
      <c r="R23" s="207">
        <v>88</v>
      </c>
      <c r="S23" s="207">
        <v>403</v>
      </c>
      <c r="T23" s="207">
        <v>256</v>
      </c>
      <c r="U23" s="207">
        <v>211</v>
      </c>
      <c r="V23" s="207">
        <v>3663</v>
      </c>
      <c r="W23" s="207">
        <v>1215</v>
      </c>
      <c r="X23" s="207">
        <v>663</v>
      </c>
      <c r="Y23" s="207">
        <v>272</v>
      </c>
      <c r="Z23" s="207">
        <v>13</v>
      </c>
      <c r="AA23" s="207">
        <v>0</v>
      </c>
      <c r="AB23" s="207">
        <v>6901</v>
      </c>
      <c r="AC23" s="207">
        <v>237</v>
      </c>
      <c r="AD23" s="207">
        <v>2150</v>
      </c>
      <c r="AE23" s="207">
        <v>1.0921544765015008</v>
      </c>
      <c r="AF23" s="207">
        <v>8851615.916201448</v>
      </c>
      <c r="AG23" s="207">
        <v>11915017.059702909</v>
      </c>
      <c r="AH23" s="207">
        <v>2305501.2789744944</v>
      </c>
      <c r="AI23" s="207">
        <v>1349141.7880880379</v>
      </c>
      <c r="AJ23" s="207">
        <v>362</v>
      </c>
      <c r="AK23" s="207">
        <v>3034</v>
      </c>
      <c r="AL23" s="207">
        <v>1.031139112028462</v>
      </c>
      <c r="AM23" s="207">
        <v>237</v>
      </c>
      <c r="AN23" s="207">
        <v>0.03314221787162635</v>
      </c>
      <c r="AO23" s="207">
        <v>0.028201506409175757</v>
      </c>
      <c r="AP23" s="207">
        <v>0</v>
      </c>
      <c r="AQ23" s="207">
        <v>13</v>
      </c>
      <c r="AR23" s="207">
        <v>0</v>
      </c>
      <c r="AS23" s="207">
        <v>0</v>
      </c>
      <c r="AT23" s="207">
        <v>0</v>
      </c>
      <c r="AU23" s="207">
        <v>123.46</v>
      </c>
      <c r="AV23" s="207">
        <v>57.921594038555</v>
      </c>
      <c r="AW23" s="207">
        <v>0.3131100278149639</v>
      </c>
      <c r="AX23" s="207">
        <v>327</v>
      </c>
      <c r="AY23" s="207">
        <v>2021</v>
      </c>
      <c r="AZ23" s="207">
        <v>0.16180108857001485</v>
      </c>
      <c r="BA23" s="207">
        <v>0.10061725248578035</v>
      </c>
      <c r="BB23" s="207">
        <v>0</v>
      </c>
      <c r="BC23" s="207">
        <v>3696</v>
      </c>
      <c r="BD23" s="207">
        <v>2569</v>
      </c>
      <c r="BE23" s="207">
        <v>1.438692098092643</v>
      </c>
      <c r="BF23" s="207">
        <v>1.0297852155015499</v>
      </c>
      <c r="BG23" s="207">
        <v>0</v>
      </c>
      <c r="BH23" s="207">
        <v>0</v>
      </c>
      <c r="BI23" s="207">
        <v>0</v>
      </c>
      <c r="BJ23" s="207">
        <v>-1716.24</v>
      </c>
      <c r="BK23" s="207">
        <v>-29319.1</v>
      </c>
      <c r="BL23" s="207">
        <v>-2002.2800000000002</v>
      </c>
      <c r="BM23" s="207">
        <v>-2788.89</v>
      </c>
      <c r="BN23" s="207">
        <v>-143.02</v>
      </c>
      <c r="BO23" s="207">
        <v>199711</v>
      </c>
      <c r="BP23" s="207">
        <v>-364203.8699416404</v>
      </c>
      <c r="BQ23" s="207">
        <v>-648524.19</v>
      </c>
      <c r="BR23" s="207">
        <v>93941.89818028547</v>
      </c>
      <c r="BS23" s="207">
        <v>489725</v>
      </c>
      <c r="BT23" s="207">
        <v>169748</v>
      </c>
      <c r="BU23" s="207">
        <v>361767.9968837349</v>
      </c>
      <c r="BV23" s="207">
        <v>17405.703014667208</v>
      </c>
      <c r="BW23" s="207">
        <v>72742.07318975206</v>
      </c>
      <c r="BX23" s="207">
        <v>207561.9031788306</v>
      </c>
      <c r="BY23" s="207">
        <v>316837.43389339</v>
      </c>
      <c r="BZ23" s="207">
        <v>564778.0514717557</v>
      </c>
      <c r="CA23" s="207">
        <v>146060.94627804705</v>
      </c>
      <c r="CB23" s="207">
        <v>278126.9222357134</v>
      </c>
      <c r="CC23" s="207">
        <v>643.59</v>
      </c>
      <c r="CD23" s="207">
        <v>-188782.4740726802</v>
      </c>
      <c r="CE23" s="207">
        <v>309066.22</v>
      </c>
      <c r="CF23" s="207">
        <v>3039334.264253496</v>
      </c>
      <c r="CG23" s="207">
        <v>1603982.1043118557</v>
      </c>
      <c r="CH23" s="207">
        <v>0</v>
      </c>
      <c r="CI23" s="207">
        <v>-1828441.9235179478</v>
      </c>
      <c r="CJ23" s="207">
        <v>-599078</v>
      </c>
      <c r="CK23" s="207">
        <v>0</v>
      </c>
      <c r="CL23" s="207">
        <v>0</v>
      </c>
      <c r="CM23" s="207">
        <v>-7075.382240000035</v>
      </c>
      <c r="CN23" s="207">
        <v>10331207.980014473</v>
      </c>
      <c r="CO23" s="207">
        <v>10324132.597774474</v>
      </c>
      <c r="CP23" s="207">
        <v>7240</v>
      </c>
    </row>
    <row r="24" spans="1:94" ht="9.75">
      <c r="A24" s="175">
        <v>81</v>
      </c>
      <c r="B24" s="175" t="s">
        <v>81</v>
      </c>
      <c r="C24" s="207">
        <v>2882</v>
      </c>
      <c r="D24" s="207">
        <v>10182712.780000001</v>
      </c>
      <c r="E24" s="207">
        <v>4371257.6140713105</v>
      </c>
      <c r="F24" s="207">
        <v>959640.2124543788</v>
      </c>
      <c r="G24" s="207">
        <v>15513610.60652569</v>
      </c>
      <c r="H24" s="207">
        <v>3524.51</v>
      </c>
      <c r="I24" s="207">
        <v>10157637.82</v>
      </c>
      <c r="J24" s="207">
        <v>5355972.786525689</v>
      </c>
      <c r="K24" s="207">
        <v>395872.5522412285</v>
      </c>
      <c r="L24" s="207">
        <v>1113592.3257961348</v>
      </c>
      <c r="M24" s="207">
        <v>0</v>
      </c>
      <c r="N24" s="207">
        <v>6865437.664563052</v>
      </c>
      <c r="O24" s="207">
        <v>2322812.625973368</v>
      </c>
      <c r="P24" s="207">
        <v>9188250.29053642</v>
      </c>
      <c r="Q24" s="207">
        <v>104</v>
      </c>
      <c r="R24" s="207">
        <v>16</v>
      </c>
      <c r="S24" s="207">
        <v>119</v>
      </c>
      <c r="T24" s="207">
        <v>71</v>
      </c>
      <c r="U24" s="207">
        <v>88</v>
      </c>
      <c r="V24" s="207">
        <v>1448</v>
      </c>
      <c r="W24" s="207">
        <v>582</v>
      </c>
      <c r="X24" s="207">
        <v>303</v>
      </c>
      <c r="Y24" s="207">
        <v>151</v>
      </c>
      <c r="Z24" s="207">
        <v>1</v>
      </c>
      <c r="AA24" s="207">
        <v>0</v>
      </c>
      <c r="AB24" s="207">
        <v>2784</v>
      </c>
      <c r="AC24" s="207">
        <v>97</v>
      </c>
      <c r="AD24" s="207">
        <v>1036</v>
      </c>
      <c r="AE24" s="207">
        <v>1.3382606632259537</v>
      </c>
      <c r="AF24" s="207">
        <v>4371257.6140713105</v>
      </c>
      <c r="AG24" s="207">
        <v>5452233.0003428785</v>
      </c>
      <c r="AH24" s="207">
        <v>1565920.5538115057</v>
      </c>
      <c r="AI24" s="207">
        <v>473539.83290507284</v>
      </c>
      <c r="AJ24" s="207">
        <v>137</v>
      </c>
      <c r="AK24" s="207">
        <v>1215</v>
      </c>
      <c r="AL24" s="207">
        <v>0.9744701839972862</v>
      </c>
      <c r="AM24" s="207">
        <v>97</v>
      </c>
      <c r="AN24" s="207">
        <v>0.03365718251214434</v>
      </c>
      <c r="AO24" s="207">
        <v>0.02871647104969375</v>
      </c>
      <c r="AP24" s="207">
        <v>0</v>
      </c>
      <c r="AQ24" s="207">
        <v>1</v>
      </c>
      <c r="AR24" s="207">
        <v>0</v>
      </c>
      <c r="AS24" s="207">
        <v>0</v>
      </c>
      <c r="AT24" s="207">
        <v>0</v>
      </c>
      <c r="AU24" s="207">
        <v>542.71</v>
      </c>
      <c r="AV24" s="207">
        <v>5.310386762727791</v>
      </c>
      <c r="AW24" s="207">
        <v>3.4151621587696095</v>
      </c>
      <c r="AX24" s="207">
        <v>153</v>
      </c>
      <c r="AY24" s="207">
        <v>700</v>
      </c>
      <c r="AZ24" s="207">
        <v>0.21857142857142858</v>
      </c>
      <c r="BA24" s="207">
        <v>0.15738759248719408</v>
      </c>
      <c r="BB24" s="207">
        <v>0.4455</v>
      </c>
      <c r="BC24" s="207">
        <v>1106</v>
      </c>
      <c r="BD24" s="207">
        <v>1015</v>
      </c>
      <c r="BE24" s="207">
        <v>1.089655172413793</v>
      </c>
      <c r="BF24" s="207">
        <v>0.6807482898227</v>
      </c>
      <c r="BG24" s="207">
        <v>0</v>
      </c>
      <c r="BH24" s="207">
        <v>0</v>
      </c>
      <c r="BI24" s="207">
        <v>0</v>
      </c>
      <c r="BJ24" s="207">
        <v>-691.68</v>
      </c>
      <c r="BK24" s="207">
        <v>-11816.199999999999</v>
      </c>
      <c r="BL24" s="207">
        <v>-806.96</v>
      </c>
      <c r="BM24" s="207">
        <v>-1123.98</v>
      </c>
      <c r="BN24" s="207">
        <v>-57.64</v>
      </c>
      <c r="BO24" s="207">
        <v>6856</v>
      </c>
      <c r="BP24" s="207">
        <v>-109700.3980324637</v>
      </c>
      <c r="BQ24" s="207">
        <v>-261368.58</v>
      </c>
      <c r="BR24" s="207">
        <v>-49133.1341699101</v>
      </c>
      <c r="BS24" s="207">
        <v>382259</v>
      </c>
      <c r="BT24" s="207">
        <v>112706</v>
      </c>
      <c r="BU24" s="207">
        <v>280753.0252410473</v>
      </c>
      <c r="BV24" s="207">
        <v>16551.202542072944</v>
      </c>
      <c r="BW24" s="207">
        <v>-34065.64087492219</v>
      </c>
      <c r="BX24" s="207">
        <v>133220.72793783026</v>
      </c>
      <c r="BY24" s="207">
        <v>183270.36904974162</v>
      </c>
      <c r="BZ24" s="207">
        <v>273566.22968570556</v>
      </c>
      <c r="CA24" s="207">
        <v>94944.14539466533</v>
      </c>
      <c r="CB24" s="207">
        <v>153973.46332418438</v>
      </c>
      <c r="CC24" s="207">
        <v>259.38</v>
      </c>
      <c r="CD24" s="207">
        <v>-24733.304301816635</v>
      </c>
      <c r="CE24" s="207">
        <v>124560.04</v>
      </c>
      <c r="CF24" s="207">
        <v>1654987.5038285984</v>
      </c>
      <c r="CG24" s="207">
        <v>1113592.3257961348</v>
      </c>
      <c r="CH24" s="207">
        <v>0</v>
      </c>
      <c r="CI24" s="207">
        <v>2322812.625973368</v>
      </c>
      <c r="CJ24" s="207">
        <v>-565806</v>
      </c>
      <c r="CK24" s="207">
        <v>0</v>
      </c>
      <c r="CL24" s="207">
        <v>0</v>
      </c>
      <c r="CM24" s="207">
        <v>-63665.23982</v>
      </c>
      <c r="CN24" s="207">
        <v>8622444.29053642</v>
      </c>
      <c r="CO24" s="207">
        <v>8558779.05071642</v>
      </c>
      <c r="CP24" s="207">
        <v>2924</v>
      </c>
    </row>
    <row r="25" spans="1:94" ht="9.75">
      <c r="A25" s="175">
        <v>82</v>
      </c>
      <c r="B25" s="175" t="s">
        <v>82</v>
      </c>
      <c r="C25" s="207">
        <v>9610</v>
      </c>
      <c r="D25" s="207">
        <v>32724864.290000003</v>
      </c>
      <c r="E25" s="207">
        <v>8018033.909244406</v>
      </c>
      <c r="F25" s="207">
        <v>1216735.796516459</v>
      </c>
      <c r="G25" s="207">
        <v>41959633.995760866</v>
      </c>
      <c r="H25" s="207">
        <v>3524.51</v>
      </c>
      <c r="I25" s="207">
        <v>33870541.1</v>
      </c>
      <c r="J25" s="207">
        <v>8089092.895760864</v>
      </c>
      <c r="K25" s="207">
        <v>126152.86619529963</v>
      </c>
      <c r="L25" s="207">
        <v>2041670.7566049453</v>
      </c>
      <c r="M25" s="207">
        <v>0</v>
      </c>
      <c r="N25" s="207">
        <v>10256916.51856111</v>
      </c>
      <c r="O25" s="207">
        <v>1448714.1744299545</v>
      </c>
      <c r="P25" s="207">
        <v>11705630.692991065</v>
      </c>
      <c r="Q25" s="207">
        <v>606</v>
      </c>
      <c r="R25" s="207">
        <v>131</v>
      </c>
      <c r="S25" s="207">
        <v>735</v>
      </c>
      <c r="T25" s="207">
        <v>358</v>
      </c>
      <c r="U25" s="207">
        <v>387</v>
      </c>
      <c r="V25" s="207">
        <v>5313</v>
      </c>
      <c r="W25" s="207">
        <v>1256</v>
      </c>
      <c r="X25" s="207">
        <v>600</v>
      </c>
      <c r="Y25" s="207">
        <v>224</v>
      </c>
      <c r="Z25" s="207">
        <v>34</v>
      </c>
      <c r="AA25" s="207">
        <v>0</v>
      </c>
      <c r="AB25" s="207">
        <v>9412</v>
      </c>
      <c r="AC25" s="207">
        <v>164</v>
      </c>
      <c r="AD25" s="207">
        <v>2080</v>
      </c>
      <c r="AE25" s="207">
        <v>0.7361609699446622</v>
      </c>
      <c r="AF25" s="207">
        <v>8018033.909244406</v>
      </c>
      <c r="AG25" s="207">
        <v>10353008.749431252</v>
      </c>
      <c r="AH25" s="207">
        <v>1882386.1864183971</v>
      </c>
      <c r="AI25" s="207">
        <v>1125773.942378098</v>
      </c>
      <c r="AJ25" s="207">
        <v>358</v>
      </c>
      <c r="AK25" s="207">
        <v>4662</v>
      </c>
      <c r="AL25" s="207">
        <v>0.6636437729699975</v>
      </c>
      <c r="AM25" s="207">
        <v>164</v>
      </c>
      <c r="AN25" s="207">
        <v>0.017065556711758585</v>
      </c>
      <c r="AO25" s="207">
        <v>0.012124845249307993</v>
      </c>
      <c r="AP25" s="207">
        <v>0</v>
      </c>
      <c r="AQ25" s="207">
        <v>34</v>
      </c>
      <c r="AR25" s="207">
        <v>0</v>
      </c>
      <c r="AS25" s="207">
        <v>0</v>
      </c>
      <c r="AT25" s="207">
        <v>0</v>
      </c>
      <c r="AU25" s="207">
        <v>357.8</v>
      </c>
      <c r="AV25" s="207">
        <v>26.858580212409166</v>
      </c>
      <c r="AW25" s="207">
        <v>0.6752341999120232</v>
      </c>
      <c r="AX25" s="207">
        <v>339</v>
      </c>
      <c r="AY25" s="207">
        <v>3075</v>
      </c>
      <c r="AZ25" s="207">
        <v>0.11024390243902439</v>
      </c>
      <c r="BA25" s="207">
        <v>0.0490600663547899</v>
      </c>
      <c r="BB25" s="207">
        <v>0</v>
      </c>
      <c r="BC25" s="207">
        <v>2570</v>
      </c>
      <c r="BD25" s="207">
        <v>4184</v>
      </c>
      <c r="BE25" s="207">
        <v>0.614244741873805</v>
      </c>
      <c r="BF25" s="207">
        <v>0.20533785928271187</v>
      </c>
      <c r="BG25" s="207">
        <v>0</v>
      </c>
      <c r="BH25" s="207">
        <v>0</v>
      </c>
      <c r="BI25" s="207">
        <v>0</v>
      </c>
      <c r="BJ25" s="207">
        <v>-2306.4</v>
      </c>
      <c r="BK25" s="207">
        <v>-39401</v>
      </c>
      <c r="BL25" s="207">
        <v>-2690.8</v>
      </c>
      <c r="BM25" s="207">
        <v>-3747.9</v>
      </c>
      <c r="BN25" s="207">
        <v>-192.20000000000002</v>
      </c>
      <c r="BO25" s="207">
        <v>88078</v>
      </c>
      <c r="BP25" s="207">
        <v>-240821.18601225252</v>
      </c>
      <c r="BQ25" s="207">
        <v>-871530.9</v>
      </c>
      <c r="BR25" s="207">
        <v>-115651.5479556378</v>
      </c>
      <c r="BS25" s="207">
        <v>676314</v>
      </c>
      <c r="BT25" s="207">
        <v>221366</v>
      </c>
      <c r="BU25" s="207">
        <v>445055.0591263313</v>
      </c>
      <c r="BV25" s="207">
        <v>6932.215931270755</v>
      </c>
      <c r="BW25" s="207">
        <v>58409.76069782427</v>
      </c>
      <c r="BX25" s="207">
        <v>192372.5287367456</v>
      </c>
      <c r="BY25" s="207">
        <v>439754.50773878576</v>
      </c>
      <c r="BZ25" s="207">
        <v>739872.3813262391</v>
      </c>
      <c r="CA25" s="207">
        <v>197045.6477393645</v>
      </c>
      <c r="CB25" s="207">
        <v>346997.4878271195</v>
      </c>
      <c r="CC25" s="207">
        <v>864.9</v>
      </c>
      <c r="CD25" s="207">
        <v>9218.701449155189</v>
      </c>
      <c r="CE25" s="207">
        <v>415344.2</v>
      </c>
      <c r="CF25" s="207">
        <v>3721973.842617198</v>
      </c>
      <c r="CG25" s="207">
        <v>2041670.7566049453</v>
      </c>
      <c r="CH25" s="207">
        <v>0</v>
      </c>
      <c r="CI25" s="207">
        <v>1448714.1744299545</v>
      </c>
      <c r="CJ25" s="207">
        <v>-1984330</v>
      </c>
      <c r="CK25" s="207">
        <v>0</v>
      </c>
      <c r="CL25" s="207">
        <v>0</v>
      </c>
      <c r="CM25" s="207">
        <v>-2692.8693599999533</v>
      </c>
      <c r="CN25" s="207">
        <v>9721300.692991065</v>
      </c>
      <c r="CO25" s="207">
        <v>9718607.823631065</v>
      </c>
      <c r="CP25" s="207">
        <v>9682</v>
      </c>
    </row>
    <row r="26" spans="1:94" ht="9.75">
      <c r="A26" s="175">
        <v>86</v>
      </c>
      <c r="B26" s="175" t="s">
        <v>83</v>
      </c>
      <c r="C26" s="207">
        <v>8504</v>
      </c>
      <c r="D26" s="207">
        <v>29298103.519999996</v>
      </c>
      <c r="E26" s="207">
        <v>8549507.235727757</v>
      </c>
      <c r="F26" s="207">
        <v>1344602.0725727666</v>
      </c>
      <c r="G26" s="207">
        <v>39192212.82830052</v>
      </c>
      <c r="H26" s="207">
        <v>3524.51</v>
      </c>
      <c r="I26" s="207">
        <v>29972433.040000003</v>
      </c>
      <c r="J26" s="207">
        <v>9219779.788300518</v>
      </c>
      <c r="K26" s="207">
        <v>87417.90957194634</v>
      </c>
      <c r="L26" s="207">
        <v>2203963.54256047</v>
      </c>
      <c r="M26" s="207">
        <v>0</v>
      </c>
      <c r="N26" s="207">
        <v>11511161.240432933</v>
      </c>
      <c r="O26" s="207">
        <v>3236005.010464434</v>
      </c>
      <c r="P26" s="207">
        <v>14747166.250897367</v>
      </c>
      <c r="Q26" s="207">
        <v>559</v>
      </c>
      <c r="R26" s="207">
        <v>119</v>
      </c>
      <c r="S26" s="207">
        <v>697</v>
      </c>
      <c r="T26" s="207">
        <v>331</v>
      </c>
      <c r="U26" s="207">
        <v>296</v>
      </c>
      <c r="V26" s="207">
        <v>4801</v>
      </c>
      <c r="W26" s="207">
        <v>1024</v>
      </c>
      <c r="X26" s="207">
        <v>467</v>
      </c>
      <c r="Y26" s="207">
        <v>210</v>
      </c>
      <c r="Z26" s="207">
        <v>35</v>
      </c>
      <c r="AA26" s="207">
        <v>1</v>
      </c>
      <c r="AB26" s="207">
        <v>8229</v>
      </c>
      <c r="AC26" s="207">
        <v>239</v>
      </c>
      <c r="AD26" s="207">
        <v>1701</v>
      </c>
      <c r="AE26" s="207">
        <v>0.8870459551531108</v>
      </c>
      <c r="AF26" s="207">
        <v>8549507.235727757</v>
      </c>
      <c r="AG26" s="207">
        <v>11271694.549657151</v>
      </c>
      <c r="AH26" s="207">
        <v>2202218.47469132</v>
      </c>
      <c r="AI26" s="207">
        <v>1170447.5115200859</v>
      </c>
      <c r="AJ26" s="207">
        <v>268</v>
      </c>
      <c r="AK26" s="207">
        <v>4184</v>
      </c>
      <c r="AL26" s="207">
        <v>0.5535634208057046</v>
      </c>
      <c r="AM26" s="207">
        <v>239</v>
      </c>
      <c r="AN26" s="207">
        <v>0.02810442144873001</v>
      </c>
      <c r="AO26" s="207">
        <v>0.023163709986279417</v>
      </c>
      <c r="AP26" s="207">
        <v>0</v>
      </c>
      <c r="AQ26" s="207">
        <v>35</v>
      </c>
      <c r="AR26" s="207">
        <v>1</v>
      </c>
      <c r="AS26" s="207">
        <v>0</v>
      </c>
      <c r="AT26" s="207">
        <v>0</v>
      </c>
      <c r="AU26" s="207">
        <v>389.36</v>
      </c>
      <c r="AV26" s="207">
        <v>21.840969796589274</v>
      </c>
      <c r="AW26" s="207">
        <v>0.8303583627193664</v>
      </c>
      <c r="AX26" s="207">
        <v>426</v>
      </c>
      <c r="AY26" s="207">
        <v>2905</v>
      </c>
      <c r="AZ26" s="207">
        <v>0.14664371772805507</v>
      </c>
      <c r="BA26" s="207">
        <v>0.08545988164382057</v>
      </c>
      <c r="BB26" s="207">
        <v>0</v>
      </c>
      <c r="BC26" s="207">
        <v>2121</v>
      </c>
      <c r="BD26" s="207">
        <v>3723</v>
      </c>
      <c r="BE26" s="207">
        <v>0.5697018533440773</v>
      </c>
      <c r="BF26" s="207">
        <v>0.1607949707529842</v>
      </c>
      <c r="BG26" s="207">
        <v>0</v>
      </c>
      <c r="BH26" s="207">
        <v>1</v>
      </c>
      <c r="BI26" s="207">
        <v>0</v>
      </c>
      <c r="BJ26" s="207">
        <v>-2040.96</v>
      </c>
      <c r="BK26" s="207">
        <v>-34866.399999999994</v>
      </c>
      <c r="BL26" s="207">
        <v>-2381.1200000000003</v>
      </c>
      <c r="BM26" s="207">
        <v>-3316.56</v>
      </c>
      <c r="BN26" s="207">
        <v>-170.08</v>
      </c>
      <c r="BO26" s="207">
        <v>50241</v>
      </c>
      <c r="BP26" s="207">
        <v>-315361.0622584915</v>
      </c>
      <c r="BQ26" s="207">
        <v>-771227.76</v>
      </c>
      <c r="BR26" s="207">
        <v>26314.203572351485</v>
      </c>
      <c r="BS26" s="207">
        <v>684929</v>
      </c>
      <c r="BT26" s="207">
        <v>219405</v>
      </c>
      <c r="BU26" s="207">
        <v>453618.33415046043</v>
      </c>
      <c r="BV26" s="207">
        <v>11746.726739898262</v>
      </c>
      <c r="BW26" s="207">
        <v>84479.08494531004</v>
      </c>
      <c r="BX26" s="207">
        <v>176088.1724966164</v>
      </c>
      <c r="BY26" s="207">
        <v>436966.1327736365</v>
      </c>
      <c r="BZ26" s="207">
        <v>725646.8696418864</v>
      </c>
      <c r="CA26" s="207">
        <v>189210.61735064804</v>
      </c>
      <c r="CB26" s="207">
        <v>336533.31482467405</v>
      </c>
      <c r="CC26" s="207">
        <v>765.36</v>
      </c>
      <c r="CD26" s="207">
        <v>29652.068323478816</v>
      </c>
      <c r="CE26" s="207">
        <v>367542.88</v>
      </c>
      <c r="CF26" s="207">
        <v>3793138.7648189613</v>
      </c>
      <c r="CG26" s="207">
        <v>2203963.54256047</v>
      </c>
      <c r="CH26" s="207">
        <v>0</v>
      </c>
      <c r="CI26" s="207">
        <v>3236005.010464434</v>
      </c>
      <c r="CJ26" s="207">
        <v>-1293572</v>
      </c>
      <c r="CK26" s="207">
        <v>0</v>
      </c>
      <c r="CL26" s="207">
        <v>0</v>
      </c>
      <c r="CM26" s="207">
        <v>-1079563.4062200007</v>
      </c>
      <c r="CN26" s="207">
        <v>13453594.250897367</v>
      </c>
      <c r="CO26" s="207">
        <v>12374030.844677366</v>
      </c>
      <c r="CP26" s="207">
        <v>8641</v>
      </c>
    </row>
    <row r="27" spans="1:94" ht="9.75">
      <c r="A27" s="175">
        <v>111</v>
      </c>
      <c r="B27" s="175" t="s">
        <v>84</v>
      </c>
      <c r="C27" s="207">
        <v>19128</v>
      </c>
      <c r="D27" s="207">
        <v>64652741.11000001</v>
      </c>
      <c r="E27" s="207">
        <v>29619619.29831747</v>
      </c>
      <c r="F27" s="207">
        <v>4482816.532715351</v>
      </c>
      <c r="G27" s="207">
        <v>98755176.94103283</v>
      </c>
      <c r="H27" s="207">
        <v>3524.51</v>
      </c>
      <c r="I27" s="207">
        <v>67416827.28</v>
      </c>
      <c r="J27" s="207">
        <v>31338349.661032826</v>
      </c>
      <c r="K27" s="207">
        <v>689890.8542177135</v>
      </c>
      <c r="L27" s="207">
        <v>5092782.805247748</v>
      </c>
      <c r="M27" s="207">
        <v>0</v>
      </c>
      <c r="N27" s="207">
        <v>37121023.32049829</v>
      </c>
      <c r="O27" s="207">
        <v>8503754.965754488</v>
      </c>
      <c r="P27" s="207">
        <v>45624778.286252774</v>
      </c>
      <c r="Q27" s="207">
        <v>763</v>
      </c>
      <c r="R27" s="207">
        <v>148</v>
      </c>
      <c r="S27" s="207">
        <v>971</v>
      </c>
      <c r="T27" s="207">
        <v>564</v>
      </c>
      <c r="U27" s="207">
        <v>588</v>
      </c>
      <c r="V27" s="207">
        <v>10052</v>
      </c>
      <c r="W27" s="207">
        <v>3445</v>
      </c>
      <c r="X27" s="207">
        <v>1874</v>
      </c>
      <c r="Y27" s="207">
        <v>723</v>
      </c>
      <c r="Z27" s="207">
        <v>41</v>
      </c>
      <c r="AA27" s="207">
        <v>0</v>
      </c>
      <c r="AB27" s="207">
        <v>18458</v>
      </c>
      <c r="AC27" s="207">
        <v>629</v>
      </c>
      <c r="AD27" s="207">
        <v>6042</v>
      </c>
      <c r="AE27" s="207">
        <v>1.3662752346814744</v>
      </c>
      <c r="AF27" s="207">
        <v>29619619.29831747</v>
      </c>
      <c r="AG27" s="207">
        <v>35550427.022739686</v>
      </c>
      <c r="AH27" s="207">
        <v>9494201.161356142</v>
      </c>
      <c r="AI27" s="207">
        <v>3556016.103702245</v>
      </c>
      <c r="AJ27" s="207">
        <v>1222</v>
      </c>
      <c r="AK27" s="207">
        <v>8467</v>
      </c>
      <c r="AL27" s="207">
        <v>1.2472856114518374</v>
      </c>
      <c r="AM27" s="207">
        <v>629</v>
      </c>
      <c r="AN27" s="207">
        <v>0.03288373065662903</v>
      </c>
      <c r="AO27" s="207">
        <v>0.027943019194178437</v>
      </c>
      <c r="AP27" s="207">
        <v>0</v>
      </c>
      <c r="AQ27" s="207">
        <v>41</v>
      </c>
      <c r="AR27" s="207">
        <v>0</v>
      </c>
      <c r="AS27" s="207">
        <v>0</v>
      </c>
      <c r="AT27" s="207">
        <v>0</v>
      </c>
      <c r="AU27" s="207">
        <v>675.99</v>
      </c>
      <c r="AV27" s="207">
        <v>28.29627657213864</v>
      </c>
      <c r="AW27" s="207">
        <v>0.6409264439532685</v>
      </c>
      <c r="AX27" s="207">
        <v>925</v>
      </c>
      <c r="AY27" s="207">
        <v>5118</v>
      </c>
      <c r="AZ27" s="207">
        <v>0.1807346619773349</v>
      </c>
      <c r="BA27" s="207">
        <v>0.1195508258931004</v>
      </c>
      <c r="BB27" s="207">
        <v>0</v>
      </c>
      <c r="BC27" s="207">
        <v>6649</v>
      </c>
      <c r="BD27" s="207">
        <v>6833</v>
      </c>
      <c r="BE27" s="207">
        <v>0.9730718571637641</v>
      </c>
      <c r="BF27" s="207">
        <v>0.564164974572671</v>
      </c>
      <c r="BG27" s="207">
        <v>0</v>
      </c>
      <c r="BH27" s="207">
        <v>0</v>
      </c>
      <c r="BI27" s="207">
        <v>0</v>
      </c>
      <c r="BJ27" s="207">
        <v>-4590.72</v>
      </c>
      <c r="BK27" s="207">
        <v>-78424.79999999999</v>
      </c>
      <c r="BL27" s="207">
        <v>-5355.84</v>
      </c>
      <c r="BM27" s="207">
        <v>-7459.92</v>
      </c>
      <c r="BN27" s="207">
        <v>-382.56</v>
      </c>
      <c r="BO27" s="207">
        <v>751929</v>
      </c>
      <c r="BP27" s="207">
        <v>-1263426.4899453658</v>
      </c>
      <c r="BQ27" s="207">
        <v>-1734718.32</v>
      </c>
      <c r="BR27" s="207">
        <v>-211195.58279307187</v>
      </c>
      <c r="BS27" s="207">
        <v>1456682</v>
      </c>
      <c r="BT27" s="207">
        <v>464204</v>
      </c>
      <c r="BU27" s="207">
        <v>1094866.502573506</v>
      </c>
      <c r="BV27" s="207">
        <v>51131.63424286549</v>
      </c>
      <c r="BW27" s="207">
        <v>176358.02767384014</v>
      </c>
      <c r="BX27" s="207">
        <v>602628.2312042551</v>
      </c>
      <c r="BY27" s="207">
        <v>940187.9911416231</v>
      </c>
      <c r="BZ27" s="207">
        <v>1578097.1405111526</v>
      </c>
      <c r="CA27" s="207">
        <v>472697.7859773661</v>
      </c>
      <c r="CB27" s="207">
        <v>815657.8724326619</v>
      </c>
      <c r="CC27" s="207">
        <v>1721.52</v>
      </c>
      <c r="CD27" s="207">
        <v>199714.13222891683</v>
      </c>
      <c r="CE27" s="207">
        <v>826712.16</v>
      </c>
      <c r="CF27" s="207">
        <v>9221392.415193114</v>
      </c>
      <c r="CG27" s="207">
        <v>5092782.805247748</v>
      </c>
      <c r="CH27" s="207">
        <v>0</v>
      </c>
      <c r="CI27" s="207">
        <v>8503754.965754488</v>
      </c>
      <c r="CJ27" s="207">
        <v>-2176171</v>
      </c>
      <c r="CK27" s="207">
        <v>0</v>
      </c>
      <c r="CL27" s="207">
        <v>0</v>
      </c>
      <c r="CM27" s="207">
        <v>85076.19129999995</v>
      </c>
      <c r="CN27" s="207">
        <v>43448607.286252774</v>
      </c>
      <c r="CO27" s="207">
        <v>43533683.47755277</v>
      </c>
      <c r="CP27" s="207">
        <v>19350</v>
      </c>
    </row>
    <row r="28" spans="1:94" ht="9.75">
      <c r="A28" s="175">
        <v>90</v>
      </c>
      <c r="B28" s="175" t="s">
        <v>85</v>
      </c>
      <c r="C28" s="207">
        <v>3455</v>
      </c>
      <c r="D28" s="207">
        <v>12825613.009999998</v>
      </c>
      <c r="E28" s="207">
        <v>7355102.118788247</v>
      </c>
      <c r="F28" s="207">
        <v>1410964.6695932224</v>
      </c>
      <c r="G28" s="207">
        <v>21591679.798381466</v>
      </c>
      <c r="H28" s="207">
        <v>3524.51</v>
      </c>
      <c r="I28" s="207">
        <v>12177182.05</v>
      </c>
      <c r="J28" s="207">
        <v>9414497.748381466</v>
      </c>
      <c r="K28" s="207">
        <v>642091.2031750209</v>
      </c>
      <c r="L28" s="207">
        <v>1189617.9320102623</v>
      </c>
      <c r="M28" s="207">
        <v>0</v>
      </c>
      <c r="N28" s="207">
        <v>11246206.883566748</v>
      </c>
      <c r="O28" s="207">
        <v>2444164.009589348</v>
      </c>
      <c r="P28" s="207">
        <v>13690370.893156096</v>
      </c>
      <c r="Q28" s="207">
        <v>115</v>
      </c>
      <c r="R28" s="207">
        <v>28</v>
      </c>
      <c r="S28" s="207">
        <v>178</v>
      </c>
      <c r="T28" s="207">
        <v>112</v>
      </c>
      <c r="U28" s="207">
        <v>72</v>
      </c>
      <c r="V28" s="207">
        <v>1686</v>
      </c>
      <c r="W28" s="207">
        <v>668</v>
      </c>
      <c r="X28" s="207">
        <v>416</v>
      </c>
      <c r="Y28" s="207">
        <v>180</v>
      </c>
      <c r="Z28" s="207">
        <v>8</v>
      </c>
      <c r="AA28" s="207">
        <v>0</v>
      </c>
      <c r="AB28" s="207">
        <v>3366</v>
      </c>
      <c r="AC28" s="207">
        <v>81</v>
      </c>
      <c r="AD28" s="207">
        <v>1264</v>
      </c>
      <c r="AE28" s="207">
        <v>1.8783172300929127</v>
      </c>
      <c r="AF28" s="207">
        <v>7355102.118788247</v>
      </c>
      <c r="AG28" s="207">
        <v>9688031.811065936</v>
      </c>
      <c r="AH28" s="207">
        <v>2756942.7157551255</v>
      </c>
      <c r="AI28" s="207">
        <v>821993.6722125793</v>
      </c>
      <c r="AJ28" s="207">
        <v>198</v>
      </c>
      <c r="AK28" s="207">
        <v>1336</v>
      </c>
      <c r="AL28" s="207">
        <v>1.280804953036776</v>
      </c>
      <c r="AM28" s="207">
        <v>81</v>
      </c>
      <c r="AN28" s="207">
        <v>0.023444283646888567</v>
      </c>
      <c r="AO28" s="207">
        <v>0.018503572184437975</v>
      </c>
      <c r="AP28" s="207">
        <v>0</v>
      </c>
      <c r="AQ28" s="207">
        <v>8</v>
      </c>
      <c r="AR28" s="207">
        <v>0</v>
      </c>
      <c r="AS28" s="207">
        <v>0</v>
      </c>
      <c r="AT28" s="207">
        <v>0</v>
      </c>
      <c r="AU28" s="207">
        <v>1029.96</v>
      </c>
      <c r="AV28" s="207">
        <v>3.3544992038525767</v>
      </c>
      <c r="AW28" s="207">
        <v>5.406420099808148</v>
      </c>
      <c r="AX28" s="207">
        <v>161</v>
      </c>
      <c r="AY28" s="207">
        <v>818</v>
      </c>
      <c r="AZ28" s="207">
        <v>0.19682151589242053</v>
      </c>
      <c r="BA28" s="207">
        <v>0.13563767980818603</v>
      </c>
      <c r="BB28" s="207">
        <v>0.704266</v>
      </c>
      <c r="BC28" s="207">
        <v>1093</v>
      </c>
      <c r="BD28" s="207">
        <v>1098</v>
      </c>
      <c r="BE28" s="207">
        <v>0.9954462659380692</v>
      </c>
      <c r="BF28" s="207">
        <v>0.5865393833469761</v>
      </c>
      <c r="BG28" s="207">
        <v>0</v>
      </c>
      <c r="BH28" s="207">
        <v>0</v>
      </c>
      <c r="BI28" s="207">
        <v>0</v>
      </c>
      <c r="BJ28" s="207">
        <v>-829.1999999999999</v>
      </c>
      <c r="BK28" s="207">
        <v>-14165.499999999998</v>
      </c>
      <c r="BL28" s="207">
        <v>-967.4000000000001</v>
      </c>
      <c r="BM28" s="207">
        <v>-1347.45</v>
      </c>
      <c r="BN28" s="207">
        <v>-69.10000000000001</v>
      </c>
      <c r="BO28" s="207">
        <v>-138429</v>
      </c>
      <c r="BP28" s="207">
        <v>-103210.45509909649</v>
      </c>
      <c r="BQ28" s="207">
        <v>-313333.95</v>
      </c>
      <c r="BR28" s="207">
        <v>50519.79779796116</v>
      </c>
      <c r="BS28" s="207">
        <v>414960</v>
      </c>
      <c r="BT28" s="207">
        <v>115556</v>
      </c>
      <c r="BU28" s="207">
        <v>307791.1445000703</v>
      </c>
      <c r="BV28" s="207">
        <v>16925.36445599054</v>
      </c>
      <c r="BW28" s="207">
        <v>55473.379691860675</v>
      </c>
      <c r="BX28" s="207">
        <v>155595.83504072958</v>
      </c>
      <c r="BY28" s="207">
        <v>191991.19827667397</v>
      </c>
      <c r="BZ28" s="207">
        <v>291574.7104154343</v>
      </c>
      <c r="CA28" s="207">
        <v>90136.82512467867</v>
      </c>
      <c r="CB28" s="207">
        <v>169233.90248930658</v>
      </c>
      <c r="CC28" s="207">
        <v>310.95</v>
      </c>
      <c r="CD28" s="207">
        <v>-60612.37068334714</v>
      </c>
      <c r="CE28" s="207">
        <v>149325.1</v>
      </c>
      <c r="CF28" s="207">
        <v>1810352.8371093587</v>
      </c>
      <c r="CG28" s="207">
        <v>1189617.9320102623</v>
      </c>
      <c r="CH28" s="207">
        <v>0</v>
      </c>
      <c r="CI28" s="207">
        <v>2444164.009589348</v>
      </c>
      <c r="CJ28" s="207">
        <v>-133388</v>
      </c>
      <c r="CK28" s="207">
        <v>0</v>
      </c>
      <c r="CL28" s="207">
        <v>0</v>
      </c>
      <c r="CM28" s="207">
        <v>47521.224</v>
      </c>
      <c r="CN28" s="207">
        <v>13556982.893156096</v>
      </c>
      <c r="CO28" s="207">
        <v>13604504.117156096</v>
      </c>
      <c r="CP28" s="207">
        <v>3514</v>
      </c>
    </row>
    <row r="29" spans="1:94" ht="9.75">
      <c r="A29" s="175">
        <v>91</v>
      </c>
      <c r="B29" s="175" t="s">
        <v>86</v>
      </c>
      <c r="C29" s="207">
        <v>643272</v>
      </c>
      <c r="D29" s="207">
        <v>1866406346.1599998</v>
      </c>
      <c r="E29" s="207">
        <v>581478051.3837868</v>
      </c>
      <c r="F29" s="207">
        <v>289089588.752119</v>
      </c>
      <c r="G29" s="207">
        <v>2736973986.2959056</v>
      </c>
      <c r="H29" s="207">
        <v>3524.51</v>
      </c>
      <c r="I29" s="207">
        <v>2267218596.7200003</v>
      </c>
      <c r="J29" s="207">
        <v>469755389.5759053</v>
      </c>
      <c r="K29" s="207">
        <v>36295516.24706314</v>
      </c>
      <c r="L29" s="207">
        <v>47710323.152754396</v>
      </c>
      <c r="M29" s="207">
        <v>0</v>
      </c>
      <c r="N29" s="207">
        <v>553761228.9757229</v>
      </c>
      <c r="O29" s="207">
        <v>-340603759.24172866</v>
      </c>
      <c r="P29" s="207">
        <v>213157469.73399425</v>
      </c>
      <c r="Q29" s="207">
        <v>39741</v>
      </c>
      <c r="R29" s="207">
        <v>6292</v>
      </c>
      <c r="S29" s="207">
        <v>35149</v>
      </c>
      <c r="T29" s="207">
        <v>15534</v>
      </c>
      <c r="U29" s="207">
        <v>16132</v>
      </c>
      <c r="V29" s="207">
        <v>422056</v>
      </c>
      <c r="W29" s="207">
        <v>63132</v>
      </c>
      <c r="X29" s="207">
        <v>31692</v>
      </c>
      <c r="Y29" s="207">
        <v>13544</v>
      </c>
      <c r="Z29" s="207">
        <v>36361</v>
      </c>
      <c r="AA29" s="207">
        <v>71</v>
      </c>
      <c r="AB29" s="207">
        <v>508571</v>
      </c>
      <c r="AC29" s="207">
        <v>98269</v>
      </c>
      <c r="AD29" s="207">
        <v>108368</v>
      </c>
      <c r="AE29" s="207">
        <v>0.7975666127518867</v>
      </c>
      <c r="AF29" s="207">
        <v>581478051.3837868</v>
      </c>
      <c r="AG29" s="207">
        <v>731439659.6358635</v>
      </c>
      <c r="AH29" s="207">
        <v>157745889.54200155</v>
      </c>
      <c r="AI29" s="207">
        <v>79724451.4907918</v>
      </c>
      <c r="AJ29" s="207">
        <v>37675</v>
      </c>
      <c r="AK29" s="207">
        <v>337188</v>
      </c>
      <c r="AL29" s="207">
        <v>0.9656181424845881</v>
      </c>
      <c r="AM29" s="207">
        <v>98269</v>
      </c>
      <c r="AN29" s="207">
        <v>0.15276430499073487</v>
      </c>
      <c r="AO29" s="207">
        <v>0.14782359352828428</v>
      </c>
      <c r="AP29" s="207">
        <v>1</v>
      </c>
      <c r="AQ29" s="207">
        <v>36361</v>
      </c>
      <c r="AR29" s="207">
        <v>71</v>
      </c>
      <c r="AS29" s="207">
        <v>3</v>
      </c>
      <c r="AT29" s="207">
        <v>1163</v>
      </c>
      <c r="AU29" s="207">
        <v>214.25</v>
      </c>
      <c r="AV29" s="207">
        <v>3002.436406067678</v>
      </c>
      <c r="AW29" s="207">
        <v>0.006040371707406682</v>
      </c>
      <c r="AX29" s="207">
        <v>43240</v>
      </c>
      <c r="AY29" s="207">
        <v>233371</v>
      </c>
      <c r="AZ29" s="207">
        <v>0.18528437552223712</v>
      </c>
      <c r="BA29" s="207">
        <v>0.12410053943800262</v>
      </c>
      <c r="BB29" s="207">
        <v>0</v>
      </c>
      <c r="BC29" s="207">
        <v>388005</v>
      </c>
      <c r="BD29" s="207">
        <v>300433</v>
      </c>
      <c r="BE29" s="207">
        <v>1.2914859552712252</v>
      </c>
      <c r="BF29" s="207">
        <v>0.8825790726801321</v>
      </c>
      <c r="BG29" s="207">
        <v>0</v>
      </c>
      <c r="BH29" s="207">
        <v>71</v>
      </c>
      <c r="BI29" s="207">
        <v>0</v>
      </c>
      <c r="BJ29" s="207">
        <v>-154385.28</v>
      </c>
      <c r="BK29" s="207">
        <v>-2637415.1999999997</v>
      </c>
      <c r="BL29" s="207">
        <v>-180116.16</v>
      </c>
      <c r="BM29" s="207">
        <v>-250876.08000000002</v>
      </c>
      <c r="BN29" s="207">
        <v>-12865.44</v>
      </c>
      <c r="BO29" s="207">
        <v>-6090483</v>
      </c>
      <c r="BP29" s="207">
        <v>-60712010.6671024</v>
      </c>
      <c r="BQ29" s="207">
        <v>-58338337.68</v>
      </c>
      <c r="BR29" s="207">
        <v>-5538615.30365333</v>
      </c>
      <c r="BS29" s="207">
        <v>33023199</v>
      </c>
      <c r="BT29" s="207">
        <v>13663332</v>
      </c>
      <c r="BU29" s="207">
        <v>32140867.169646222</v>
      </c>
      <c r="BV29" s="207">
        <v>1308957.284300828</v>
      </c>
      <c r="BW29" s="207">
        <v>-4477969.055873193</v>
      </c>
      <c r="BX29" s="207">
        <v>10724768.73021238</v>
      </c>
      <c r="BY29" s="207">
        <v>29262801.231433734</v>
      </c>
      <c r="BZ29" s="207">
        <v>38415270.92514888</v>
      </c>
      <c r="CA29" s="207">
        <v>16686708.26220784</v>
      </c>
      <c r="CB29" s="207">
        <v>24888950.39224589</v>
      </c>
      <c r="CC29" s="207">
        <v>57894.479999999996</v>
      </c>
      <c r="CD29" s="207">
        <v>-7089851.25581247</v>
      </c>
      <c r="CE29" s="207">
        <v>27802215.84</v>
      </c>
      <c r="CF29" s="207">
        <v>204778046.6998568</v>
      </c>
      <c r="CG29" s="207">
        <v>47710323.152754396</v>
      </c>
      <c r="CH29" s="207">
        <v>0</v>
      </c>
      <c r="CI29" s="207">
        <v>-340603759.24172866</v>
      </c>
      <c r="CJ29" s="207">
        <v>19614283</v>
      </c>
      <c r="CK29" s="207">
        <v>0</v>
      </c>
      <c r="CL29" s="207">
        <v>0</v>
      </c>
      <c r="CM29" s="207">
        <v>-73162248.19361204</v>
      </c>
      <c r="CN29" s="207">
        <v>232771752.73399425</v>
      </c>
      <c r="CO29" s="207">
        <v>159609504.5403822</v>
      </c>
      <c r="CP29" s="207">
        <v>635181</v>
      </c>
    </row>
    <row r="30" spans="1:94" ht="9.75">
      <c r="A30" s="175">
        <v>97</v>
      </c>
      <c r="B30" s="175" t="s">
        <v>87</v>
      </c>
      <c r="C30" s="207">
        <v>2236</v>
      </c>
      <c r="D30" s="207">
        <v>7953460.020000001</v>
      </c>
      <c r="E30" s="207">
        <v>3429293.678767131</v>
      </c>
      <c r="F30" s="207">
        <v>1199005.5703171506</v>
      </c>
      <c r="G30" s="207">
        <v>12581759.269084284</v>
      </c>
      <c r="H30" s="207">
        <v>3524.51</v>
      </c>
      <c r="I30" s="207">
        <v>7880804.36</v>
      </c>
      <c r="J30" s="207">
        <v>4700954.909084284</v>
      </c>
      <c r="K30" s="207">
        <v>59984.643463764136</v>
      </c>
      <c r="L30" s="207">
        <v>971396.026883754</v>
      </c>
      <c r="M30" s="207">
        <v>0</v>
      </c>
      <c r="N30" s="207">
        <v>5732335.579431802</v>
      </c>
      <c r="O30" s="207">
        <v>1581717.2433503026</v>
      </c>
      <c r="P30" s="207">
        <v>7314052.822782105</v>
      </c>
      <c r="Q30" s="207">
        <v>94</v>
      </c>
      <c r="R30" s="207">
        <v>18</v>
      </c>
      <c r="S30" s="207">
        <v>101</v>
      </c>
      <c r="T30" s="207">
        <v>51</v>
      </c>
      <c r="U30" s="207">
        <v>78</v>
      </c>
      <c r="V30" s="207">
        <v>1142</v>
      </c>
      <c r="W30" s="207">
        <v>408</v>
      </c>
      <c r="X30" s="207">
        <v>230</v>
      </c>
      <c r="Y30" s="207">
        <v>114</v>
      </c>
      <c r="Z30" s="207">
        <v>8</v>
      </c>
      <c r="AA30" s="207">
        <v>0</v>
      </c>
      <c r="AB30" s="207">
        <v>2173</v>
      </c>
      <c r="AC30" s="207">
        <v>55</v>
      </c>
      <c r="AD30" s="207">
        <v>752</v>
      </c>
      <c r="AE30" s="207">
        <v>1.3531974381589373</v>
      </c>
      <c r="AF30" s="207">
        <v>3429293.678767131</v>
      </c>
      <c r="AG30" s="207">
        <v>4279207.304302297</v>
      </c>
      <c r="AH30" s="207">
        <v>1190635.190027984</v>
      </c>
      <c r="AI30" s="207">
        <v>339519.1254791088</v>
      </c>
      <c r="AJ30" s="207">
        <v>115</v>
      </c>
      <c r="AK30" s="207">
        <v>933</v>
      </c>
      <c r="AL30" s="207">
        <v>1.065222823002643</v>
      </c>
      <c r="AM30" s="207">
        <v>55</v>
      </c>
      <c r="AN30" s="207">
        <v>0.024597495527728087</v>
      </c>
      <c r="AO30" s="207">
        <v>0.019656784065277495</v>
      </c>
      <c r="AP30" s="207">
        <v>0</v>
      </c>
      <c r="AQ30" s="207">
        <v>8</v>
      </c>
      <c r="AR30" s="207">
        <v>0</v>
      </c>
      <c r="AS30" s="207">
        <v>3</v>
      </c>
      <c r="AT30" s="207">
        <v>1753</v>
      </c>
      <c r="AU30" s="207">
        <v>465.28</v>
      </c>
      <c r="AV30" s="207">
        <v>4.805708390646493</v>
      </c>
      <c r="AW30" s="207">
        <v>3.773810320201151</v>
      </c>
      <c r="AX30" s="207">
        <v>97</v>
      </c>
      <c r="AY30" s="207">
        <v>543</v>
      </c>
      <c r="AZ30" s="207">
        <v>0.17863720073664824</v>
      </c>
      <c r="BA30" s="207">
        <v>0.11745336465241374</v>
      </c>
      <c r="BB30" s="207">
        <v>0</v>
      </c>
      <c r="BC30" s="207">
        <v>633</v>
      </c>
      <c r="BD30" s="207">
        <v>764</v>
      </c>
      <c r="BE30" s="207">
        <v>0.8285340314136126</v>
      </c>
      <c r="BF30" s="207">
        <v>0.4196271488225195</v>
      </c>
      <c r="BG30" s="207">
        <v>0</v>
      </c>
      <c r="BH30" s="207">
        <v>0</v>
      </c>
      <c r="BI30" s="207">
        <v>0</v>
      </c>
      <c r="BJ30" s="207">
        <v>-536.64</v>
      </c>
      <c r="BK30" s="207">
        <v>-9167.599999999999</v>
      </c>
      <c r="BL30" s="207">
        <v>-626.08</v>
      </c>
      <c r="BM30" s="207">
        <v>-872.0400000000001</v>
      </c>
      <c r="BN30" s="207">
        <v>-44.72</v>
      </c>
      <c r="BO30" s="207">
        <v>79164</v>
      </c>
      <c r="BP30" s="207">
        <v>-99813.51701623184</v>
      </c>
      <c r="BQ30" s="207">
        <v>-202782.84</v>
      </c>
      <c r="BR30" s="207">
        <v>86034.37929508742</v>
      </c>
      <c r="BS30" s="207">
        <v>269011</v>
      </c>
      <c r="BT30" s="207">
        <v>77732</v>
      </c>
      <c r="BU30" s="207">
        <v>190041.25671568306</v>
      </c>
      <c r="BV30" s="207">
        <v>10897.25655848356</v>
      </c>
      <c r="BW30" s="207">
        <v>25535.254371790128</v>
      </c>
      <c r="BX30" s="207">
        <v>85775.7317094981</v>
      </c>
      <c r="BY30" s="207">
        <v>128813.02749965513</v>
      </c>
      <c r="BZ30" s="207">
        <v>190256.9129628398</v>
      </c>
      <c r="CA30" s="207">
        <v>60157.40708463334</v>
      </c>
      <c r="CB30" s="207">
        <v>104659.8190082085</v>
      </c>
      <c r="CC30" s="207">
        <v>201.23999999999998</v>
      </c>
      <c r="CD30" s="207">
        <v>1220.7786941067607</v>
      </c>
      <c r="CE30" s="207">
        <v>96639.92</v>
      </c>
      <c r="CF30" s="207">
        <v>1406139.9838999857</v>
      </c>
      <c r="CG30" s="207">
        <v>971396.026883754</v>
      </c>
      <c r="CH30" s="207">
        <v>0</v>
      </c>
      <c r="CI30" s="207">
        <v>1581717.2433503026</v>
      </c>
      <c r="CJ30" s="207">
        <v>-448555</v>
      </c>
      <c r="CK30" s="207">
        <v>0</v>
      </c>
      <c r="CL30" s="207">
        <v>0</v>
      </c>
      <c r="CM30" s="207">
        <v>87971.02586200001</v>
      </c>
      <c r="CN30" s="207">
        <v>6865497.822782105</v>
      </c>
      <c r="CO30" s="207">
        <v>6953468.848644105</v>
      </c>
      <c r="CP30" s="207">
        <v>2274</v>
      </c>
    </row>
    <row r="31" spans="1:94" ht="9.75">
      <c r="A31" s="175">
        <v>98</v>
      </c>
      <c r="B31" s="175" t="s">
        <v>88</v>
      </c>
      <c r="C31" s="207">
        <v>23782</v>
      </c>
      <c r="D31" s="207">
        <v>83181874.54</v>
      </c>
      <c r="E31" s="207">
        <v>26494849.2179269</v>
      </c>
      <c r="F31" s="207">
        <v>3853360.260949955</v>
      </c>
      <c r="G31" s="207">
        <v>113530084.01887687</v>
      </c>
      <c r="H31" s="207">
        <v>3524.51</v>
      </c>
      <c r="I31" s="207">
        <v>83819896.82000001</v>
      </c>
      <c r="J31" s="207">
        <v>29710187.198876858</v>
      </c>
      <c r="K31" s="207">
        <v>329895.82750661456</v>
      </c>
      <c r="L31" s="207">
        <v>5645937.043176342</v>
      </c>
      <c r="M31" s="207">
        <v>0</v>
      </c>
      <c r="N31" s="207">
        <v>35686020.06955981</v>
      </c>
      <c r="O31" s="207">
        <v>6577877.5605688</v>
      </c>
      <c r="P31" s="207">
        <v>42263897.630128615</v>
      </c>
      <c r="Q31" s="207">
        <v>1483</v>
      </c>
      <c r="R31" s="207">
        <v>288</v>
      </c>
      <c r="S31" s="207">
        <v>1895</v>
      </c>
      <c r="T31" s="207">
        <v>988</v>
      </c>
      <c r="U31" s="207">
        <v>917</v>
      </c>
      <c r="V31" s="207">
        <v>12747</v>
      </c>
      <c r="W31" s="207">
        <v>3262</v>
      </c>
      <c r="X31" s="207">
        <v>1634</v>
      </c>
      <c r="Y31" s="207">
        <v>568</v>
      </c>
      <c r="Z31" s="207">
        <v>69</v>
      </c>
      <c r="AA31" s="207">
        <v>0</v>
      </c>
      <c r="AB31" s="207">
        <v>23104</v>
      </c>
      <c r="AC31" s="207">
        <v>609</v>
      </c>
      <c r="AD31" s="207">
        <v>5464</v>
      </c>
      <c r="AE31" s="207">
        <v>0.9829724925188209</v>
      </c>
      <c r="AF31" s="207">
        <v>26494849.2179269</v>
      </c>
      <c r="AG31" s="207">
        <v>31863229.204321016</v>
      </c>
      <c r="AH31" s="207">
        <v>8939786.497824844</v>
      </c>
      <c r="AI31" s="207">
        <v>3243301.119708329</v>
      </c>
      <c r="AJ31" s="207">
        <v>1081</v>
      </c>
      <c r="AK31" s="207">
        <v>11155</v>
      </c>
      <c r="AL31" s="207">
        <v>0.8374914569518405</v>
      </c>
      <c r="AM31" s="207">
        <v>609</v>
      </c>
      <c r="AN31" s="207">
        <v>0.025607602388360944</v>
      </c>
      <c r="AO31" s="207">
        <v>0.020666890925910352</v>
      </c>
      <c r="AP31" s="207">
        <v>0</v>
      </c>
      <c r="AQ31" s="207">
        <v>69</v>
      </c>
      <c r="AR31" s="207">
        <v>0</v>
      </c>
      <c r="AS31" s="207">
        <v>0</v>
      </c>
      <c r="AT31" s="207">
        <v>0</v>
      </c>
      <c r="AU31" s="207">
        <v>651.17</v>
      </c>
      <c r="AV31" s="207">
        <v>36.52195279266551</v>
      </c>
      <c r="AW31" s="207">
        <v>0.49657344511274637</v>
      </c>
      <c r="AX31" s="207">
        <v>1035</v>
      </c>
      <c r="AY31" s="207">
        <v>7522</v>
      </c>
      <c r="AZ31" s="207">
        <v>0.13759638394044138</v>
      </c>
      <c r="BA31" s="207">
        <v>0.07641254785620688</v>
      </c>
      <c r="BB31" s="207">
        <v>0</v>
      </c>
      <c r="BC31" s="207">
        <v>6073</v>
      </c>
      <c r="BD31" s="207">
        <v>9703</v>
      </c>
      <c r="BE31" s="207">
        <v>0.625888900340101</v>
      </c>
      <c r="BF31" s="207">
        <v>0.21698201774900794</v>
      </c>
      <c r="BG31" s="207">
        <v>0</v>
      </c>
      <c r="BH31" s="207">
        <v>0</v>
      </c>
      <c r="BI31" s="207">
        <v>0</v>
      </c>
      <c r="BJ31" s="207">
        <v>-5707.679999999999</v>
      </c>
      <c r="BK31" s="207">
        <v>-97506.2</v>
      </c>
      <c r="BL31" s="207">
        <v>-6658.960000000001</v>
      </c>
      <c r="BM31" s="207">
        <v>-9274.98</v>
      </c>
      <c r="BN31" s="207">
        <v>-475.64</v>
      </c>
      <c r="BO31" s="207">
        <v>560493</v>
      </c>
      <c r="BP31" s="207">
        <v>-814075.3772255402</v>
      </c>
      <c r="BQ31" s="207">
        <v>-2156789.58</v>
      </c>
      <c r="BR31" s="207">
        <v>-44.645317622460425</v>
      </c>
      <c r="BS31" s="207">
        <v>1736483</v>
      </c>
      <c r="BT31" s="207">
        <v>558359</v>
      </c>
      <c r="BU31" s="207">
        <v>1223351.0324556248</v>
      </c>
      <c r="BV31" s="207">
        <v>36326.02643451036</v>
      </c>
      <c r="BW31" s="207">
        <v>-13553.016595419416</v>
      </c>
      <c r="BX31" s="207">
        <v>554073.5128430926</v>
      </c>
      <c r="BY31" s="207">
        <v>1083021.0232353462</v>
      </c>
      <c r="BZ31" s="207">
        <v>1830343.4831230547</v>
      </c>
      <c r="CA31" s="207">
        <v>480880.2445510101</v>
      </c>
      <c r="CB31" s="207">
        <v>881083.6226666378</v>
      </c>
      <c r="CC31" s="207">
        <v>2140.38</v>
      </c>
      <c r="CD31" s="207">
        <v>61503.497005647485</v>
      </c>
      <c r="CE31" s="207">
        <v>1027858.0399999999</v>
      </c>
      <c r="CF31" s="207">
        <v>10022318.200401882</v>
      </c>
      <c r="CG31" s="207">
        <v>5645937.043176342</v>
      </c>
      <c r="CH31" s="207">
        <v>0</v>
      </c>
      <c r="CI31" s="207">
        <v>6577877.5605688</v>
      </c>
      <c r="CJ31" s="207">
        <v>-4516883</v>
      </c>
      <c r="CK31" s="207">
        <v>0</v>
      </c>
      <c r="CL31" s="207">
        <v>0</v>
      </c>
      <c r="CM31" s="207">
        <v>-2912835.865658</v>
      </c>
      <c r="CN31" s="207">
        <v>37747014.630128615</v>
      </c>
      <c r="CO31" s="207">
        <v>34834178.764470614</v>
      </c>
      <c r="CP31" s="207">
        <v>23791</v>
      </c>
    </row>
    <row r="32" spans="1:94" ht="9.75">
      <c r="A32" s="175">
        <v>99</v>
      </c>
      <c r="B32" s="175" t="s">
        <v>89</v>
      </c>
      <c r="C32" s="207">
        <v>1707</v>
      </c>
      <c r="D32" s="207">
        <v>5760860.59</v>
      </c>
      <c r="E32" s="207">
        <v>2096457.1657408448</v>
      </c>
      <c r="F32" s="207">
        <v>705272.7799727989</v>
      </c>
      <c r="G32" s="207">
        <v>8562590.535713643</v>
      </c>
      <c r="H32" s="207">
        <v>3524.51</v>
      </c>
      <c r="I32" s="207">
        <v>6016338.57</v>
      </c>
      <c r="J32" s="207">
        <v>2546251.9657136425</v>
      </c>
      <c r="K32" s="207">
        <v>62163.297654775764</v>
      </c>
      <c r="L32" s="207">
        <v>998498.0344249653</v>
      </c>
      <c r="M32" s="207">
        <v>0</v>
      </c>
      <c r="N32" s="207">
        <v>3606913.2977933837</v>
      </c>
      <c r="O32" s="207">
        <v>1431798.7705153292</v>
      </c>
      <c r="P32" s="207">
        <v>5038712.068308713</v>
      </c>
      <c r="Q32" s="207">
        <v>100</v>
      </c>
      <c r="R32" s="207">
        <v>11</v>
      </c>
      <c r="S32" s="207">
        <v>98</v>
      </c>
      <c r="T32" s="207">
        <v>43</v>
      </c>
      <c r="U32" s="207">
        <v>45</v>
      </c>
      <c r="V32" s="207">
        <v>941</v>
      </c>
      <c r="W32" s="207">
        <v>257</v>
      </c>
      <c r="X32" s="207">
        <v>151</v>
      </c>
      <c r="Y32" s="207">
        <v>61</v>
      </c>
      <c r="Z32" s="207">
        <v>5</v>
      </c>
      <c r="AA32" s="207">
        <v>0</v>
      </c>
      <c r="AB32" s="207">
        <v>1584</v>
      </c>
      <c r="AC32" s="207">
        <v>118</v>
      </c>
      <c r="AD32" s="207">
        <v>469</v>
      </c>
      <c r="AE32" s="207">
        <v>1.0836293504496022</v>
      </c>
      <c r="AF32" s="207">
        <v>2096457.1657408448</v>
      </c>
      <c r="AG32" s="207">
        <v>2951810.7757014297</v>
      </c>
      <c r="AH32" s="207">
        <v>573608.4705468282</v>
      </c>
      <c r="AI32" s="207">
        <v>294845.5563371208</v>
      </c>
      <c r="AJ32" s="207">
        <v>88</v>
      </c>
      <c r="AK32" s="207">
        <v>825</v>
      </c>
      <c r="AL32" s="207">
        <v>0.9218345682193307</v>
      </c>
      <c r="AM32" s="207">
        <v>118</v>
      </c>
      <c r="AN32" s="207">
        <v>0.06912712360867018</v>
      </c>
      <c r="AO32" s="207">
        <v>0.06418641214621959</v>
      </c>
      <c r="AP32" s="207">
        <v>0</v>
      </c>
      <c r="AQ32" s="207">
        <v>5</v>
      </c>
      <c r="AR32" s="207">
        <v>0</v>
      </c>
      <c r="AS32" s="207">
        <v>0</v>
      </c>
      <c r="AT32" s="207">
        <v>0</v>
      </c>
      <c r="AU32" s="207">
        <v>331.37</v>
      </c>
      <c r="AV32" s="207">
        <v>5.151341400851012</v>
      </c>
      <c r="AW32" s="207">
        <v>3.520603763032076</v>
      </c>
      <c r="AX32" s="207">
        <v>113</v>
      </c>
      <c r="AY32" s="207">
        <v>448</v>
      </c>
      <c r="AZ32" s="207">
        <v>0.25223214285714285</v>
      </c>
      <c r="BA32" s="207">
        <v>0.19104830677290835</v>
      </c>
      <c r="BB32" s="207">
        <v>0</v>
      </c>
      <c r="BC32" s="207">
        <v>684</v>
      </c>
      <c r="BD32" s="207">
        <v>699</v>
      </c>
      <c r="BE32" s="207">
        <v>0.9785407725321889</v>
      </c>
      <c r="BF32" s="207">
        <v>0.5696338899410958</v>
      </c>
      <c r="BG32" s="207">
        <v>0</v>
      </c>
      <c r="BH32" s="207">
        <v>0</v>
      </c>
      <c r="BI32" s="207">
        <v>0</v>
      </c>
      <c r="BJ32" s="207">
        <v>-409.68</v>
      </c>
      <c r="BK32" s="207">
        <v>-6998.7</v>
      </c>
      <c r="BL32" s="207">
        <v>-477.96000000000004</v>
      </c>
      <c r="BM32" s="207">
        <v>-665.73</v>
      </c>
      <c r="BN32" s="207">
        <v>-34.14</v>
      </c>
      <c r="BO32" s="207">
        <v>53239</v>
      </c>
      <c r="BP32" s="207">
        <v>-20020.889292427157</v>
      </c>
      <c r="BQ32" s="207">
        <v>-154807.83</v>
      </c>
      <c r="BR32" s="207">
        <v>83056.90863813274</v>
      </c>
      <c r="BS32" s="207">
        <v>201096</v>
      </c>
      <c r="BT32" s="207">
        <v>75004</v>
      </c>
      <c r="BU32" s="207">
        <v>202131.85211242025</v>
      </c>
      <c r="BV32" s="207">
        <v>12153.77722601064</v>
      </c>
      <c r="BW32" s="207">
        <v>33334.52188881473</v>
      </c>
      <c r="BX32" s="207">
        <v>79746.42832374311</v>
      </c>
      <c r="BY32" s="207">
        <v>132875.38595823853</v>
      </c>
      <c r="BZ32" s="207">
        <v>184969.65485741253</v>
      </c>
      <c r="CA32" s="207">
        <v>61744.17835344121</v>
      </c>
      <c r="CB32" s="207">
        <v>105025.73872890107</v>
      </c>
      <c r="CC32" s="207">
        <v>153.63</v>
      </c>
      <c r="CD32" s="207">
        <v>-24097.162369722362</v>
      </c>
      <c r="CE32" s="207">
        <v>73776.54</v>
      </c>
      <c r="CF32" s="207">
        <v>1274210.4537173924</v>
      </c>
      <c r="CG32" s="207">
        <v>998498.0344249653</v>
      </c>
      <c r="CH32" s="207">
        <v>0</v>
      </c>
      <c r="CI32" s="207">
        <v>1431798.7705153292</v>
      </c>
      <c r="CJ32" s="207">
        <v>-373233</v>
      </c>
      <c r="CK32" s="207">
        <v>0</v>
      </c>
      <c r="CL32" s="207">
        <v>0</v>
      </c>
      <c r="CM32" s="207">
        <v>-57513.881380000006</v>
      </c>
      <c r="CN32" s="207">
        <v>4665479.068308713</v>
      </c>
      <c r="CO32" s="207">
        <v>4607965.186928713</v>
      </c>
      <c r="CP32" s="207">
        <v>1759</v>
      </c>
    </row>
    <row r="33" spans="1:94" ht="9.75">
      <c r="A33" s="175">
        <v>102</v>
      </c>
      <c r="B33" s="175" t="s">
        <v>90</v>
      </c>
      <c r="C33" s="207">
        <v>10207</v>
      </c>
      <c r="D33" s="207">
        <v>36162850.690000005</v>
      </c>
      <c r="E33" s="207">
        <v>12386377.80904309</v>
      </c>
      <c r="F33" s="207">
        <v>1974282.3844535786</v>
      </c>
      <c r="G33" s="207">
        <v>50523510.88349667</v>
      </c>
      <c r="H33" s="207">
        <v>3524.51</v>
      </c>
      <c r="I33" s="207">
        <v>35974673.57</v>
      </c>
      <c r="J33" s="207">
        <v>14548837.313496672</v>
      </c>
      <c r="K33" s="207">
        <v>378424.2662368613</v>
      </c>
      <c r="L33" s="207">
        <v>3459253.7764828526</v>
      </c>
      <c r="M33" s="207">
        <v>0</v>
      </c>
      <c r="N33" s="207">
        <v>18386515.356216386</v>
      </c>
      <c r="O33" s="207">
        <v>7113394.524233911</v>
      </c>
      <c r="P33" s="207">
        <v>25499909.880450297</v>
      </c>
      <c r="Q33" s="207">
        <v>564</v>
      </c>
      <c r="R33" s="207">
        <v>104</v>
      </c>
      <c r="S33" s="207">
        <v>608</v>
      </c>
      <c r="T33" s="207">
        <v>308</v>
      </c>
      <c r="U33" s="207">
        <v>333</v>
      </c>
      <c r="V33" s="207">
        <v>5464</v>
      </c>
      <c r="W33" s="207">
        <v>1503</v>
      </c>
      <c r="X33" s="207">
        <v>918</v>
      </c>
      <c r="Y33" s="207">
        <v>405</v>
      </c>
      <c r="Z33" s="207">
        <v>15</v>
      </c>
      <c r="AA33" s="207">
        <v>0</v>
      </c>
      <c r="AB33" s="207">
        <v>9822</v>
      </c>
      <c r="AC33" s="207">
        <v>370</v>
      </c>
      <c r="AD33" s="207">
        <v>2826</v>
      </c>
      <c r="AE33" s="207">
        <v>1.0707164995984597</v>
      </c>
      <c r="AF33" s="207">
        <v>12386377.80904309</v>
      </c>
      <c r="AG33" s="207">
        <v>15451663.461599262</v>
      </c>
      <c r="AH33" s="207">
        <v>3819180.6241751774</v>
      </c>
      <c r="AI33" s="207">
        <v>1813746.9071647131</v>
      </c>
      <c r="AJ33" s="207">
        <v>376</v>
      </c>
      <c r="AK33" s="207">
        <v>4642</v>
      </c>
      <c r="AL33" s="207">
        <v>0.7000144017606937</v>
      </c>
      <c r="AM33" s="207">
        <v>370</v>
      </c>
      <c r="AN33" s="207">
        <v>0.036249632605074945</v>
      </c>
      <c r="AO33" s="207">
        <v>0.03130892114262435</v>
      </c>
      <c r="AP33" s="207">
        <v>0</v>
      </c>
      <c r="AQ33" s="207">
        <v>15</v>
      </c>
      <c r="AR33" s="207">
        <v>0</v>
      </c>
      <c r="AS33" s="207">
        <v>0</v>
      </c>
      <c r="AT33" s="207">
        <v>0</v>
      </c>
      <c r="AU33" s="207">
        <v>532.64</v>
      </c>
      <c r="AV33" s="207">
        <v>19.163036948032442</v>
      </c>
      <c r="AW33" s="207">
        <v>0.9463965429738991</v>
      </c>
      <c r="AX33" s="207">
        <v>441</v>
      </c>
      <c r="AY33" s="207">
        <v>2885</v>
      </c>
      <c r="AZ33" s="207">
        <v>0.15285961871750434</v>
      </c>
      <c r="BA33" s="207">
        <v>0.09167578263326984</v>
      </c>
      <c r="BB33" s="207">
        <v>0</v>
      </c>
      <c r="BC33" s="207">
        <v>4075</v>
      </c>
      <c r="BD33" s="207">
        <v>4121</v>
      </c>
      <c r="BE33" s="207">
        <v>0.988837660761951</v>
      </c>
      <c r="BF33" s="207">
        <v>0.5799307781708579</v>
      </c>
      <c r="BG33" s="207">
        <v>0</v>
      </c>
      <c r="BH33" s="207">
        <v>0</v>
      </c>
      <c r="BI33" s="207">
        <v>0</v>
      </c>
      <c r="BJ33" s="207">
        <v>-2449.68</v>
      </c>
      <c r="BK33" s="207">
        <v>-41848.7</v>
      </c>
      <c r="BL33" s="207">
        <v>-2857.9600000000005</v>
      </c>
      <c r="BM33" s="207">
        <v>-3980.73</v>
      </c>
      <c r="BN33" s="207">
        <v>-204.14000000000001</v>
      </c>
      <c r="BO33" s="207">
        <v>10018</v>
      </c>
      <c r="BP33" s="207">
        <v>-347850.7848553648</v>
      </c>
      <c r="BQ33" s="207">
        <v>-925672.83</v>
      </c>
      <c r="BR33" s="207">
        <v>66100.35522380471</v>
      </c>
      <c r="BS33" s="207">
        <v>957097</v>
      </c>
      <c r="BT33" s="207">
        <v>307625</v>
      </c>
      <c r="BU33" s="207">
        <v>775785.650171192</v>
      </c>
      <c r="BV33" s="207">
        <v>36395.60139388675</v>
      </c>
      <c r="BW33" s="207">
        <v>60999.028802497414</v>
      </c>
      <c r="BX33" s="207">
        <v>342628.85533858417</v>
      </c>
      <c r="BY33" s="207">
        <v>602833.9381420163</v>
      </c>
      <c r="BZ33" s="207">
        <v>951555.9253372285</v>
      </c>
      <c r="CA33" s="207">
        <v>298048.6815636204</v>
      </c>
      <c r="CB33" s="207">
        <v>488371.1271958896</v>
      </c>
      <c r="CC33" s="207">
        <v>918.63</v>
      </c>
      <c r="CD33" s="207">
        <v>-3513.2418305016763</v>
      </c>
      <c r="CE33" s="207">
        <v>441146.54</v>
      </c>
      <c r="CF33" s="207">
        <v>5336011.091338217</v>
      </c>
      <c r="CG33" s="207">
        <v>3459253.7764828526</v>
      </c>
      <c r="CH33" s="207">
        <v>0</v>
      </c>
      <c r="CI33" s="207">
        <v>7113394.524233911</v>
      </c>
      <c r="CJ33" s="207">
        <v>586026</v>
      </c>
      <c r="CK33" s="207">
        <v>0</v>
      </c>
      <c r="CL33" s="207">
        <v>0</v>
      </c>
      <c r="CM33" s="207">
        <v>188712.06064</v>
      </c>
      <c r="CN33" s="207">
        <v>26085935.880450297</v>
      </c>
      <c r="CO33" s="207">
        <v>26274647.941090297</v>
      </c>
      <c r="CP33" s="207">
        <v>10403</v>
      </c>
    </row>
    <row r="34" spans="1:94" ht="9.75">
      <c r="A34" s="175">
        <v>103</v>
      </c>
      <c r="B34" s="175" t="s">
        <v>91</v>
      </c>
      <c r="C34" s="207">
        <v>2290</v>
      </c>
      <c r="D34" s="207">
        <v>7953282.4</v>
      </c>
      <c r="E34" s="207">
        <v>2690481.6216219757</v>
      </c>
      <c r="F34" s="207">
        <v>443345.4988546219</v>
      </c>
      <c r="G34" s="207">
        <v>11087109.520476598</v>
      </c>
      <c r="H34" s="207">
        <v>3524.51</v>
      </c>
      <c r="I34" s="207">
        <v>8071127.9</v>
      </c>
      <c r="J34" s="207">
        <v>3015981.620476598</v>
      </c>
      <c r="K34" s="207">
        <v>41452.50373622544</v>
      </c>
      <c r="L34" s="207">
        <v>870931.3867599807</v>
      </c>
      <c r="M34" s="207">
        <v>0</v>
      </c>
      <c r="N34" s="207">
        <v>3928365.510972804</v>
      </c>
      <c r="O34" s="207">
        <v>1900707.0342999457</v>
      </c>
      <c r="P34" s="207">
        <v>5829072.54527275</v>
      </c>
      <c r="Q34" s="207">
        <v>102</v>
      </c>
      <c r="R34" s="207">
        <v>26</v>
      </c>
      <c r="S34" s="207">
        <v>151</v>
      </c>
      <c r="T34" s="207">
        <v>79</v>
      </c>
      <c r="U34" s="207">
        <v>86</v>
      </c>
      <c r="V34" s="207">
        <v>1246</v>
      </c>
      <c r="W34" s="207">
        <v>360</v>
      </c>
      <c r="X34" s="207">
        <v>150</v>
      </c>
      <c r="Y34" s="207">
        <v>90</v>
      </c>
      <c r="Z34" s="207">
        <v>6</v>
      </c>
      <c r="AA34" s="207">
        <v>0</v>
      </c>
      <c r="AB34" s="207">
        <v>2236</v>
      </c>
      <c r="AC34" s="207">
        <v>48</v>
      </c>
      <c r="AD34" s="207">
        <v>600</v>
      </c>
      <c r="AE34" s="207">
        <v>1.0366277598681244</v>
      </c>
      <c r="AF34" s="207">
        <v>2690481.6216219757</v>
      </c>
      <c r="AG34" s="207">
        <v>3503367.663896055</v>
      </c>
      <c r="AH34" s="207">
        <v>838335.9580332245</v>
      </c>
      <c r="AI34" s="207">
        <v>393127.40844949445</v>
      </c>
      <c r="AJ34" s="207">
        <v>113</v>
      </c>
      <c r="AK34" s="207">
        <v>1083</v>
      </c>
      <c r="AL34" s="207">
        <v>0.9017252961286736</v>
      </c>
      <c r="AM34" s="207">
        <v>48</v>
      </c>
      <c r="AN34" s="207">
        <v>0.02096069868995633</v>
      </c>
      <c r="AO34" s="207">
        <v>0.01601998722750574</v>
      </c>
      <c r="AP34" s="207">
        <v>0</v>
      </c>
      <c r="AQ34" s="207">
        <v>6</v>
      </c>
      <c r="AR34" s="207">
        <v>0</v>
      </c>
      <c r="AS34" s="207">
        <v>0</v>
      </c>
      <c r="AT34" s="207">
        <v>0</v>
      </c>
      <c r="AU34" s="207">
        <v>147.96</v>
      </c>
      <c r="AV34" s="207">
        <v>15.477155988104892</v>
      </c>
      <c r="AW34" s="207">
        <v>1.1717806510729398</v>
      </c>
      <c r="AX34" s="207">
        <v>106</v>
      </c>
      <c r="AY34" s="207">
        <v>661</v>
      </c>
      <c r="AZ34" s="207">
        <v>0.16036308623298035</v>
      </c>
      <c r="BA34" s="207">
        <v>0.09917925014874585</v>
      </c>
      <c r="BB34" s="207">
        <v>0</v>
      </c>
      <c r="BC34" s="207">
        <v>627</v>
      </c>
      <c r="BD34" s="207">
        <v>906</v>
      </c>
      <c r="BE34" s="207">
        <v>0.6920529801324503</v>
      </c>
      <c r="BF34" s="207">
        <v>0.2831460975413572</v>
      </c>
      <c r="BG34" s="207">
        <v>0</v>
      </c>
      <c r="BH34" s="207">
        <v>0</v>
      </c>
      <c r="BI34" s="207">
        <v>0</v>
      </c>
      <c r="BJ34" s="207">
        <v>-549.6</v>
      </c>
      <c r="BK34" s="207">
        <v>-9389</v>
      </c>
      <c r="BL34" s="207">
        <v>-641.2</v>
      </c>
      <c r="BM34" s="207">
        <v>-893.1</v>
      </c>
      <c r="BN34" s="207">
        <v>-45.800000000000004</v>
      </c>
      <c r="BO34" s="207">
        <v>-12271</v>
      </c>
      <c r="BP34" s="207">
        <v>-91842.5544817785</v>
      </c>
      <c r="BQ34" s="207">
        <v>-207680.1</v>
      </c>
      <c r="BR34" s="207">
        <v>46918.21716419887</v>
      </c>
      <c r="BS34" s="207">
        <v>237213</v>
      </c>
      <c r="BT34" s="207">
        <v>76959</v>
      </c>
      <c r="BU34" s="207">
        <v>185381.41894099</v>
      </c>
      <c r="BV34" s="207">
        <v>8896.713697212512</v>
      </c>
      <c r="BW34" s="207">
        <v>23020.65466639808</v>
      </c>
      <c r="BX34" s="207">
        <v>81482.30875896385</v>
      </c>
      <c r="BY34" s="207">
        <v>137785.34401540196</v>
      </c>
      <c r="BZ34" s="207">
        <v>228247.47389965283</v>
      </c>
      <c r="CA34" s="207">
        <v>63114.29034411508</v>
      </c>
      <c r="CB34" s="207">
        <v>116107.3790465076</v>
      </c>
      <c r="CC34" s="207">
        <v>206.1</v>
      </c>
      <c r="CD34" s="207">
        <v>13758.340708318348</v>
      </c>
      <c r="CE34" s="207">
        <v>98973.8</v>
      </c>
      <c r="CF34" s="207">
        <v>1305793.0412417592</v>
      </c>
      <c r="CG34" s="207">
        <v>870931.3867599807</v>
      </c>
      <c r="CH34" s="207">
        <v>0</v>
      </c>
      <c r="CI34" s="207">
        <v>1900707.0342999457</v>
      </c>
      <c r="CJ34" s="207">
        <v>-419191</v>
      </c>
      <c r="CK34" s="207">
        <v>0</v>
      </c>
      <c r="CL34" s="207">
        <v>0</v>
      </c>
      <c r="CM34" s="207">
        <v>31812.819399999997</v>
      </c>
      <c r="CN34" s="207">
        <v>5409881.54527275</v>
      </c>
      <c r="CO34" s="207">
        <v>5441694.36467275</v>
      </c>
      <c r="CP34" s="207">
        <v>2345</v>
      </c>
    </row>
    <row r="35" spans="1:94" ht="9.75">
      <c r="A35" s="175">
        <v>105</v>
      </c>
      <c r="B35" s="175" t="s">
        <v>92</v>
      </c>
      <c r="C35" s="207">
        <v>2326</v>
      </c>
      <c r="D35" s="207">
        <v>8081107.790000001</v>
      </c>
      <c r="E35" s="207">
        <v>4793291.36655328</v>
      </c>
      <c r="F35" s="207">
        <v>1340664.810415701</v>
      </c>
      <c r="G35" s="207">
        <v>14215063.96696898</v>
      </c>
      <c r="H35" s="207">
        <v>3524.51</v>
      </c>
      <c r="I35" s="207">
        <v>8198010.260000001</v>
      </c>
      <c r="J35" s="207">
        <v>6017053.706968979</v>
      </c>
      <c r="K35" s="207">
        <v>2266201.199492155</v>
      </c>
      <c r="L35" s="207">
        <v>1093927.7082883548</v>
      </c>
      <c r="M35" s="207">
        <v>0</v>
      </c>
      <c r="N35" s="207">
        <v>9377182.61474949</v>
      </c>
      <c r="O35" s="207">
        <v>2108700.901671493</v>
      </c>
      <c r="P35" s="207">
        <v>11485883.516420983</v>
      </c>
      <c r="Q35" s="207">
        <v>78</v>
      </c>
      <c r="R35" s="207">
        <v>11</v>
      </c>
      <c r="S35" s="207">
        <v>90</v>
      </c>
      <c r="T35" s="207">
        <v>54</v>
      </c>
      <c r="U35" s="207">
        <v>59</v>
      </c>
      <c r="V35" s="207">
        <v>1167</v>
      </c>
      <c r="W35" s="207">
        <v>474</v>
      </c>
      <c r="X35" s="207">
        <v>278</v>
      </c>
      <c r="Y35" s="207">
        <v>115</v>
      </c>
      <c r="Z35" s="207">
        <v>4</v>
      </c>
      <c r="AA35" s="207">
        <v>0</v>
      </c>
      <c r="AB35" s="207">
        <v>2293</v>
      </c>
      <c r="AC35" s="207">
        <v>29</v>
      </c>
      <c r="AD35" s="207">
        <v>867</v>
      </c>
      <c r="AE35" s="207">
        <v>1.8182450158679482</v>
      </c>
      <c r="AF35" s="207">
        <v>4793291.36655328</v>
      </c>
      <c r="AG35" s="207">
        <v>6104688.896566363</v>
      </c>
      <c r="AH35" s="207">
        <v>1541850.9006589637</v>
      </c>
      <c r="AI35" s="207">
        <v>643299.3956446274</v>
      </c>
      <c r="AJ35" s="207">
        <v>143</v>
      </c>
      <c r="AK35" s="207">
        <v>958</v>
      </c>
      <c r="AL35" s="207">
        <v>1.290015102316326</v>
      </c>
      <c r="AM35" s="207">
        <v>29</v>
      </c>
      <c r="AN35" s="207">
        <v>0.012467755803955288</v>
      </c>
      <c r="AO35" s="207">
        <v>0.007527044341504695</v>
      </c>
      <c r="AP35" s="207">
        <v>0</v>
      </c>
      <c r="AQ35" s="207">
        <v>4</v>
      </c>
      <c r="AR35" s="207">
        <v>0</v>
      </c>
      <c r="AS35" s="207">
        <v>0</v>
      </c>
      <c r="AT35" s="207">
        <v>0</v>
      </c>
      <c r="AU35" s="207">
        <v>1421.1</v>
      </c>
      <c r="AV35" s="207">
        <v>1.6367602561396102</v>
      </c>
      <c r="AW35" s="207">
        <v>11.080322761058095</v>
      </c>
      <c r="AX35" s="207">
        <v>62</v>
      </c>
      <c r="AY35" s="207">
        <v>512</v>
      </c>
      <c r="AZ35" s="207">
        <v>0.12109375</v>
      </c>
      <c r="BA35" s="207">
        <v>0.05990991391576551</v>
      </c>
      <c r="BB35" s="207">
        <v>1.503033</v>
      </c>
      <c r="BC35" s="207">
        <v>598</v>
      </c>
      <c r="BD35" s="207">
        <v>755</v>
      </c>
      <c r="BE35" s="207">
        <v>0.7920529801324503</v>
      </c>
      <c r="BF35" s="207">
        <v>0.3831460975413572</v>
      </c>
      <c r="BG35" s="207">
        <v>0</v>
      </c>
      <c r="BH35" s="207">
        <v>0</v>
      </c>
      <c r="BI35" s="207">
        <v>0</v>
      </c>
      <c r="BJ35" s="207">
        <v>-558.24</v>
      </c>
      <c r="BK35" s="207">
        <v>-9536.599999999999</v>
      </c>
      <c r="BL35" s="207">
        <v>-651.2800000000001</v>
      </c>
      <c r="BM35" s="207">
        <v>-907.14</v>
      </c>
      <c r="BN35" s="207">
        <v>-46.52</v>
      </c>
      <c r="BO35" s="207">
        <v>22819</v>
      </c>
      <c r="BP35" s="207">
        <v>-61521.68232266772</v>
      </c>
      <c r="BQ35" s="207">
        <v>-210944.94</v>
      </c>
      <c r="BR35" s="207">
        <v>133478.1041463446</v>
      </c>
      <c r="BS35" s="207">
        <v>279305</v>
      </c>
      <c r="BT35" s="207">
        <v>81640</v>
      </c>
      <c r="BU35" s="207">
        <v>204901.33930158522</v>
      </c>
      <c r="BV35" s="207">
        <v>13280.894779769194</v>
      </c>
      <c r="BW35" s="207">
        <v>45938.39271567553</v>
      </c>
      <c r="BX35" s="207">
        <v>110928.5401283251</v>
      </c>
      <c r="BY35" s="207">
        <v>130583.63289368991</v>
      </c>
      <c r="BZ35" s="207">
        <v>213796.88144553293</v>
      </c>
      <c r="CA35" s="207">
        <v>64702.38056766983</v>
      </c>
      <c r="CB35" s="207">
        <v>116775.48090499833</v>
      </c>
      <c r="CC35" s="207">
        <v>209.34</v>
      </c>
      <c r="CD35" s="207">
        <v>-15027.77627256823</v>
      </c>
      <c r="CE35" s="207">
        <v>100529.72</v>
      </c>
      <c r="CF35" s="207">
        <v>1503860.9306110225</v>
      </c>
      <c r="CG35" s="207">
        <v>1093927.7082883548</v>
      </c>
      <c r="CH35" s="207">
        <v>0</v>
      </c>
      <c r="CI35" s="207">
        <v>2108700.901671493</v>
      </c>
      <c r="CJ35" s="207">
        <v>-482120</v>
      </c>
      <c r="CK35" s="207">
        <v>0</v>
      </c>
      <c r="CL35" s="207">
        <v>0</v>
      </c>
      <c r="CM35" s="207">
        <v>-1386.0357000000004</v>
      </c>
      <c r="CN35" s="207">
        <v>11003763.516420983</v>
      </c>
      <c r="CO35" s="207">
        <v>11002377.480720982</v>
      </c>
      <c r="CP35" s="207">
        <v>2406</v>
      </c>
    </row>
    <row r="36" spans="1:94" ht="9.75">
      <c r="A36" s="175">
        <v>106</v>
      </c>
      <c r="B36" s="175" t="s">
        <v>93</v>
      </c>
      <c r="C36" s="207">
        <v>46739</v>
      </c>
      <c r="D36" s="207">
        <v>152671076.16</v>
      </c>
      <c r="E36" s="207">
        <v>52962807.00589539</v>
      </c>
      <c r="F36" s="207">
        <v>9868919.19345729</v>
      </c>
      <c r="G36" s="207">
        <v>215502802.3593527</v>
      </c>
      <c r="H36" s="207">
        <v>3524.51</v>
      </c>
      <c r="I36" s="207">
        <v>164732072.89000002</v>
      </c>
      <c r="J36" s="207">
        <v>50770729.46935269</v>
      </c>
      <c r="K36" s="207">
        <v>1625745.4593441335</v>
      </c>
      <c r="L36" s="207">
        <v>6826480.500513596</v>
      </c>
      <c r="M36" s="207">
        <v>0</v>
      </c>
      <c r="N36" s="207">
        <v>59222955.429210424</v>
      </c>
      <c r="O36" s="207">
        <v>-3728373.524322682</v>
      </c>
      <c r="P36" s="207">
        <v>55494581.90488774</v>
      </c>
      <c r="Q36" s="207">
        <v>2686</v>
      </c>
      <c r="R36" s="207">
        <v>530</v>
      </c>
      <c r="S36" s="207">
        <v>3223</v>
      </c>
      <c r="T36" s="207">
        <v>1568</v>
      </c>
      <c r="U36" s="207">
        <v>1588</v>
      </c>
      <c r="V36" s="207">
        <v>27397</v>
      </c>
      <c r="W36" s="207">
        <v>5650</v>
      </c>
      <c r="X36" s="207">
        <v>2906</v>
      </c>
      <c r="Y36" s="207">
        <v>1191</v>
      </c>
      <c r="Z36" s="207">
        <v>409</v>
      </c>
      <c r="AA36" s="207">
        <v>0</v>
      </c>
      <c r="AB36" s="207">
        <v>43746</v>
      </c>
      <c r="AC36" s="207">
        <v>2584</v>
      </c>
      <c r="AD36" s="207">
        <v>9747</v>
      </c>
      <c r="AE36" s="207">
        <v>0.9998155003206325</v>
      </c>
      <c r="AF36" s="207">
        <v>52962807.00589539</v>
      </c>
      <c r="AG36" s="207">
        <v>64521826.88931192</v>
      </c>
      <c r="AH36" s="207">
        <v>15555574.459107812</v>
      </c>
      <c r="AI36" s="207">
        <v>6674231.229813009</v>
      </c>
      <c r="AJ36" s="207">
        <v>2200</v>
      </c>
      <c r="AK36" s="207">
        <v>22970</v>
      </c>
      <c r="AL36" s="207">
        <v>0.8277247701142227</v>
      </c>
      <c r="AM36" s="207">
        <v>2584</v>
      </c>
      <c r="AN36" s="207">
        <v>0.055285735681122834</v>
      </c>
      <c r="AO36" s="207">
        <v>0.05034502421867224</v>
      </c>
      <c r="AP36" s="207">
        <v>0</v>
      </c>
      <c r="AQ36" s="207">
        <v>409</v>
      </c>
      <c r="AR36" s="207">
        <v>0</v>
      </c>
      <c r="AS36" s="207">
        <v>0</v>
      </c>
      <c r="AT36" s="207">
        <v>0</v>
      </c>
      <c r="AU36" s="207">
        <v>322.68</v>
      </c>
      <c r="AV36" s="207">
        <v>144.8462873434982</v>
      </c>
      <c r="AW36" s="207">
        <v>0.12520743370860776</v>
      </c>
      <c r="AX36" s="207">
        <v>2339</v>
      </c>
      <c r="AY36" s="207">
        <v>14885</v>
      </c>
      <c r="AZ36" s="207">
        <v>0.1571380584481021</v>
      </c>
      <c r="BA36" s="207">
        <v>0.09595422236386761</v>
      </c>
      <c r="BB36" s="207">
        <v>0</v>
      </c>
      <c r="BC36" s="207">
        <v>19321</v>
      </c>
      <c r="BD36" s="207">
        <v>20274</v>
      </c>
      <c r="BE36" s="207">
        <v>0.9529939824405643</v>
      </c>
      <c r="BF36" s="207">
        <v>0.5440870998494712</v>
      </c>
      <c r="BG36" s="207">
        <v>0</v>
      </c>
      <c r="BH36" s="207">
        <v>0</v>
      </c>
      <c r="BI36" s="207">
        <v>0</v>
      </c>
      <c r="BJ36" s="207">
        <v>-11217.359999999999</v>
      </c>
      <c r="BK36" s="207">
        <v>-191629.9</v>
      </c>
      <c r="BL36" s="207">
        <v>-13086.920000000002</v>
      </c>
      <c r="BM36" s="207">
        <v>-18228.21</v>
      </c>
      <c r="BN36" s="207">
        <v>-934.78</v>
      </c>
      <c r="BO36" s="207">
        <v>763367</v>
      </c>
      <c r="BP36" s="207">
        <v>-3890247.8423768547</v>
      </c>
      <c r="BQ36" s="207">
        <v>-4238759.91</v>
      </c>
      <c r="BR36" s="207">
        <v>-44193.19768912345</v>
      </c>
      <c r="BS36" s="207">
        <v>2890456</v>
      </c>
      <c r="BT36" s="207">
        <v>981270</v>
      </c>
      <c r="BU36" s="207">
        <v>2082748.6046677604</v>
      </c>
      <c r="BV36" s="207">
        <v>51781.00130433286</v>
      </c>
      <c r="BW36" s="207">
        <v>167661.500230224</v>
      </c>
      <c r="BX36" s="207">
        <v>857276.2194981568</v>
      </c>
      <c r="BY36" s="207">
        <v>2081020.026385405</v>
      </c>
      <c r="BZ36" s="207">
        <v>3226311.8016826194</v>
      </c>
      <c r="CA36" s="207">
        <v>990830.6447778402</v>
      </c>
      <c r="CB36" s="207">
        <v>1709097.3955632143</v>
      </c>
      <c r="CC36" s="207">
        <v>4206.51</v>
      </c>
      <c r="CD36" s="207">
        <v>-64129.93352997792</v>
      </c>
      <c r="CE36" s="207">
        <v>2020059.5799999998</v>
      </c>
      <c r="CF36" s="207">
        <v>17717763.15289045</v>
      </c>
      <c r="CG36" s="207">
        <v>6826480.500513596</v>
      </c>
      <c r="CH36" s="207">
        <v>0</v>
      </c>
      <c r="CI36" s="207">
        <v>-3728373.524322682</v>
      </c>
      <c r="CJ36" s="207">
        <v>-2511419</v>
      </c>
      <c r="CK36" s="207">
        <v>0</v>
      </c>
      <c r="CL36" s="207">
        <v>0</v>
      </c>
      <c r="CM36" s="207">
        <v>74014.3063800002</v>
      </c>
      <c r="CN36" s="207">
        <v>52983162.90488774</v>
      </c>
      <c r="CO36" s="207">
        <v>53057177.21126775</v>
      </c>
      <c r="CP36" s="207">
        <v>46596</v>
      </c>
    </row>
    <row r="37" spans="1:94" ht="9.75">
      <c r="A37" s="175">
        <v>108</v>
      </c>
      <c r="B37" s="175" t="s">
        <v>94</v>
      </c>
      <c r="C37" s="207">
        <v>10599</v>
      </c>
      <c r="D37" s="207">
        <v>37764126.760000005</v>
      </c>
      <c r="E37" s="207">
        <v>11992851.937652899</v>
      </c>
      <c r="F37" s="207">
        <v>1690031.4320059489</v>
      </c>
      <c r="G37" s="207">
        <v>51447010.129658855</v>
      </c>
      <c r="H37" s="207">
        <v>3524.51</v>
      </c>
      <c r="I37" s="207">
        <v>37356281.49</v>
      </c>
      <c r="J37" s="207">
        <v>14090728.639658853</v>
      </c>
      <c r="K37" s="207">
        <v>190533.002774659</v>
      </c>
      <c r="L37" s="207">
        <v>2931485.5737398267</v>
      </c>
      <c r="M37" s="207">
        <v>0</v>
      </c>
      <c r="N37" s="207">
        <v>17212747.21617334</v>
      </c>
      <c r="O37" s="207">
        <v>5839401.763519384</v>
      </c>
      <c r="P37" s="207">
        <v>23052148.979692724</v>
      </c>
      <c r="Q37" s="207">
        <v>739</v>
      </c>
      <c r="R37" s="207">
        <v>133</v>
      </c>
      <c r="S37" s="207">
        <v>763</v>
      </c>
      <c r="T37" s="207">
        <v>428</v>
      </c>
      <c r="U37" s="207">
        <v>390</v>
      </c>
      <c r="V37" s="207">
        <v>5784</v>
      </c>
      <c r="W37" s="207">
        <v>1334</v>
      </c>
      <c r="X37" s="207">
        <v>721</v>
      </c>
      <c r="Y37" s="207">
        <v>307</v>
      </c>
      <c r="Z37" s="207">
        <v>16</v>
      </c>
      <c r="AA37" s="207">
        <v>0</v>
      </c>
      <c r="AB37" s="207">
        <v>10379</v>
      </c>
      <c r="AC37" s="207">
        <v>204</v>
      </c>
      <c r="AD37" s="207">
        <v>2362</v>
      </c>
      <c r="AE37" s="207">
        <v>0.998356999231805</v>
      </c>
      <c r="AF37" s="207">
        <v>11992851.937652899</v>
      </c>
      <c r="AG37" s="207">
        <v>15635493.61612189</v>
      </c>
      <c r="AH37" s="207">
        <v>2912118.453925049</v>
      </c>
      <c r="AI37" s="207">
        <v>1983506.4699042675</v>
      </c>
      <c r="AJ37" s="207">
        <v>489</v>
      </c>
      <c r="AK37" s="207">
        <v>4890</v>
      </c>
      <c r="AL37" s="207">
        <v>0.8642199077056226</v>
      </c>
      <c r="AM37" s="207">
        <v>204</v>
      </c>
      <c r="AN37" s="207">
        <v>0.019247098782904048</v>
      </c>
      <c r="AO37" s="207">
        <v>0.014306387320453456</v>
      </c>
      <c r="AP37" s="207">
        <v>0</v>
      </c>
      <c r="AQ37" s="207">
        <v>16</v>
      </c>
      <c r="AR37" s="207">
        <v>0</v>
      </c>
      <c r="AS37" s="207">
        <v>0</v>
      </c>
      <c r="AT37" s="207">
        <v>0</v>
      </c>
      <c r="AU37" s="207">
        <v>463.89</v>
      </c>
      <c r="AV37" s="207">
        <v>22.848088986613206</v>
      </c>
      <c r="AW37" s="207">
        <v>0.7937570591188113</v>
      </c>
      <c r="AX37" s="207">
        <v>425</v>
      </c>
      <c r="AY37" s="207">
        <v>3351</v>
      </c>
      <c r="AZ37" s="207">
        <v>0.12682781259325573</v>
      </c>
      <c r="BA37" s="207">
        <v>0.06564397650902123</v>
      </c>
      <c r="BB37" s="207">
        <v>0</v>
      </c>
      <c r="BC37" s="207">
        <v>2906</v>
      </c>
      <c r="BD37" s="207">
        <v>4211</v>
      </c>
      <c r="BE37" s="207">
        <v>0.6900973640465448</v>
      </c>
      <c r="BF37" s="207">
        <v>0.28119048145545167</v>
      </c>
      <c r="BG37" s="207">
        <v>0</v>
      </c>
      <c r="BH37" s="207">
        <v>0</v>
      </c>
      <c r="BI37" s="207">
        <v>0</v>
      </c>
      <c r="BJ37" s="207">
        <v>-2543.7599999999998</v>
      </c>
      <c r="BK37" s="207">
        <v>-43455.899999999994</v>
      </c>
      <c r="BL37" s="207">
        <v>-2967.7200000000003</v>
      </c>
      <c r="BM37" s="207">
        <v>-4133.610000000001</v>
      </c>
      <c r="BN37" s="207">
        <v>-211.98000000000002</v>
      </c>
      <c r="BO37" s="207">
        <v>-12046</v>
      </c>
      <c r="BP37" s="207">
        <v>-213713.83340718702</v>
      </c>
      <c r="BQ37" s="207">
        <v>-961223.3099999999</v>
      </c>
      <c r="BR37" s="207">
        <v>188528.23985093832</v>
      </c>
      <c r="BS37" s="207">
        <v>826508</v>
      </c>
      <c r="BT37" s="207">
        <v>260391</v>
      </c>
      <c r="BU37" s="207">
        <v>579739.51677479</v>
      </c>
      <c r="BV37" s="207">
        <v>24385.922358569595</v>
      </c>
      <c r="BW37" s="207">
        <v>9854.673982785083</v>
      </c>
      <c r="BX37" s="207">
        <v>253279.334823059</v>
      </c>
      <c r="BY37" s="207">
        <v>538688.7448554161</v>
      </c>
      <c r="BZ37" s="207">
        <v>854332.1991434924</v>
      </c>
      <c r="CA37" s="207">
        <v>253482.71560903557</v>
      </c>
      <c r="CB37" s="207">
        <v>467947.8963931009</v>
      </c>
      <c r="CC37" s="207">
        <v>953.91</v>
      </c>
      <c r="CD37" s="207">
        <v>28688.68335582692</v>
      </c>
      <c r="CE37" s="207">
        <v>458088.77999999997</v>
      </c>
      <c r="CF37" s="207">
        <v>4732823.617147014</v>
      </c>
      <c r="CG37" s="207">
        <v>2931485.5737398267</v>
      </c>
      <c r="CH37" s="207">
        <v>0</v>
      </c>
      <c r="CI37" s="207">
        <v>5839401.763519384</v>
      </c>
      <c r="CJ37" s="207">
        <v>-1210683</v>
      </c>
      <c r="CK37" s="207">
        <v>0</v>
      </c>
      <c r="CL37" s="207">
        <v>0</v>
      </c>
      <c r="CM37" s="207">
        <v>-86488.62767999998</v>
      </c>
      <c r="CN37" s="207">
        <v>21841465.979692724</v>
      </c>
      <c r="CO37" s="207">
        <v>21754977.352012724</v>
      </c>
      <c r="CP37" s="207">
        <v>10681</v>
      </c>
    </row>
    <row r="38" spans="1:94" ht="9.75">
      <c r="A38" s="175">
        <v>109</v>
      </c>
      <c r="B38" s="175" t="s">
        <v>95</v>
      </c>
      <c r="C38" s="207">
        <v>67662</v>
      </c>
      <c r="D38" s="207">
        <v>229687560.62</v>
      </c>
      <c r="E38" s="207">
        <v>77056559.43862185</v>
      </c>
      <c r="F38" s="207">
        <v>14795428.44457866</v>
      </c>
      <c r="G38" s="207">
        <v>321539548.50320053</v>
      </c>
      <c r="H38" s="207">
        <v>3524.51</v>
      </c>
      <c r="I38" s="207">
        <v>238475395.62</v>
      </c>
      <c r="J38" s="207">
        <v>83064152.88320053</v>
      </c>
      <c r="K38" s="207">
        <v>2687013.234062623</v>
      </c>
      <c r="L38" s="207">
        <v>10055463.038656266</v>
      </c>
      <c r="M38" s="207">
        <v>0</v>
      </c>
      <c r="N38" s="207">
        <v>95806629.15591942</v>
      </c>
      <c r="O38" s="207">
        <v>7708278.043141363</v>
      </c>
      <c r="P38" s="207">
        <v>103514907.19906078</v>
      </c>
      <c r="Q38" s="207">
        <v>3821</v>
      </c>
      <c r="R38" s="207">
        <v>688</v>
      </c>
      <c r="S38" s="207">
        <v>4274</v>
      </c>
      <c r="T38" s="207">
        <v>2101</v>
      </c>
      <c r="U38" s="207">
        <v>2187</v>
      </c>
      <c r="V38" s="207">
        <v>37914</v>
      </c>
      <c r="W38" s="207">
        <v>9357</v>
      </c>
      <c r="X38" s="207">
        <v>5061</v>
      </c>
      <c r="Y38" s="207">
        <v>2259</v>
      </c>
      <c r="Z38" s="207">
        <v>235</v>
      </c>
      <c r="AA38" s="207">
        <v>7</v>
      </c>
      <c r="AB38" s="207">
        <v>64075</v>
      </c>
      <c r="AC38" s="207">
        <v>3345</v>
      </c>
      <c r="AD38" s="207">
        <v>16677</v>
      </c>
      <c r="AE38" s="207">
        <v>1.0048311048638894</v>
      </c>
      <c r="AF38" s="207">
        <v>77056559.43862185</v>
      </c>
      <c r="AG38" s="207">
        <v>96670648.77633213</v>
      </c>
      <c r="AH38" s="207">
        <v>23052265.289143924</v>
      </c>
      <c r="AI38" s="207">
        <v>10239182.04734365</v>
      </c>
      <c r="AJ38" s="207">
        <v>3622</v>
      </c>
      <c r="AK38" s="207">
        <v>31766</v>
      </c>
      <c r="AL38" s="207">
        <v>0.9853946060913445</v>
      </c>
      <c r="AM38" s="207">
        <v>3345</v>
      </c>
      <c r="AN38" s="207">
        <v>0.04943690697880642</v>
      </c>
      <c r="AO38" s="207">
        <v>0.04449619551635583</v>
      </c>
      <c r="AP38" s="207">
        <v>0</v>
      </c>
      <c r="AQ38" s="207">
        <v>235</v>
      </c>
      <c r="AR38" s="207">
        <v>7</v>
      </c>
      <c r="AS38" s="207">
        <v>0</v>
      </c>
      <c r="AT38" s="207">
        <v>0</v>
      </c>
      <c r="AU38" s="207">
        <v>1785.02</v>
      </c>
      <c r="AV38" s="207">
        <v>37.905457641931186</v>
      </c>
      <c r="AW38" s="207">
        <v>0.4784490954262233</v>
      </c>
      <c r="AX38" s="207">
        <v>2729</v>
      </c>
      <c r="AY38" s="207">
        <v>20266</v>
      </c>
      <c r="AZ38" s="207">
        <v>0.13465903483667227</v>
      </c>
      <c r="BA38" s="207">
        <v>0.07347519875243777</v>
      </c>
      <c r="BB38" s="207">
        <v>0</v>
      </c>
      <c r="BC38" s="207">
        <v>28105</v>
      </c>
      <c r="BD38" s="207">
        <v>27284</v>
      </c>
      <c r="BE38" s="207">
        <v>1.0300908957630845</v>
      </c>
      <c r="BF38" s="207">
        <v>0.6211840131719915</v>
      </c>
      <c r="BG38" s="207">
        <v>0</v>
      </c>
      <c r="BH38" s="207">
        <v>7</v>
      </c>
      <c r="BI38" s="207">
        <v>0</v>
      </c>
      <c r="BJ38" s="207">
        <v>-16238.88</v>
      </c>
      <c r="BK38" s="207">
        <v>-277414.19999999995</v>
      </c>
      <c r="BL38" s="207">
        <v>-18945.36</v>
      </c>
      <c r="BM38" s="207">
        <v>-26388.18</v>
      </c>
      <c r="BN38" s="207">
        <v>-1353.24</v>
      </c>
      <c r="BO38" s="207">
        <v>56873</v>
      </c>
      <c r="BP38" s="207">
        <v>-6412518.963998883</v>
      </c>
      <c r="BQ38" s="207">
        <v>-6136266.78</v>
      </c>
      <c r="BR38" s="207">
        <v>-768345.0770012736</v>
      </c>
      <c r="BS38" s="207">
        <v>4556748</v>
      </c>
      <c r="BT38" s="207">
        <v>1570984</v>
      </c>
      <c r="BU38" s="207">
        <v>3432285.8347071824</v>
      </c>
      <c r="BV38" s="207">
        <v>116664.23442693883</v>
      </c>
      <c r="BW38" s="207">
        <v>300048.3093346076</v>
      </c>
      <c r="BX38" s="207">
        <v>1539308.20603492</v>
      </c>
      <c r="BY38" s="207">
        <v>3208859.746508385</v>
      </c>
      <c r="BZ38" s="207">
        <v>5144768.049881162</v>
      </c>
      <c r="CA38" s="207">
        <v>1560633.0035080516</v>
      </c>
      <c r="CB38" s="207">
        <v>2716617.628774604</v>
      </c>
      <c r="CC38" s="207">
        <v>6089.58</v>
      </c>
      <c r="CD38" s="207">
        <v>237186.82648057723</v>
      </c>
      <c r="CE38" s="207">
        <v>2924351.64</v>
      </c>
      <c r="CF38" s="207">
        <v>26603072.98265515</v>
      </c>
      <c r="CG38" s="207">
        <v>10055463.038656266</v>
      </c>
      <c r="CH38" s="207">
        <v>0</v>
      </c>
      <c r="CI38" s="207">
        <v>7708278.043141363</v>
      </c>
      <c r="CJ38" s="207">
        <v>-12533903</v>
      </c>
      <c r="CK38" s="207">
        <v>0</v>
      </c>
      <c r="CL38" s="207">
        <v>0</v>
      </c>
      <c r="CM38" s="207">
        <v>187352.42561999988</v>
      </c>
      <c r="CN38" s="207">
        <v>90981004.19906078</v>
      </c>
      <c r="CO38" s="207">
        <v>91168356.62468079</v>
      </c>
      <c r="CP38" s="207">
        <v>67850</v>
      </c>
    </row>
    <row r="39" spans="1:94" ht="9.75">
      <c r="A39" s="175">
        <v>139</v>
      </c>
      <c r="B39" s="175" t="s">
        <v>96</v>
      </c>
      <c r="C39" s="207">
        <v>9966</v>
      </c>
      <c r="D39" s="207">
        <v>38771797.17</v>
      </c>
      <c r="E39" s="207">
        <v>11719334.02392634</v>
      </c>
      <c r="F39" s="207">
        <v>2468987.929443836</v>
      </c>
      <c r="G39" s="207">
        <v>52960119.12337018</v>
      </c>
      <c r="H39" s="207">
        <v>3524.51</v>
      </c>
      <c r="I39" s="207">
        <v>35125266.660000004</v>
      </c>
      <c r="J39" s="207">
        <v>17834852.463370174</v>
      </c>
      <c r="K39" s="207">
        <v>197600.66798741143</v>
      </c>
      <c r="L39" s="207">
        <v>2210484.3135060715</v>
      </c>
      <c r="M39" s="207">
        <v>0</v>
      </c>
      <c r="N39" s="207">
        <v>20242937.444863655</v>
      </c>
      <c r="O39" s="207">
        <v>7595083.738647898</v>
      </c>
      <c r="P39" s="207">
        <v>27838021.18351155</v>
      </c>
      <c r="Q39" s="207">
        <v>857</v>
      </c>
      <c r="R39" s="207">
        <v>158</v>
      </c>
      <c r="S39" s="207">
        <v>997</v>
      </c>
      <c r="T39" s="207">
        <v>470</v>
      </c>
      <c r="U39" s="207">
        <v>393</v>
      </c>
      <c r="V39" s="207">
        <v>5119</v>
      </c>
      <c r="W39" s="207">
        <v>1091</v>
      </c>
      <c r="X39" s="207">
        <v>609</v>
      </c>
      <c r="Y39" s="207">
        <v>272</v>
      </c>
      <c r="Z39" s="207">
        <v>13</v>
      </c>
      <c r="AA39" s="207">
        <v>1</v>
      </c>
      <c r="AB39" s="207">
        <v>9896</v>
      </c>
      <c r="AC39" s="207">
        <v>56</v>
      </c>
      <c r="AD39" s="207">
        <v>1972</v>
      </c>
      <c r="AE39" s="207">
        <v>1.0375531112785015</v>
      </c>
      <c r="AF39" s="207">
        <v>11719334.02392634</v>
      </c>
      <c r="AG39" s="207">
        <v>14985096.883327566</v>
      </c>
      <c r="AH39" s="207">
        <v>3273898.4978528833</v>
      </c>
      <c r="AI39" s="207">
        <v>1778008.0518511226</v>
      </c>
      <c r="AJ39" s="207">
        <v>620</v>
      </c>
      <c r="AK39" s="207">
        <v>4132</v>
      </c>
      <c r="AL39" s="207">
        <v>1.2967481674188914</v>
      </c>
      <c r="AM39" s="207">
        <v>56</v>
      </c>
      <c r="AN39" s="207">
        <v>0.005619104956853301</v>
      </c>
      <c r="AO39" s="207">
        <v>0.0006783934944027082</v>
      </c>
      <c r="AP39" s="207">
        <v>0</v>
      </c>
      <c r="AQ39" s="207">
        <v>13</v>
      </c>
      <c r="AR39" s="207">
        <v>1</v>
      </c>
      <c r="AS39" s="207">
        <v>0</v>
      </c>
      <c r="AT39" s="207">
        <v>0</v>
      </c>
      <c r="AU39" s="207">
        <v>1614.06</v>
      </c>
      <c r="AV39" s="207">
        <v>6.1744916545853314</v>
      </c>
      <c r="AW39" s="207">
        <v>2.937218630303092</v>
      </c>
      <c r="AX39" s="207">
        <v>319</v>
      </c>
      <c r="AY39" s="207">
        <v>2865</v>
      </c>
      <c r="AZ39" s="207">
        <v>0.11134380453752181</v>
      </c>
      <c r="BA39" s="207">
        <v>0.05015996845328732</v>
      </c>
      <c r="BB39" s="207">
        <v>0</v>
      </c>
      <c r="BC39" s="207">
        <v>2393</v>
      </c>
      <c r="BD39" s="207">
        <v>3328</v>
      </c>
      <c r="BE39" s="207">
        <v>0.7190504807692307</v>
      </c>
      <c r="BF39" s="207">
        <v>0.31014359817813764</v>
      </c>
      <c r="BG39" s="207">
        <v>0</v>
      </c>
      <c r="BH39" s="207">
        <v>1</v>
      </c>
      <c r="BI39" s="207">
        <v>0</v>
      </c>
      <c r="BJ39" s="207">
        <v>-2391.8399999999997</v>
      </c>
      <c r="BK39" s="207">
        <v>-40860.6</v>
      </c>
      <c r="BL39" s="207">
        <v>-2790.4800000000005</v>
      </c>
      <c r="BM39" s="207">
        <v>-3886.7400000000002</v>
      </c>
      <c r="BN39" s="207">
        <v>-199.32</v>
      </c>
      <c r="BO39" s="207">
        <v>132064</v>
      </c>
      <c r="BP39" s="207">
        <v>-248751.90415006594</v>
      </c>
      <c r="BQ39" s="207">
        <v>-903816.5399999999</v>
      </c>
      <c r="BR39" s="207">
        <v>-103891.53774344549</v>
      </c>
      <c r="BS39" s="207">
        <v>723887</v>
      </c>
      <c r="BT39" s="207">
        <v>216091</v>
      </c>
      <c r="BU39" s="207">
        <v>530323.5174787409</v>
      </c>
      <c r="BV39" s="207">
        <v>16076.989392230093</v>
      </c>
      <c r="BW39" s="207">
        <v>9193.438746910622</v>
      </c>
      <c r="BX39" s="207">
        <v>255264.1904055092</v>
      </c>
      <c r="BY39" s="207">
        <v>465197.09824793745</v>
      </c>
      <c r="BZ39" s="207">
        <v>685611.4068228325</v>
      </c>
      <c r="CA39" s="207">
        <v>169137.61590244822</v>
      </c>
      <c r="CB39" s="207">
        <v>374548.3823055227</v>
      </c>
      <c r="CC39" s="207">
        <v>896.9399999999999</v>
      </c>
      <c r="CD39" s="207">
        <v>46912.796097451865</v>
      </c>
      <c r="CE39" s="207">
        <v>430730.51999999996</v>
      </c>
      <c r="CF39" s="207">
        <v>3952043.357656137</v>
      </c>
      <c r="CG39" s="207">
        <v>2210484.3135060715</v>
      </c>
      <c r="CH39" s="207">
        <v>0</v>
      </c>
      <c r="CI39" s="207">
        <v>7595083.738647898</v>
      </c>
      <c r="CJ39" s="207">
        <v>-186072</v>
      </c>
      <c r="CK39" s="207">
        <v>0</v>
      </c>
      <c r="CL39" s="207">
        <v>0</v>
      </c>
      <c r="CM39" s="207">
        <v>46201.19</v>
      </c>
      <c r="CN39" s="207">
        <v>27651949.18351155</v>
      </c>
      <c r="CO39" s="207">
        <v>27698150.373511553</v>
      </c>
      <c r="CP39" s="207">
        <v>9628</v>
      </c>
    </row>
    <row r="40" spans="1:94" ht="9.75">
      <c r="A40" s="175">
        <v>140</v>
      </c>
      <c r="B40" s="175" t="s">
        <v>97</v>
      </c>
      <c r="C40" s="207">
        <v>21639</v>
      </c>
      <c r="D40" s="207">
        <v>73844351.51</v>
      </c>
      <c r="E40" s="207">
        <v>36514098.238115266</v>
      </c>
      <c r="F40" s="207">
        <v>4015630.7484287065</v>
      </c>
      <c r="G40" s="207">
        <v>114374080.49654397</v>
      </c>
      <c r="H40" s="207">
        <v>3524.51</v>
      </c>
      <c r="I40" s="207">
        <v>76266871.89</v>
      </c>
      <c r="J40" s="207">
        <v>38107208.60654397</v>
      </c>
      <c r="K40" s="207">
        <v>1182927.6619340046</v>
      </c>
      <c r="L40" s="207">
        <v>5260922.45827844</v>
      </c>
      <c r="M40" s="207">
        <v>0</v>
      </c>
      <c r="N40" s="207">
        <v>44551058.726756416</v>
      </c>
      <c r="O40" s="207">
        <v>11158906.975916123</v>
      </c>
      <c r="P40" s="207">
        <v>55709965.70267254</v>
      </c>
      <c r="Q40" s="207">
        <v>1294</v>
      </c>
      <c r="R40" s="207">
        <v>246</v>
      </c>
      <c r="S40" s="207">
        <v>1393</v>
      </c>
      <c r="T40" s="207">
        <v>657</v>
      </c>
      <c r="U40" s="207">
        <v>717</v>
      </c>
      <c r="V40" s="207">
        <v>12028</v>
      </c>
      <c r="W40" s="207">
        <v>3037</v>
      </c>
      <c r="X40" s="207">
        <v>1551</v>
      </c>
      <c r="Y40" s="207">
        <v>716</v>
      </c>
      <c r="Z40" s="207">
        <v>9</v>
      </c>
      <c r="AA40" s="207">
        <v>2</v>
      </c>
      <c r="AB40" s="207">
        <v>21058</v>
      </c>
      <c r="AC40" s="207">
        <v>570</v>
      </c>
      <c r="AD40" s="207">
        <v>5304</v>
      </c>
      <c r="AE40" s="207">
        <v>1.4888525186493913</v>
      </c>
      <c r="AF40" s="207">
        <v>36514098.238115266</v>
      </c>
      <c r="AG40" s="207">
        <v>40411746.543540284</v>
      </c>
      <c r="AH40" s="207">
        <v>13917096.671114609</v>
      </c>
      <c r="AI40" s="207">
        <v>4145707.2163764867</v>
      </c>
      <c r="AJ40" s="207">
        <v>1270</v>
      </c>
      <c r="AK40" s="207">
        <v>10065</v>
      </c>
      <c r="AL40" s="207">
        <v>1.0904712198570696</v>
      </c>
      <c r="AM40" s="207">
        <v>570</v>
      </c>
      <c r="AN40" s="207">
        <v>0.026341328157493415</v>
      </c>
      <c r="AO40" s="207">
        <v>0.021400616695042823</v>
      </c>
      <c r="AP40" s="207">
        <v>0</v>
      </c>
      <c r="AQ40" s="207">
        <v>9</v>
      </c>
      <c r="AR40" s="207">
        <v>2</v>
      </c>
      <c r="AS40" s="207">
        <v>0</v>
      </c>
      <c r="AT40" s="207">
        <v>0</v>
      </c>
      <c r="AU40" s="207">
        <v>763.04</v>
      </c>
      <c r="AV40" s="207">
        <v>28.358932690291468</v>
      </c>
      <c r="AW40" s="207">
        <v>0.6395103835028216</v>
      </c>
      <c r="AX40" s="207">
        <v>746</v>
      </c>
      <c r="AY40" s="207">
        <v>6056</v>
      </c>
      <c r="AZ40" s="207">
        <v>0.12318361955085866</v>
      </c>
      <c r="BA40" s="207">
        <v>0.061999783466624166</v>
      </c>
      <c r="BB40" s="207">
        <v>0.061933</v>
      </c>
      <c r="BC40" s="207">
        <v>8947</v>
      </c>
      <c r="BD40" s="207">
        <v>8441</v>
      </c>
      <c r="BE40" s="207">
        <v>1.0599455040871935</v>
      </c>
      <c r="BF40" s="207">
        <v>0.6510386214961004</v>
      </c>
      <c r="BG40" s="207">
        <v>0</v>
      </c>
      <c r="BH40" s="207">
        <v>2</v>
      </c>
      <c r="BI40" s="207">
        <v>0</v>
      </c>
      <c r="BJ40" s="207">
        <v>-5193.36</v>
      </c>
      <c r="BK40" s="207">
        <v>-88719.9</v>
      </c>
      <c r="BL40" s="207">
        <v>-6058.920000000001</v>
      </c>
      <c r="BM40" s="207">
        <v>-8439.210000000001</v>
      </c>
      <c r="BN40" s="207">
        <v>-432.78000000000003</v>
      </c>
      <c r="BO40" s="207">
        <v>2846</v>
      </c>
      <c r="BP40" s="207">
        <v>-1202364.4769350016</v>
      </c>
      <c r="BQ40" s="207">
        <v>-1962440.91</v>
      </c>
      <c r="BR40" s="207">
        <v>-103509.28852503002</v>
      </c>
      <c r="BS40" s="207">
        <v>1719855</v>
      </c>
      <c r="BT40" s="207">
        <v>554062</v>
      </c>
      <c r="BU40" s="207">
        <v>1309102.96830591</v>
      </c>
      <c r="BV40" s="207">
        <v>55085.89497350688</v>
      </c>
      <c r="BW40" s="207">
        <v>227371.5223683299</v>
      </c>
      <c r="BX40" s="207">
        <v>674080.996412253</v>
      </c>
      <c r="BY40" s="207">
        <v>1126700.6565302126</v>
      </c>
      <c r="BZ40" s="207">
        <v>1783562.8830082873</v>
      </c>
      <c r="CA40" s="207">
        <v>510782.16273364605</v>
      </c>
      <c r="CB40" s="207">
        <v>934420.5716707461</v>
      </c>
      <c r="CC40" s="207">
        <v>1947.51</v>
      </c>
      <c r="CD40" s="207">
        <v>-26953.712264420174</v>
      </c>
      <c r="CE40" s="207">
        <v>935237.58</v>
      </c>
      <c r="CF40" s="207">
        <v>9704592.745213442</v>
      </c>
      <c r="CG40" s="207">
        <v>5260922.45827844</v>
      </c>
      <c r="CH40" s="207">
        <v>0</v>
      </c>
      <c r="CI40" s="207">
        <v>11158906.975916123</v>
      </c>
      <c r="CJ40" s="207">
        <v>-1282374</v>
      </c>
      <c r="CK40" s="207">
        <v>0</v>
      </c>
      <c r="CL40" s="207">
        <v>0</v>
      </c>
      <c r="CM40" s="207">
        <v>-30532.386420000053</v>
      </c>
      <c r="CN40" s="207">
        <v>54427591.70267254</v>
      </c>
      <c r="CO40" s="207">
        <v>54397059.316252545</v>
      </c>
      <c r="CP40" s="207">
        <v>21767</v>
      </c>
    </row>
    <row r="41" spans="1:94" ht="9.75">
      <c r="A41" s="175">
        <v>142</v>
      </c>
      <c r="B41" s="175" t="s">
        <v>98</v>
      </c>
      <c r="C41" s="207">
        <v>6820</v>
      </c>
      <c r="D41" s="207">
        <v>24146909.44</v>
      </c>
      <c r="E41" s="207">
        <v>8404574.368465215</v>
      </c>
      <c r="F41" s="207">
        <v>1427870.7394823674</v>
      </c>
      <c r="G41" s="207">
        <v>33979354.547947586</v>
      </c>
      <c r="H41" s="207">
        <v>3524.51</v>
      </c>
      <c r="I41" s="207">
        <v>24037158.200000003</v>
      </c>
      <c r="J41" s="207">
        <v>9942196.347947583</v>
      </c>
      <c r="K41" s="207">
        <v>189068.08883452363</v>
      </c>
      <c r="L41" s="207">
        <v>1934277.2916285957</v>
      </c>
      <c r="M41" s="207">
        <v>0</v>
      </c>
      <c r="N41" s="207">
        <v>12065541.728410702</v>
      </c>
      <c r="O41" s="207">
        <v>4072350.190817215</v>
      </c>
      <c r="P41" s="207">
        <v>16137891.919227917</v>
      </c>
      <c r="Q41" s="207">
        <v>382</v>
      </c>
      <c r="R41" s="207">
        <v>55</v>
      </c>
      <c r="S41" s="207">
        <v>401</v>
      </c>
      <c r="T41" s="207">
        <v>214</v>
      </c>
      <c r="U41" s="207">
        <v>209</v>
      </c>
      <c r="V41" s="207">
        <v>3593</v>
      </c>
      <c r="W41" s="207">
        <v>1091</v>
      </c>
      <c r="X41" s="207">
        <v>605</v>
      </c>
      <c r="Y41" s="207">
        <v>270</v>
      </c>
      <c r="Z41" s="207">
        <v>19</v>
      </c>
      <c r="AA41" s="207">
        <v>0</v>
      </c>
      <c r="AB41" s="207">
        <v>6677</v>
      </c>
      <c r="AC41" s="207">
        <v>124</v>
      </c>
      <c r="AD41" s="207">
        <v>1966</v>
      </c>
      <c r="AE41" s="207">
        <v>1.0873256595517444</v>
      </c>
      <c r="AF41" s="207">
        <v>8404574.368465215</v>
      </c>
      <c r="AG41" s="207">
        <v>10635346.625419844</v>
      </c>
      <c r="AH41" s="207">
        <v>2591047.8555220915</v>
      </c>
      <c r="AI41" s="207">
        <v>1018557.3764373265</v>
      </c>
      <c r="AJ41" s="207">
        <v>357</v>
      </c>
      <c r="AK41" s="207">
        <v>3063</v>
      </c>
      <c r="AL41" s="207">
        <v>1.0072690403229099</v>
      </c>
      <c r="AM41" s="207">
        <v>124</v>
      </c>
      <c r="AN41" s="207">
        <v>0.01818181818181818</v>
      </c>
      <c r="AO41" s="207">
        <v>0.013241106719367589</v>
      </c>
      <c r="AP41" s="207">
        <v>0</v>
      </c>
      <c r="AQ41" s="207">
        <v>19</v>
      </c>
      <c r="AR41" s="207">
        <v>0</v>
      </c>
      <c r="AS41" s="207">
        <v>0</v>
      </c>
      <c r="AT41" s="207">
        <v>0</v>
      </c>
      <c r="AU41" s="207">
        <v>589.84</v>
      </c>
      <c r="AV41" s="207">
        <v>11.562457615624576</v>
      </c>
      <c r="AW41" s="207">
        <v>1.5685101319629224</v>
      </c>
      <c r="AX41" s="207">
        <v>285</v>
      </c>
      <c r="AY41" s="207">
        <v>1881</v>
      </c>
      <c r="AZ41" s="207">
        <v>0.15151515151515152</v>
      </c>
      <c r="BA41" s="207">
        <v>0.09033131543091702</v>
      </c>
      <c r="BB41" s="207">
        <v>0</v>
      </c>
      <c r="BC41" s="207">
        <v>2210</v>
      </c>
      <c r="BD41" s="207">
        <v>2623</v>
      </c>
      <c r="BE41" s="207">
        <v>0.8425467022493328</v>
      </c>
      <c r="BF41" s="207">
        <v>0.4336398196582397</v>
      </c>
      <c r="BG41" s="207">
        <v>0</v>
      </c>
      <c r="BH41" s="207">
        <v>0</v>
      </c>
      <c r="BI41" s="207">
        <v>0</v>
      </c>
      <c r="BJ41" s="207">
        <v>-1636.8</v>
      </c>
      <c r="BK41" s="207">
        <v>-27961.999999999996</v>
      </c>
      <c r="BL41" s="207">
        <v>-1909.6000000000001</v>
      </c>
      <c r="BM41" s="207">
        <v>-2659.8</v>
      </c>
      <c r="BN41" s="207">
        <v>-136.4</v>
      </c>
      <c r="BO41" s="207">
        <v>36498</v>
      </c>
      <c r="BP41" s="207">
        <v>-260497.76237472333</v>
      </c>
      <c r="BQ41" s="207">
        <v>-618505.7999999999</v>
      </c>
      <c r="BR41" s="207">
        <v>7043.986740678549</v>
      </c>
      <c r="BS41" s="207">
        <v>561007</v>
      </c>
      <c r="BT41" s="207">
        <v>186515</v>
      </c>
      <c r="BU41" s="207">
        <v>430490.72209921485</v>
      </c>
      <c r="BV41" s="207">
        <v>23482.037625590612</v>
      </c>
      <c r="BW41" s="207">
        <v>26031.39221942881</v>
      </c>
      <c r="BX41" s="207">
        <v>198577.07449350462</v>
      </c>
      <c r="BY41" s="207">
        <v>350563.5538984399</v>
      </c>
      <c r="BZ41" s="207">
        <v>587899.073939636</v>
      </c>
      <c r="CA41" s="207">
        <v>170386.28145441186</v>
      </c>
      <c r="CB41" s="207">
        <v>310652.3329527533</v>
      </c>
      <c r="CC41" s="207">
        <v>613.8</v>
      </c>
      <c r="CD41" s="207">
        <v>31822.198579660995</v>
      </c>
      <c r="CE41" s="207">
        <v>294760.39999999997</v>
      </c>
      <c r="CF41" s="207">
        <v>3216342.854003319</v>
      </c>
      <c r="CG41" s="207">
        <v>1934277.2916285957</v>
      </c>
      <c r="CH41" s="207">
        <v>0</v>
      </c>
      <c r="CI41" s="207">
        <v>4072350.190817215</v>
      </c>
      <c r="CJ41" s="207">
        <v>-906994</v>
      </c>
      <c r="CK41" s="207">
        <v>0</v>
      </c>
      <c r="CL41" s="207">
        <v>0</v>
      </c>
      <c r="CM41" s="207">
        <v>334443.81424</v>
      </c>
      <c r="CN41" s="207">
        <v>15230897.919227917</v>
      </c>
      <c r="CO41" s="207">
        <v>15565341.733467916</v>
      </c>
      <c r="CP41" s="207">
        <v>6889</v>
      </c>
    </row>
    <row r="42" spans="1:94" ht="9.75">
      <c r="A42" s="175">
        <v>143</v>
      </c>
      <c r="B42" s="175" t="s">
        <v>99</v>
      </c>
      <c r="C42" s="207">
        <v>7119</v>
      </c>
      <c r="D42" s="207">
        <v>25073992.62</v>
      </c>
      <c r="E42" s="207">
        <v>9020680.993308343</v>
      </c>
      <c r="F42" s="207">
        <v>1546899.6359675345</v>
      </c>
      <c r="G42" s="207">
        <v>35641573.24927588</v>
      </c>
      <c r="H42" s="207">
        <v>3524.51</v>
      </c>
      <c r="I42" s="207">
        <v>25090986.69</v>
      </c>
      <c r="J42" s="207">
        <v>10550586.559275877</v>
      </c>
      <c r="K42" s="207">
        <v>229816.74373893277</v>
      </c>
      <c r="L42" s="207">
        <v>2310970.95364605</v>
      </c>
      <c r="M42" s="207">
        <v>0</v>
      </c>
      <c r="N42" s="207">
        <v>13091374.25666086</v>
      </c>
      <c r="O42" s="207">
        <v>4688067.90182138</v>
      </c>
      <c r="P42" s="207">
        <v>17779442.15848224</v>
      </c>
      <c r="Q42" s="207">
        <v>407</v>
      </c>
      <c r="R42" s="207">
        <v>75</v>
      </c>
      <c r="S42" s="207">
        <v>442</v>
      </c>
      <c r="T42" s="207">
        <v>184</v>
      </c>
      <c r="U42" s="207">
        <v>230</v>
      </c>
      <c r="V42" s="207">
        <v>3650</v>
      </c>
      <c r="W42" s="207">
        <v>1226</v>
      </c>
      <c r="X42" s="207">
        <v>631</v>
      </c>
      <c r="Y42" s="207">
        <v>274</v>
      </c>
      <c r="Z42" s="207">
        <v>13</v>
      </c>
      <c r="AA42" s="207">
        <v>0</v>
      </c>
      <c r="AB42" s="207">
        <v>6988</v>
      </c>
      <c r="AC42" s="207">
        <v>118</v>
      </c>
      <c r="AD42" s="207">
        <v>2131</v>
      </c>
      <c r="AE42" s="207">
        <v>1.1180175450767893</v>
      </c>
      <c r="AF42" s="207">
        <v>9020680.993308343</v>
      </c>
      <c r="AG42" s="207">
        <v>11274318.32241366</v>
      </c>
      <c r="AH42" s="207">
        <v>2770254.5496529937</v>
      </c>
      <c r="AI42" s="207">
        <v>991753.2349521337</v>
      </c>
      <c r="AJ42" s="207">
        <v>365</v>
      </c>
      <c r="AK42" s="207">
        <v>3077</v>
      </c>
      <c r="AL42" s="207">
        <v>1.0251552366348788</v>
      </c>
      <c r="AM42" s="207">
        <v>118</v>
      </c>
      <c r="AN42" s="207">
        <v>0.01657536170810507</v>
      </c>
      <c r="AO42" s="207">
        <v>0.01163465024565448</v>
      </c>
      <c r="AP42" s="207">
        <v>0</v>
      </c>
      <c r="AQ42" s="207">
        <v>13</v>
      </c>
      <c r="AR42" s="207">
        <v>0</v>
      </c>
      <c r="AS42" s="207">
        <v>0</v>
      </c>
      <c r="AT42" s="207">
        <v>0</v>
      </c>
      <c r="AU42" s="207">
        <v>750.4</v>
      </c>
      <c r="AV42" s="207">
        <v>9.486940298507463</v>
      </c>
      <c r="AW42" s="207">
        <v>1.9116629123672497</v>
      </c>
      <c r="AX42" s="207">
        <v>276</v>
      </c>
      <c r="AY42" s="207">
        <v>1945</v>
      </c>
      <c r="AZ42" s="207">
        <v>0.14190231362467867</v>
      </c>
      <c r="BA42" s="207">
        <v>0.08071847754044417</v>
      </c>
      <c r="BB42" s="207">
        <v>0</v>
      </c>
      <c r="BC42" s="207">
        <v>2313</v>
      </c>
      <c r="BD42" s="207">
        <v>2531</v>
      </c>
      <c r="BE42" s="207">
        <v>0.913868036349269</v>
      </c>
      <c r="BF42" s="207">
        <v>0.504961153758176</v>
      </c>
      <c r="BG42" s="207">
        <v>0</v>
      </c>
      <c r="BH42" s="207">
        <v>0</v>
      </c>
      <c r="BI42" s="207">
        <v>0</v>
      </c>
      <c r="BJ42" s="207">
        <v>-1708.56</v>
      </c>
      <c r="BK42" s="207">
        <v>-29187.899999999998</v>
      </c>
      <c r="BL42" s="207">
        <v>-1993.3200000000002</v>
      </c>
      <c r="BM42" s="207">
        <v>-2776.4100000000003</v>
      </c>
      <c r="BN42" s="207">
        <v>-142.38</v>
      </c>
      <c r="BO42" s="207">
        <v>138175</v>
      </c>
      <c r="BP42" s="207">
        <v>-366347.80204585317</v>
      </c>
      <c r="BQ42" s="207">
        <v>-645622.11</v>
      </c>
      <c r="BR42" s="207">
        <v>79890.6480099801</v>
      </c>
      <c r="BS42" s="207">
        <v>680777</v>
      </c>
      <c r="BT42" s="207">
        <v>207953</v>
      </c>
      <c r="BU42" s="207">
        <v>496189.18011094985</v>
      </c>
      <c r="BV42" s="207">
        <v>24908.36419060258</v>
      </c>
      <c r="BW42" s="207">
        <v>82317.76892538632</v>
      </c>
      <c r="BX42" s="207">
        <v>232829.75872488532</v>
      </c>
      <c r="BY42" s="207">
        <v>404587.17992137617</v>
      </c>
      <c r="BZ42" s="207">
        <v>614150.253396735</v>
      </c>
      <c r="CA42" s="207">
        <v>175764.46567039963</v>
      </c>
      <c r="CB42" s="207">
        <v>323874.86932508793</v>
      </c>
      <c r="CC42" s="207">
        <v>640.7099999999999</v>
      </c>
      <c r="CD42" s="207">
        <v>-26067.61258350042</v>
      </c>
      <c r="CE42" s="207">
        <v>307683.18</v>
      </c>
      <c r="CF42" s="207">
        <v>3743673.765691903</v>
      </c>
      <c r="CG42" s="207">
        <v>2310970.95364605</v>
      </c>
      <c r="CH42" s="207">
        <v>0</v>
      </c>
      <c r="CI42" s="207">
        <v>4688067.90182138</v>
      </c>
      <c r="CJ42" s="207">
        <v>-104586</v>
      </c>
      <c r="CK42" s="207">
        <v>0</v>
      </c>
      <c r="CL42" s="207">
        <v>0</v>
      </c>
      <c r="CM42" s="207">
        <v>254898.56540000002</v>
      </c>
      <c r="CN42" s="207">
        <v>17674856.15848224</v>
      </c>
      <c r="CO42" s="207">
        <v>17929754.72388224</v>
      </c>
      <c r="CP42" s="207">
        <v>7128</v>
      </c>
    </row>
    <row r="43" spans="1:94" ht="9.75">
      <c r="A43" s="175">
        <v>145</v>
      </c>
      <c r="B43" s="175" t="s">
        <v>100</v>
      </c>
      <c r="C43" s="207">
        <v>12205</v>
      </c>
      <c r="D43" s="207">
        <v>44860865.010000005</v>
      </c>
      <c r="E43" s="207">
        <v>15179281.312178444</v>
      </c>
      <c r="F43" s="207">
        <v>1351835.4784539617</v>
      </c>
      <c r="G43" s="207">
        <v>61391981.80063242</v>
      </c>
      <c r="H43" s="207">
        <v>3524.51</v>
      </c>
      <c r="I43" s="207">
        <v>43016644.550000004</v>
      </c>
      <c r="J43" s="207">
        <v>18375337.250632413</v>
      </c>
      <c r="K43" s="207">
        <v>179969.01651967317</v>
      </c>
      <c r="L43" s="207">
        <v>3183517.0799282202</v>
      </c>
      <c r="M43" s="207">
        <v>0</v>
      </c>
      <c r="N43" s="207">
        <v>21738823.347080305</v>
      </c>
      <c r="O43" s="207">
        <v>7936136.74675782</v>
      </c>
      <c r="P43" s="207">
        <v>29674960.093838125</v>
      </c>
      <c r="Q43" s="207">
        <v>932</v>
      </c>
      <c r="R43" s="207">
        <v>157</v>
      </c>
      <c r="S43" s="207">
        <v>1046</v>
      </c>
      <c r="T43" s="207">
        <v>465</v>
      </c>
      <c r="U43" s="207">
        <v>461</v>
      </c>
      <c r="V43" s="207">
        <v>6628</v>
      </c>
      <c r="W43" s="207">
        <v>1418</v>
      </c>
      <c r="X43" s="207">
        <v>707</v>
      </c>
      <c r="Y43" s="207">
        <v>391</v>
      </c>
      <c r="Z43" s="207">
        <v>27</v>
      </c>
      <c r="AA43" s="207">
        <v>0</v>
      </c>
      <c r="AB43" s="207">
        <v>12071</v>
      </c>
      <c r="AC43" s="207">
        <v>107</v>
      </c>
      <c r="AD43" s="207">
        <v>2516</v>
      </c>
      <c r="AE43" s="207">
        <v>1.097341270477689</v>
      </c>
      <c r="AF43" s="207">
        <v>15179281.312178444</v>
      </c>
      <c r="AG43" s="207">
        <v>17896554.69828013</v>
      </c>
      <c r="AH43" s="207">
        <v>5333711.307590259</v>
      </c>
      <c r="AI43" s="207">
        <v>1760138.6241943277</v>
      </c>
      <c r="AJ43" s="207">
        <v>441</v>
      </c>
      <c r="AK43" s="207">
        <v>5624</v>
      </c>
      <c r="AL43" s="207">
        <v>0.6776688821091386</v>
      </c>
      <c r="AM43" s="207">
        <v>107</v>
      </c>
      <c r="AN43" s="207">
        <v>0.00876689881196231</v>
      </c>
      <c r="AO43" s="207">
        <v>0.0038261873495117173</v>
      </c>
      <c r="AP43" s="207">
        <v>0</v>
      </c>
      <c r="AQ43" s="207">
        <v>27</v>
      </c>
      <c r="AR43" s="207">
        <v>0</v>
      </c>
      <c r="AS43" s="207">
        <v>0</v>
      </c>
      <c r="AT43" s="207">
        <v>0</v>
      </c>
      <c r="AU43" s="207">
        <v>576.79</v>
      </c>
      <c r="AV43" s="207">
        <v>21.16021428942943</v>
      </c>
      <c r="AW43" s="207">
        <v>0.8570722239594115</v>
      </c>
      <c r="AX43" s="207">
        <v>337</v>
      </c>
      <c r="AY43" s="207">
        <v>3781</v>
      </c>
      <c r="AZ43" s="207">
        <v>0.08912985982544301</v>
      </c>
      <c r="BA43" s="207">
        <v>0.02794602374120852</v>
      </c>
      <c r="BB43" s="207">
        <v>0</v>
      </c>
      <c r="BC43" s="207">
        <v>3240</v>
      </c>
      <c r="BD43" s="207">
        <v>5066</v>
      </c>
      <c r="BE43" s="207">
        <v>0.6395578365574418</v>
      </c>
      <c r="BF43" s="207">
        <v>0.23065095396634872</v>
      </c>
      <c r="BG43" s="207">
        <v>0</v>
      </c>
      <c r="BH43" s="207">
        <v>0</v>
      </c>
      <c r="BI43" s="207">
        <v>0</v>
      </c>
      <c r="BJ43" s="207">
        <v>-2929.2</v>
      </c>
      <c r="BK43" s="207">
        <v>-50040.49999999999</v>
      </c>
      <c r="BL43" s="207">
        <v>-3417.4000000000005</v>
      </c>
      <c r="BM43" s="207">
        <v>-4759.95</v>
      </c>
      <c r="BN43" s="207">
        <v>-244.1</v>
      </c>
      <c r="BO43" s="207">
        <v>-123623</v>
      </c>
      <c r="BP43" s="207">
        <v>-344107.42706435884</v>
      </c>
      <c r="BQ43" s="207">
        <v>-1106871.45</v>
      </c>
      <c r="BR43" s="207">
        <v>-102255.52143593878</v>
      </c>
      <c r="BS43" s="207">
        <v>954161</v>
      </c>
      <c r="BT43" s="207">
        <v>316612</v>
      </c>
      <c r="BU43" s="207">
        <v>781526.9520805622</v>
      </c>
      <c r="BV43" s="207">
        <v>32131.733519318583</v>
      </c>
      <c r="BW43" s="207">
        <v>106781.91588868524</v>
      </c>
      <c r="BX43" s="207">
        <v>326338.1356481641</v>
      </c>
      <c r="BY43" s="207">
        <v>655891.4552160897</v>
      </c>
      <c r="BZ43" s="207">
        <v>1043521.9136273402</v>
      </c>
      <c r="CA43" s="207">
        <v>283215.4080823374</v>
      </c>
      <c r="CB43" s="207">
        <v>511046.3425889969</v>
      </c>
      <c r="CC43" s="207">
        <v>1098.45</v>
      </c>
      <c r="CD43" s="207">
        <v>41864.57177702403</v>
      </c>
      <c r="CE43" s="207">
        <v>527500.1</v>
      </c>
      <c r="CF43" s="207">
        <v>5355811.456992579</v>
      </c>
      <c r="CG43" s="207">
        <v>3183517.0799282202</v>
      </c>
      <c r="CH43" s="207">
        <v>0</v>
      </c>
      <c r="CI43" s="207">
        <v>7936136.74675782</v>
      </c>
      <c r="CJ43" s="207">
        <v>-386556</v>
      </c>
      <c r="CK43" s="207">
        <v>0</v>
      </c>
      <c r="CL43" s="207">
        <v>0</v>
      </c>
      <c r="CM43" s="207">
        <v>-39640.62102000002</v>
      </c>
      <c r="CN43" s="207">
        <v>29288404.093838125</v>
      </c>
      <c r="CO43" s="207">
        <v>29248763.472818125</v>
      </c>
      <c r="CP43" s="207">
        <v>12167</v>
      </c>
    </row>
    <row r="44" spans="1:94" ht="9.75">
      <c r="A44" s="175">
        <v>146</v>
      </c>
      <c r="B44" s="175" t="s">
        <v>101</v>
      </c>
      <c r="C44" s="207">
        <v>5128</v>
      </c>
      <c r="D44" s="207">
        <v>18297764.810000002</v>
      </c>
      <c r="E44" s="207">
        <v>10653999.150164992</v>
      </c>
      <c r="F44" s="207">
        <v>3146007.593813194</v>
      </c>
      <c r="G44" s="207">
        <v>32097771.55397819</v>
      </c>
      <c r="H44" s="207">
        <v>3524.51</v>
      </c>
      <c r="I44" s="207">
        <v>18073687.28</v>
      </c>
      <c r="J44" s="207">
        <v>14024084.273978189</v>
      </c>
      <c r="K44" s="207">
        <v>2384105.677818595</v>
      </c>
      <c r="L44" s="207">
        <v>2144207.918469296</v>
      </c>
      <c r="M44" s="207">
        <v>0</v>
      </c>
      <c r="N44" s="207">
        <v>18552397.87026608</v>
      </c>
      <c r="O44" s="207">
        <v>3038863.3475035783</v>
      </c>
      <c r="P44" s="207">
        <v>21591261.21776966</v>
      </c>
      <c r="Q44" s="207">
        <v>180</v>
      </c>
      <c r="R44" s="207">
        <v>36</v>
      </c>
      <c r="S44" s="207">
        <v>213</v>
      </c>
      <c r="T44" s="207">
        <v>115</v>
      </c>
      <c r="U44" s="207">
        <v>112</v>
      </c>
      <c r="V44" s="207">
        <v>2577</v>
      </c>
      <c r="W44" s="207">
        <v>1034</v>
      </c>
      <c r="X44" s="207">
        <v>579</v>
      </c>
      <c r="Y44" s="207">
        <v>282</v>
      </c>
      <c r="Z44" s="207">
        <v>4</v>
      </c>
      <c r="AA44" s="207">
        <v>0</v>
      </c>
      <c r="AB44" s="207">
        <v>4972</v>
      </c>
      <c r="AC44" s="207">
        <v>152</v>
      </c>
      <c r="AD44" s="207">
        <v>1895</v>
      </c>
      <c r="AE44" s="207">
        <v>1.8331285800751085</v>
      </c>
      <c r="AF44" s="207">
        <v>10653999.150164992</v>
      </c>
      <c r="AG44" s="207">
        <v>14565093.968405591</v>
      </c>
      <c r="AH44" s="207">
        <v>3348738.866336832</v>
      </c>
      <c r="AI44" s="207">
        <v>1134708.6562064954</v>
      </c>
      <c r="AJ44" s="207">
        <v>393</v>
      </c>
      <c r="AK44" s="207">
        <v>2100</v>
      </c>
      <c r="AL44" s="207">
        <v>1.617325827277665</v>
      </c>
      <c r="AM44" s="207">
        <v>152</v>
      </c>
      <c r="AN44" s="207">
        <v>0.029641185647425898</v>
      </c>
      <c r="AO44" s="207">
        <v>0.024700474184975306</v>
      </c>
      <c r="AP44" s="207">
        <v>0</v>
      </c>
      <c r="AQ44" s="207">
        <v>4</v>
      </c>
      <c r="AR44" s="207">
        <v>0</v>
      </c>
      <c r="AS44" s="207">
        <v>0</v>
      </c>
      <c r="AT44" s="207">
        <v>0</v>
      </c>
      <c r="AU44" s="207">
        <v>2763.48</v>
      </c>
      <c r="AV44" s="207">
        <v>1.8556313054554403</v>
      </c>
      <c r="AW44" s="207">
        <v>9.773402651259863</v>
      </c>
      <c r="AX44" s="207">
        <v>217</v>
      </c>
      <c r="AY44" s="207">
        <v>1161</v>
      </c>
      <c r="AZ44" s="207">
        <v>0.18690783807062877</v>
      </c>
      <c r="BA44" s="207">
        <v>0.12572400198639427</v>
      </c>
      <c r="BB44" s="207">
        <v>1.346949</v>
      </c>
      <c r="BC44" s="207">
        <v>1649</v>
      </c>
      <c r="BD44" s="207">
        <v>1610</v>
      </c>
      <c r="BE44" s="207">
        <v>1.024223602484472</v>
      </c>
      <c r="BF44" s="207">
        <v>0.6153167198933789</v>
      </c>
      <c r="BG44" s="207">
        <v>0</v>
      </c>
      <c r="BH44" s="207">
        <v>0</v>
      </c>
      <c r="BI44" s="207">
        <v>0</v>
      </c>
      <c r="BJ44" s="207">
        <v>-1230.72</v>
      </c>
      <c r="BK44" s="207">
        <v>-21024.8</v>
      </c>
      <c r="BL44" s="207">
        <v>-1435.8400000000001</v>
      </c>
      <c r="BM44" s="207">
        <v>-1999.92</v>
      </c>
      <c r="BN44" s="207">
        <v>-102.56</v>
      </c>
      <c r="BO44" s="207">
        <v>258987</v>
      </c>
      <c r="BP44" s="207">
        <v>-94103.64657922037</v>
      </c>
      <c r="BQ44" s="207">
        <v>-465058.32</v>
      </c>
      <c r="BR44" s="207">
        <v>-5688.993367061019</v>
      </c>
      <c r="BS44" s="207">
        <v>556296</v>
      </c>
      <c r="BT44" s="207">
        <v>167159</v>
      </c>
      <c r="BU44" s="207">
        <v>465718.1358928919</v>
      </c>
      <c r="BV44" s="207">
        <v>25047.13882048292</v>
      </c>
      <c r="BW44" s="207">
        <v>58430.7978963757</v>
      </c>
      <c r="BX44" s="207">
        <v>227888.47789942884</v>
      </c>
      <c r="BY44" s="207">
        <v>280256.68627585017</v>
      </c>
      <c r="BZ44" s="207">
        <v>457311.2021084907</v>
      </c>
      <c r="CA44" s="207">
        <v>135148.88974832188</v>
      </c>
      <c r="CB44" s="207">
        <v>240926.38210982832</v>
      </c>
      <c r="CC44" s="207">
        <v>461.52</v>
      </c>
      <c r="CD44" s="207">
        <v>-83139.71233609298</v>
      </c>
      <c r="CE44" s="207">
        <v>221632.16</v>
      </c>
      <c r="CF44" s="207">
        <v>3006434.6850485164</v>
      </c>
      <c r="CG44" s="207">
        <v>2144207.918469296</v>
      </c>
      <c r="CH44" s="207">
        <v>0</v>
      </c>
      <c r="CI44" s="207">
        <v>3038863.3475035783</v>
      </c>
      <c r="CJ44" s="207">
        <v>-33257</v>
      </c>
      <c r="CK44" s="207">
        <v>0</v>
      </c>
      <c r="CL44" s="207">
        <v>0</v>
      </c>
      <c r="CM44" s="207">
        <v>47521.224</v>
      </c>
      <c r="CN44" s="207">
        <v>21558004.21776966</v>
      </c>
      <c r="CO44" s="207">
        <v>21605525.44176966</v>
      </c>
      <c r="CP44" s="207">
        <v>5237</v>
      </c>
    </row>
    <row r="45" spans="1:94" ht="9.75">
      <c r="A45" s="175">
        <v>153</v>
      </c>
      <c r="B45" s="175" t="s">
        <v>102</v>
      </c>
      <c r="C45" s="207">
        <v>27269</v>
      </c>
      <c r="D45" s="207">
        <v>91724364.78</v>
      </c>
      <c r="E45" s="207">
        <v>42401615.04074774</v>
      </c>
      <c r="F45" s="207">
        <v>7250781.146591075</v>
      </c>
      <c r="G45" s="207">
        <v>141376760.9673388</v>
      </c>
      <c r="H45" s="207">
        <v>3524.51</v>
      </c>
      <c r="I45" s="207">
        <v>96109863.19000001</v>
      </c>
      <c r="J45" s="207">
        <v>45266897.77733879</v>
      </c>
      <c r="K45" s="207">
        <v>1112113.1065605346</v>
      </c>
      <c r="L45" s="207">
        <v>5011780.948394631</v>
      </c>
      <c r="M45" s="207">
        <v>0</v>
      </c>
      <c r="N45" s="207">
        <v>51390791.83229396</v>
      </c>
      <c r="O45" s="207">
        <v>6589364.326969267</v>
      </c>
      <c r="P45" s="207">
        <v>57980156.15926322</v>
      </c>
      <c r="Q45" s="207">
        <v>1247</v>
      </c>
      <c r="R45" s="207">
        <v>243</v>
      </c>
      <c r="S45" s="207">
        <v>1493</v>
      </c>
      <c r="T45" s="207">
        <v>755</v>
      </c>
      <c r="U45" s="207">
        <v>775</v>
      </c>
      <c r="V45" s="207">
        <v>14894</v>
      </c>
      <c r="W45" s="207">
        <v>4285</v>
      </c>
      <c r="X45" s="207">
        <v>2590</v>
      </c>
      <c r="Y45" s="207">
        <v>987</v>
      </c>
      <c r="Z45" s="207">
        <v>41</v>
      </c>
      <c r="AA45" s="207">
        <v>1</v>
      </c>
      <c r="AB45" s="207">
        <v>25560</v>
      </c>
      <c r="AC45" s="207">
        <v>1667</v>
      </c>
      <c r="AD45" s="207">
        <v>7862</v>
      </c>
      <c r="AE45" s="207">
        <v>1.3719600775337892</v>
      </c>
      <c r="AF45" s="207">
        <v>42401615.04074774</v>
      </c>
      <c r="AG45" s="207">
        <v>49053822.96953286</v>
      </c>
      <c r="AH45" s="207">
        <v>15542069.139252124</v>
      </c>
      <c r="AI45" s="207">
        <v>5387632.438523754</v>
      </c>
      <c r="AJ45" s="207">
        <v>1975</v>
      </c>
      <c r="AK45" s="207">
        <v>12321</v>
      </c>
      <c r="AL45" s="207">
        <v>1.38530502209123</v>
      </c>
      <c r="AM45" s="207">
        <v>1667</v>
      </c>
      <c r="AN45" s="207">
        <v>0.061131687997359636</v>
      </c>
      <c r="AO45" s="207">
        <v>0.056190976534909044</v>
      </c>
      <c r="AP45" s="207">
        <v>0</v>
      </c>
      <c r="AQ45" s="207">
        <v>41</v>
      </c>
      <c r="AR45" s="207">
        <v>1</v>
      </c>
      <c r="AS45" s="207">
        <v>0</v>
      </c>
      <c r="AT45" s="207">
        <v>0</v>
      </c>
      <c r="AU45" s="207">
        <v>155.01</v>
      </c>
      <c r="AV45" s="207">
        <v>175.91768273014645</v>
      </c>
      <c r="AW45" s="207">
        <v>0.10309271722456086</v>
      </c>
      <c r="AX45" s="207">
        <v>1137</v>
      </c>
      <c r="AY45" s="207">
        <v>7832</v>
      </c>
      <c r="AZ45" s="207">
        <v>0.14517364657814097</v>
      </c>
      <c r="BA45" s="207">
        <v>0.08398981049390647</v>
      </c>
      <c r="BB45" s="207">
        <v>0</v>
      </c>
      <c r="BC45" s="207">
        <v>10236</v>
      </c>
      <c r="BD45" s="207">
        <v>9778</v>
      </c>
      <c r="BE45" s="207">
        <v>1.0468398445489875</v>
      </c>
      <c r="BF45" s="207">
        <v>0.6379329619578944</v>
      </c>
      <c r="BG45" s="207">
        <v>0</v>
      </c>
      <c r="BH45" s="207">
        <v>1</v>
      </c>
      <c r="BI45" s="207">
        <v>0</v>
      </c>
      <c r="BJ45" s="207">
        <v>-6544.5599999999995</v>
      </c>
      <c r="BK45" s="207">
        <v>-111802.9</v>
      </c>
      <c r="BL45" s="207">
        <v>-7635.320000000001</v>
      </c>
      <c r="BM45" s="207">
        <v>-10634.91</v>
      </c>
      <c r="BN45" s="207">
        <v>-545.38</v>
      </c>
      <c r="BO45" s="207">
        <v>230653</v>
      </c>
      <c r="BP45" s="207">
        <v>-1846854.2449282813</v>
      </c>
      <c r="BQ45" s="207">
        <v>-2473025.61</v>
      </c>
      <c r="BR45" s="207">
        <v>-294628.57903369516</v>
      </c>
      <c r="BS45" s="207">
        <v>1915973</v>
      </c>
      <c r="BT45" s="207">
        <v>590926</v>
      </c>
      <c r="BU45" s="207">
        <v>1235447.8154237953</v>
      </c>
      <c r="BV45" s="207">
        <v>58300.03887859348</v>
      </c>
      <c r="BW45" s="207">
        <v>191082.24648750428</v>
      </c>
      <c r="BX45" s="207">
        <v>765331.2197312817</v>
      </c>
      <c r="BY45" s="207">
        <v>1205978.6973517747</v>
      </c>
      <c r="BZ45" s="207">
        <v>2041330.1325758654</v>
      </c>
      <c r="CA45" s="207">
        <v>579064.7244630834</v>
      </c>
      <c r="CB45" s="207">
        <v>1029037.6928032943</v>
      </c>
      <c r="CC45" s="207">
        <v>2454.21</v>
      </c>
      <c r="CD45" s="207">
        <v>213742.32464141358</v>
      </c>
      <c r="CE45" s="207">
        <v>1178566.18</v>
      </c>
      <c r="CF45" s="207">
        <v>10943258.703322912</v>
      </c>
      <c r="CG45" s="207">
        <v>5011780.948394631</v>
      </c>
      <c r="CH45" s="207">
        <v>0</v>
      </c>
      <c r="CI45" s="207">
        <v>6589364.326969267</v>
      </c>
      <c r="CJ45" s="207">
        <v>-1535910</v>
      </c>
      <c r="CK45" s="207">
        <v>0</v>
      </c>
      <c r="CL45" s="207">
        <v>0</v>
      </c>
      <c r="CM45" s="207">
        <v>-942695.6809300003</v>
      </c>
      <c r="CN45" s="207">
        <v>56444246.15926322</v>
      </c>
      <c r="CO45" s="207">
        <v>55501550.47833322</v>
      </c>
      <c r="CP45" s="207">
        <v>27517</v>
      </c>
    </row>
    <row r="46" spans="1:94" ht="9.75">
      <c r="A46" s="175">
        <v>148</v>
      </c>
      <c r="B46" s="175" t="s">
        <v>103</v>
      </c>
      <c r="C46" s="207">
        <v>6869</v>
      </c>
      <c r="D46" s="207">
        <v>20775284.86</v>
      </c>
      <c r="E46" s="207">
        <v>8366074.071267448</v>
      </c>
      <c r="F46" s="207">
        <v>6522883.168905119</v>
      </c>
      <c r="G46" s="207">
        <v>35664242.100172564</v>
      </c>
      <c r="H46" s="207">
        <v>3524.51</v>
      </c>
      <c r="I46" s="207">
        <v>24209859.19</v>
      </c>
      <c r="J46" s="207">
        <v>11454382.910172563</v>
      </c>
      <c r="K46" s="207">
        <v>8287004.230349141</v>
      </c>
      <c r="L46" s="207">
        <v>2565788.636886204</v>
      </c>
      <c r="M46" s="207">
        <v>0</v>
      </c>
      <c r="N46" s="207">
        <v>22307175.77740791</v>
      </c>
      <c r="O46" s="207">
        <v>1411406.0037204034</v>
      </c>
      <c r="P46" s="207">
        <v>23718581.781128313</v>
      </c>
      <c r="Q46" s="207">
        <v>298</v>
      </c>
      <c r="R46" s="207">
        <v>58</v>
      </c>
      <c r="S46" s="207">
        <v>386</v>
      </c>
      <c r="T46" s="207">
        <v>169</v>
      </c>
      <c r="U46" s="207">
        <v>194</v>
      </c>
      <c r="V46" s="207">
        <v>4053</v>
      </c>
      <c r="W46" s="207">
        <v>1046</v>
      </c>
      <c r="X46" s="207">
        <v>485</v>
      </c>
      <c r="Y46" s="207">
        <v>180</v>
      </c>
      <c r="Z46" s="207">
        <v>22</v>
      </c>
      <c r="AA46" s="207">
        <v>449</v>
      </c>
      <c r="AB46" s="207">
        <v>6232</v>
      </c>
      <c r="AC46" s="207">
        <v>166</v>
      </c>
      <c r="AD46" s="207">
        <v>1711</v>
      </c>
      <c r="AE46" s="207">
        <v>1.0746238530638594</v>
      </c>
      <c r="AF46" s="207">
        <v>8366074.071267448</v>
      </c>
      <c r="AG46" s="207">
        <v>10649196.16009661</v>
      </c>
      <c r="AH46" s="207">
        <v>1941747.6782769174</v>
      </c>
      <c r="AI46" s="207">
        <v>1134708.6562064954</v>
      </c>
      <c r="AJ46" s="207">
        <v>474</v>
      </c>
      <c r="AK46" s="207">
        <v>3304</v>
      </c>
      <c r="AL46" s="207">
        <v>1.23983122352441</v>
      </c>
      <c r="AM46" s="207">
        <v>166</v>
      </c>
      <c r="AN46" s="207">
        <v>0.02416654534866793</v>
      </c>
      <c r="AO46" s="207">
        <v>0.019225833886217337</v>
      </c>
      <c r="AP46" s="207">
        <v>0</v>
      </c>
      <c r="AQ46" s="207">
        <v>22</v>
      </c>
      <c r="AR46" s="207">
        <v>449</v>
      </c>
      <c r="AS46" s="207">
        <v>0</v>
      </c>
      <c r="AT46" s="207">
        <v>0</v>
      </c>
      <c r="AU46" s="207">
        <v>15056.32</v>
      </c>
      <c r="AV46" s="207">
        <v>0.4562203778878239</v>
      </c>
      <c r="AW46" s="207">
        <v>39.75234952121816</v>
      </c>
      <c r="AX46" s="207">
        <v>320</v>
      </c>
      <c r="AY46" s="207">
        <v>2066</v>
      </c>
      <c r="AZ46" s="207">
        <v>0.15488867376573087</v>
      </c>
      <c r="BA46" s="207">
        <v>0.09370483768149637</v>
      </c>
      <c r="BB46" s="207">
        <v>1.573383</v>
      </c>
      <c r="BC46" s="207">
        <v>2868</v>
      </c>
      <c r="BD46" s="207">
        <v>2890</v>
      </c>
      <c r="BE46" s="207">
        <v>0.9923875432525952</v>
      </c>
      <c r="BF46" s="207">
        <v>0.5834806606615021</v>
      </c>
      <c r="BG46" s="207">
        <v>1</v>
      </c>
      <c r="BH46" s="207">
        <v>449</v>
      </c>
      <c r="BI46" s="207">
        <v>0</v>
      </c>
      <c r="BJ46" s="207">
        <v>-1648.56</v>
      </c>
      <c r="BK46" s="207">
        <v>-28162.899999999998</v>
      </c>
      <c r="BL46" s="207">
        <v>-1923.3200000000002</v>
      </c>
      <c r="BM46" s="207">
        <v>-2678.9100000000003</v>
      </c>
      <c r="BN46" s="207">
        <v>-137.38</v>
      </c>
      <c r="BO46" s="207">
        <v>479107</v>
      </c>
      <c r="BP46" s="207">
        <v>-162297.03687136326</v>
      </c>
      <c r="BQ46" s="207">
        <v>-622949.61</v>
      </c>
      <c r="BR46" s="207">
        <v>241319.49110893905</v>
      </c>
      <c r="BS46" s="207">
        <v>499986</v>
      </c>
      <c r="BT46" s="207">
        <v>180627</v>
      </c>
      <c r="BU46" s="207">
        <v>479629.9454780115</v>
      </c>
      <c r="BV46" s="207">
        <v>24832.544674204702</v>
      </c>
      <c r="BW46" s="207">
        <v>29639.119052726277</v>
      </c>
      <c r="BX46" s="207">
        <v>168703.85073378746</v>
      </c>
      <c r="BY46" s="207">
        <v>363400.90967335243</v>
      </c>
      <c r="BZ46" s="207">
        <v>488515.4997240312</v>
      </c>
      <c r="CA46" s="207">
        <v>195332.8887430073</v>
      </c>
      <c r="CB46" s="207">
        <v>303505.35275989975</v>
      </c>
      <c r="CC46" s="207">
        <v>618.2099999999999</v>
      </c>
      <c r="CD46" s="207">
        <v>4897.191809608004</v>
      </c>
      <c r="CE46" s="207">
        <v>296878.18</v>
      </c>
      <c r="CF46" s="207">
        <v>3756993.1837575673</v>
      </c>
      <c r="CG46" s="207">
        <v>2565788.636886204</v>
      </c>
      <c r="CH46" s="207">
        <v>0</v>
      </c>
      <c r="CI46" s="207">
        <v>1411406.0037204034</v>
      </c>
      <c r="CJ46" s="207">
        <v>-366335</v>
      </c>
      <c r="CK46" s="207">
        <v>0</v>
      </c>
      <c r="CL46" s="207">
        <v>0</v>
      </c>
      <c r="CM46" s="207">
        <v>66.00170000000071</v>
      </c>
      <c r="CN46" s="207">
        <v>23352246.781128313</v>
      </c>
      <c r="CO46" s="207">
        <v>23352312.782828312</v>
      </c>
      <c r="CP46" s="207">
        <v>6825</v>
      </c>
    </row>
    <row r="47" spans="1:94" ht="9.75">
      <c r="A47" s="175">
        <v>149</v>
      </c>
      <c r="B47" s="175" t="s">
        <v>104</v>
      </c>
      <c r="C47" s="207">
        <v>5481</v>
      </c>
      <c r="D47" s="207">
        <v>19230516.14</v>
      </c>
      <c r="E47" s="207">
        <v>5268125.920824658</v>
      </c>
      <c r="F47" s="207">
        <v>1998238.3919578393</v>
      </c>
      <c r="G47" s="207">
        <v>26496880.452782497</v>
      </c>
      <c r="H47" s="207">
        <v>3524.51</v>
      </c>
      <c r="I47" s="207">
        <v>19317839.310000002</v>
      </c>
      <c r="J47" s="207">
        <v>7179041.142782494</v>
      </c>
      <c r="K47" s="207">
        <v>47027.53034110824</v>
      </c>
      <c r="L47" s="207">
        <v>1102421.3676703197</v>
      </c>
      <c r="M47" s="207">
        <v>0</v>
      </c>
      <c r="N47" s="207">
        <v>8328490.040793923</v>
      </c>
      <c r="O47" s="207">
        <v>-356987.75931868184</v>
      </c>
      <c r="P47" s="207">
        <v>7971502.281475241</v>
      </c>
      <c r="Q47" s="207">
        <v>290</v>
      </c>
      <c r="R47" s="207">
        <v>58</v>
      </c>
      <c r="S47" s="207">
        <v>435</v>
      </c>
      <c r="T47" s="207">
        <v>216</v>
      </c>
      <c r="U47" s="207">
        <v>205</v>
      </c>
      <c r="V47" s="207">
        <v>2974</v>
      </c>
      <c r="W47" s="207">
        <v>760</v>
      </c>
      <c r="X47" s="207">
        <v>375</v>
      </c>
      <c r="Y47" s="207">
        <v>168</v>
      </c>
      <c r="Z47" s="207">
        <v>2897</v>
      </c>
      <c r="AA47" s="207">
        <v>0</v>
      </c>
      <c r="AB47" s="207">
        <v>2355</v>
      </c>
      <c r="AC47" s="207">
        <v>229</v>
      </c>
      <c r="AD47" s="207">
        <v>1303</v>
      </c>
      <c r="AE47" s="207">
        <v>0.8480561973937777</v>
      </c>
      <c r="AF47" s="207">
        <v>5268125.920824658</v>
      </c>
      <c r="AG47" s="207">
        <v>6757111.580476471</v>
      </c>
      <c r="AH47" s="207">
        <v>1443366.5481296727</v>
      </c>
      <c r="AI47" s="207">
        <v>509278.68821866333</v>
      </c>
      <c r="AJ47" s="207">
        <v>195</v>
      </c>
      <c r="AK47" s="207">
        <v>2639</v>
      </c>
      <c r="AL47" s="207">
        <v>0.6385861386987359</v>
      </c>
      <c r="AM47" s="207">
        <v>229</v>
      </c>
      <c r="AN47" s="207">
        <v>0.04178069695311075</v>
      </c>
      <c r="AO47" s="207">
        <v>0.03683998549066016</v>
      </c>
      <c r="AP47" s="207">
        <v>3</v>
      </c>
      <c r="AQ47" s="207">
        <v>2897</v>
      </c>
      <c r="AR47" s="207">
        <v>0</v>
      </c>
      <c r="AS47" s="207">
        <v>3</v>
      </c>
      <c r="AT47" s="207">
        <v>221</v>
      </c>
      <c r="AU47" s="207">
        <v>349.9</v>
      </c>
      <c r="AV47" s="207">
        <v>15.664475564446986</v>
      </c>
      <c r="AW47" s="207">
        <v>1.1577682154684545</v>
      </c>
      <c r="AX47" s="207">
        <v>248</v>
      </c>
      <c r="AY47" s="207">
        <v>1791</v>
      </c>
      <c r="AZ47" s="207">
        <v>0.13847012841987716</v>
      </c>
      <c r="BA47" s="207">
        <v>0.07728629233564266</v>
      </c>
      <c r="BB47" s="207">
        <v>0</v>
      </c>
      <c r="BC47" s="207">
        <v>1310</v>
      </c>
      <c r="BD47" s="207">
        <v>2412</v>
      </c>
      <c r="BE47" s="207">
        <v>0.543117744610282</v>
      </c>
      <c r="BF47" s="207">
        <v>0.13421086201918886</v>
      </c>
      <c r="BG47" s="207">
        <v>0</v>
      </c>
      <c r="BH47" s="207">
        <v>0</v>
      </c>
      <c r="BI47" s="207">
        <v>0</v>
      </c>
      <c r="BJ47" s="207">
        <v>-1315.44</v>
      </c>
      <c r="BK47" s="207">
        <v>-22472.1</v>
      </c>
      <c r="BL47" s="207">
        <v>-1534.68</v>
      </c>
      <c r="BM47" s="207">
        <v>-2137.59</v>
      </c>
      <c r="BN47" s="207">
        <v>-109.62</v>
      </c>
      <c r="BO47" s="207">
        <v>2429</v>
      </c>
      <c r="BP47" s="207">
        <v>-79907.30282460662</v>
      </c>
      <c r="BQ47" s="207">
        <v>-497071.89</v>
      </c>
      <c r="BR47" s="207">
        <v>-139329.01962335035</v>
      </c>
      <c r="BS47" s="207">
        <v>462664</v>
      </c>
      <c r="BT47" s="207">
        <v>145911</v>
      </c>
      <c r="BU47" s="207">
        <v>289533.9898365389</v>
      </c>
      <c r="BV47" s="207">
        <v>4845.642708322306</v>
      </c>
      <c r="BW47" s="207">
        <v>-30972.378801288753</v>
      </c>
      <c r="BX47" s="207">
        <v>67000.9340491973</v>
      </c>
      <c r="BY47" s="207">
        <v>256786.39362548</v>
      </c>
      <c r="BZ47" s="207">
        <v>420191.7238836958</v>
      </c>
      <c r="CA47" s="207">
        <v>127465.4856256947</v>
      </c>
      <c r="CB47" s="207">
        <v>209778.49629041774</v>
      </c>
      <c r="CC47" s="207">
        <v>493.28999999999996</v>
      </c>
      <c r="CD47" s="207">
        <v>-50359.717099781425</v>
      </c>
      <c r="CE47" s="207">
        <v>236888.82</v>
      </c>
      <c r="CF47" s="207">
        <v>2003327.6604949264</v>
      </c>
      <c r="CG47" s="207">
        <v>1102421.3676703197</v>
      </c>
      <c r="CH47" s="207">
        <v>0</v>
      </c>
      <c r="CI47" s="207">
        <v>-356987.75931868184</v>
      </c>
      <c r="CJ47" s="207">
        <v>-1104470</v>
      </c>
      <c r="CK47" s="207">
        <v>0</v>
      </c>
      <c r="CL47" s="207">
        <v>0</v>
      </c>
      <c r="CM47" s="207">
        <v>-2314072.4033599994</v>
      </c>
      <c r="CN47" s="207">
        <v>6867032.281475241</v>
      </c>
      <c r="CO47" s="207">
        <v>4552959.878115242</v>
      </c>
      <c r="CP47" s="207">
        <v>5585</v>
      </c>
    </row>
    <row r="48" spans="1:94" ht="9.75">
      <c r="A48" s="175">
        <v>151</v>
      </c>
      <c r="B48" s="175" t="s">
        <v>105</v>
      </c>
      <c r="C48" s="207">
        <v>2032</v>
      </c>
      <c r="D48" s="207">
        <v>7776791.260000001</v>
      </c>
      <c r="E48" s="207">
        <v>3700862.565370757</v>
      </c>
      <c r="F48" s="207">
        <v>809480.4213599681</v>
      </c>
      <c r="G48" s="207">
        <v>12287134.246730726</v>
      </c>
      <c r="H48" s="207">
        <v>3524.51</v>
      </c>
      <c r="I48" s="207">
        <v>7161804.32</v>
      </c>
      <c r="J48" s="207">
        <v>5125329.926730726</v>
      </c>
      <c r="K48" s="207">
        <v>264360.61504891596</v>
      </c>
      <c r="L48" s="207">
        <v>984557.6307642048</v>
      </c>
      <c r="M48" s="207">
        <v>0</v>
      </c>
      <c r="N48" s="207">
        <v>6374248.172543847</v>
      </c>
      <c r="O48" s="207">
        <v>1901092.0492722923</v>
      </c>
      <c r="P48" s="207">
        <v>8275340.221816139</v>
      </c>
      <c r="Q48" s="207">
        <v>77</v>
      </c>
      <c r="R48" s="207">
        <v>18</v>
      </c>
      <c r="S48" s="207">
        <v>107</v>
      </c>
      <c r="T48" s="207">
        <v>67</v>
      </c>
      <c r="U48" s="207">
        <v>58</v>
      </c>
      <c r="V48" s="207">
        <v>1046</v>
      </c>
      <c r="W48" s="207">
        <v>342</v>
      </c>
      <c r="X48" s="207">
        <v>190</v>
      </c>
      <c r="Y48" s="207">
        <v>127</v>
      </c>
      <c r="Z48" s="207">
        <v>20</v>
      </c>
      <c r="AA48" s="207">
        <v>0</v>
      </c>
      <c r="AB48" s="207">
        <v>1942</v>
      </c>
      <c r="AC48" s="207">
        <v>70</v>
      </c>
      <c r="AD48" s="207">
        <v>659</v>
      </c>
      <c r="AE48" s="207">
        <v>1.606969156201725</v>
      </c>
      <c r="AF48" s="207">
        <v>3700862.565370757</v>
      </c>
      <c r="AG48" s="207">
        <v>4411525.160782537</v>
      </c>
      <c r="AH48" s="207">
        <v>1451105.9864423873</v>
      </c>
      <c r="AI48" s="207">
        <v>402062.1222778921</v>
      </c>
      <c r="AJ48" s="207">
        <v>63</v>
      </c>
      <c r="AK48" s="207">
        <v>913</v>
      </c>
      <c r="AL48" s="207">
        <v>0.5963401334660923</v>
      </c>
      <c r="AM48" s="207">
        <v>70</v>
      </c>
      <c r="AN48" s="207">
        <v>0.0344488188976378</v>
      </c>
      <c r="AO48" s="207">
        <v>0.029508107435187204</v>
      </c>
      <c r="AP48" s="207">
        <v>0</v>
      </c>
      <c r="AQ48" s="207">
        <v>20</v>
      </c>
      <c r="AR48" s="207">
        <v>0</v>
      </c>
      <c r="AS48" s="207">
        <v>0</v>
      </c>
      <c r="AT48" s="207">
        <v>0</v>
      </c>
      <c r="AU48" s="207">
        <v>642.37</v>
      </c>
      <c r="AV48" s="207">
        <v>3.1632859566916265</v>
      </c>
      <c r="AW48" s="207">
        <v>5.733225566324283</v>
      </c>
      <c r="AX48" s="207">
        <v>123</v>
      </c>
      <c r="AY48" s="207">
        <v>513</v>
      </c>
      <c r="AZ48" s="207">
        <v>0.23976608187134502</v>
      </c>
      <c r="BA48" s="207">
        <v>0.17858224578711052</v>
      </c>
      <c r="BB48" s="207">
        <v>0.468083</v>
      </c>
      <c r="BC48" s="207">
        <v>706</v>
      </c>
      <c r="BD48" s="207">
        <v>783</v>
      </c>
      <c r="BE48" s="207">
        <v>0.9016602809706258</v>
      </c>
      <c r="BF48" s="207">
        <v>0.4927533983795327</v>
      </c>
      <c r="BG48" s="207">
        <v>0</v>
      </c>
      <c r="BH48" s="207">
        <v>0</v>
      </c>
      <c r="BI48" s="207">
        <v>0</v>
      </c>
      <c r="BJ48" s="207">
        <v>-487.68</v>
      </c>
      <c r="BK48" s="207">
        <v>-8331.199999999999</v>
      </c>
      <c r="BL48" s="207">
        <v>-568.96</v>
      </c>
      <c r="BM48" s="207">
        <v>-792.48</v>
      </c>
      <c r="BN48" s="207">
        <v>-40.64</v>
      </c>
      <c r="BO48" s="207">
        <v>14391</v>
      </c>
      <c r="BP48" s="207">
        <v>-27444.738050969434</v>
      </c>
      <c r="BQ48" s="207">
        <v>-184282.08</v>
      </c>
      <c r="BR48" s="207">
        <v>-10711.074828449637</v>
      </c>
      <c r="BS48" s="207">
        <v>269740</v>
      </c>
      <c r="BT48" s="207">
        <v>77472</v>
      </c>
      <c r="BU48" s="207">
        <v>213295.79956305336</v>
      </c>
      <c r="BV48" s="207">
        <v>12038.590237768842</v>
      </c>
      <c r="BW48" s="207">
        <v>34652.234374850144</v>
      </c>
      <c r="BX48" s="207">
        <v>98865.7058690814</v>
      </c>
      <c r="BY48" s="207">
        <v>137259.29576889312</v>
      </c>
      <c r="BZ48" s="207">
        <v>215846.0136425003</v>
      </c>
      <c r="CA48" s="207">
        <v>65816.83780627932</v>
      </c>
      <c r="CB48" s="207">
        <v>111410.15812594573</v>
      </c>
      <c r="CC48" s="207">
        <v>182.88</v>
      </c>
      <c r="CD48" s="207">
        <v>-11706.83174474837</v>
      </c>
      <c r="CE48" s="207">
        <v>87823.04</v>
      </c>
      <c r="CF48" s="207">
        <v>1316375.6488151741</v>
      </c>
      <c r="CG48" s="207">
        <v>984557.6307642048</v>
      </c>
      <c r="CH48" s="207">
        <v>0</v>
      </c>
      <c r="CI48" s="207">
        <v>1901092.0492722923</v>
      </c>
      <c r="CJ48" s="207">
        <v>-458059</v>
      </c>
      <c r="CK48" s="207">
        <v>0</v>
      </c>
      <c r="CL48" s="207">
        <v>0</v>
      </c>
      <c r="CM48" s="207">
        <v>-19853.311359999992</v>
      </c>
      <c r="CN48" s="207">
        <v>7817281.221816139</v>
      </c>
      <c r="CO48" s="207">
        <v>7797427.91045614</v>
      </c>
      <c r="CP48" s="207">
        <v>2079</v>
      </c>
    </row>
    <row r="49" spans="1:94" ht="9.75">
      <c r="A49" s="175">
        <v>152</v>
      </c>
      <c r="B49" s="175" t="s">
        <v>106</v>
      </c>
      <c r="C49" s="207">
        <v>4673</v>
      </c>
      <c r="D49" s="207">
        <v>17442513.14</v>
      </c>
      <c r="E49" s="207">
        <v>6527004.812393323</v>
      </c>
      <c r="F49" s="207">
        <v>677240.6061663558</v>
      </c>
      <c r="G49" s="207">
        <v>24646758.55855968</v>
      </c>
      <c r="H49" s="207">
        <v>3524.51</v>
      </c>
      <c r="I49" s="207">
        <v>16470035.23</v>
      </c>
      <c r="J49" s="207">
        <v>8176723.328559678</v>
      </c>
      <c r="K49" s="207">
        <v>90581.27283763664</v>
      </c>
      <c r="L49" s="207">
        <v>1575071.2691691555</v>
      </c>
      <c r="M49" s="207">
        <v>0</v>
      </c>
      <c r="N49" s="207">
        <v>9842375.87056647</v>
      </c>
      <c r="O49" s="207">
        <v>3556415.2216766328</v>
      </c>
      <c r="P49" s="207">
        <v>13398791.092243103</v>
      </c>
      <c r="Q49" s="207">
        <v>281</v>
      </c>
      <c r="R49" s="207">
        <v>56</v>
      </c>
      <c r="S49" s="207">
        <v>356</v>
      </c>
      <c r="T49" s="207">
        <v>171</v>
      </c>
      <c r="U49" s="207">
        <v>162</v>
      </c>
      <c r="V49" s="207">
        <v>2422</v>
      </c>
      <c r="W49" s="207">
        <v>645</v>
      </c>
      <c r="X49" s="207">
        <v>398</v>
      </c>
      <c r="Y49" s="207">
        <v>182</v>
      </c>
      <c r="Z49" s="207">
        <v>30</v>
      </c>
      <c r="AA49" s="207">
        <v>0</v>
      </c>
      <c r="AB49" s="207">
        <v>4604</v>
      </c>
      <c r="AC49" s="207">
        <v>39</v>
      </c>
      <c r="AD49" s="207">
        <v>1225</v>
      </c>
      <c r="AE49" s="207">
        <v>1.2323851005316362</v>
      </c>
      <c r="AF49" s="207">
        <v>6527004.812393323</v>
      </c>
      <c r="AG49" s="207">
        <v>8040003.609156773</v>
      </c>
      <c r="AH49" s="207">
        <v>2367068.5107521373</v>
      </c>
      <c r="AI49" s="207">
        <v>723711.8201002057</v>
      </c>
      <c r="AJ49" s="207">
        <v>189</v>
      </c>
      <c r="AK49" s="207">
        <v>2113</v>
      </c>
      <c r="AL49" s="207">
        <v>0.7730126008346553</v>
      </c>
      <c r="AM49" s="207">
        <v>39</v>
      </c>
      <c r="AN49" s="207">
        <v>0.008345816392039376</v>
      </c>
      <c r="AO49" s="207">
        <v>0.0034051049295887826</v>
      </c>
      <c r="AP49" s="207">
        <v>0</v>
      </c>
      <c r="AQ49" s="207">
        <v>30</v>
      </c>
      <c r="AR49" s="207">
        <v>0</v>
      </c>
      <c r="AS49" s="207">
        <v>0</v>
      </c>
      <c r="AT49" s="207">
        <v>0</v>
      </c>
      <c r="AU49" s="207">
        <v>354.13</v>
      </c>
      <c r="AV49" s="207">
        <v>13.195719086211279</v>
      </c>
      <c r="AW49" s="207">
        <v>1.374372385620867</v>
      </c>
      <c r="AX49" s="207">
        <v>140</v>
      </c>
      <c r="AY49" s="207">
        <v>1316</v>
      </c>
      <c r="AZ49" s="207">
        <v>0.10638297872340426</v>
      </c>
      <c r="BA49" s="207">
        <v>0.04519914263916976</v>
      </c>
      <c r="BB49" s="207">
        <v>0</v>
      </c>
      <c r="BC49" s="207">
        <v>1311</v>
      </c>
      <c r="BD49" s="207">
        <v>1841</v>
      </c>
      <c r="BE49" s="207">
        <v>0.7121129820749592</v>
      </c>
      <c r="BF49" s="207">
        <v>0.3032060994838661</v>
      </c>
      <c r="BG49" s="207">
        <v>0</v>
      </c>
      <c r="BH49" s="207">
        <v>0</v>
      </c>
      <c r="BI49" s="207">
        <v>0</v>
      </c>
      <c r="BJ49" s="207">
        <v>-1121.52</v>
      </c>
      <c r="BK49" s="207">
        <v>-19159.3</v>
      </c>
      <c r="BL49" s="207">
        <v>-1308.44</v>
      </c>
      <c r="BM49" s="207">
        <v>-1822.47</v>
      </c>
      <c r="BN49" s="207">
        <v>-93.46000000000001</v>
      </c>
      <c r="BO49" s="207">
        <v>-42666</v>
      </c>
      <c r="BP49" s="207">
        <v>-117467.62996298849</v>
      </c>
      <c r="BQ49" s="207">
        <v>-423794.37</v>
      </c>
      <c r="BR49" s="207">
        <v>-4805.183234481141</v>
      </c>
      <c r="BS49" s="207">
        <v>453574</v>
      </c>
      <c r="BT49" s="207">
        <v>149113</v>
      </c>
      <c r="BU49" s="207">
        <v>365093.086581899</v>
      </c>
      <c r="BV49" s="207">
        <v>18504.183119397294</v>
      </c>
      <c r="BW49" s="207">
        <v>39985.40308242453</v>
      </c>
      <c r="BX49" s="207">
        <v>140431.9440813769</v>
      </c>
      <c r="BY49" s="207">
        <v>268667.9662523781</v>
      </c>
      <c r="BZ49" s="207">
        <v>453481.51872165385</v>
      </c>
      <c r="CA49" s="207">
        <v>123945.84333360156</v>
      </c>
      <c r="CB49" s="207">
        <v>220230.03564561004</v>
      </c>
      <c r="CC49" s="207">
        <v>420.57</v>
      </c>
      <c r="CD49" s="207">
        <v>4564.141548284166</v>
      </c>
      <c r="CE49" s="207">
        <v>201967.06</v>
      </c>
      <c r="CF49" s="207">
        <v>2392507.569132144</v>
      </c>
      <c r="CG49" s="207">
        <v>1575071.2691691555</v>
      </c>
      <c r="CH49" s="207">
        <v>0</v>
      </c>
      <c r="CI49" s="207">
        <v>3556415.2216766328</v>
      </c>
      <c r="CJ49" s="207">
        <v>-240843</v>
      </c>
      <c r="CK49" s="207">
        <v>0</v>
      </c>
      <c r="CL49" s="207">
        <v>0</v>
      </c>
      <c r="CM49" s="207">
        <v>17992.063419999962</v>
      </c>
      <c r="CN49" s="207">
        <v>13157948.092243103</v>
      </c>
      <c r="CO49" s="207">
        <v>13175940.155663103</v>
      </c>
      <c r="CP49" s="207">
        <v>4712</v>
      </c>
    </row>
    <row r="50" spans="1:94" ht="9.75">
      <c r="A50" s="175">
        <v>165</v>
      </c>
      <c r="B50" s="175" t="s">
        <v>107</v>
      </c>
      <c r="C50" s="207">
        <v>16607</v>
      </c>
      <c r="D50" s="207">
        <v>57309635.82999999</v>
      </c>
      <c r="E50" s="207">
        <v>17534802.585224155</v>
      </c>
      <c r="F50" s="207">
        <v>2774685.220561594</v>
      </c>
      <c r="G50" s="207">
        <v>77619123.63578574</v>
      </c>
      <c r="H50" s="207">
        <v>3524.51</v>
      </c>
      <c r="I50" s="207">
        <v>58531537.57</v>
      </c>
      <c r="J50" s="207">
        <v>19087586.065785743</v>
      </c>
      <c r="K50" s="207">
        <v>347051.5452371049</v>
      </c>
      <c r="L50" s="207">
        <v>3113822.256426542</v>
      </c>
      <c r="M50" s="207">
        <v>0</v>
      </c>
      <c r="N50" s="207">
        <v>22548459.86744939</v>
      </c>
      <c r="O50" s="207">
        <v>3974159.5917574354</v>
      </c>
      <c r="P50" s="207">
        <v>26522619.459206827</v>
      </c>
      <c r="Q50" s="207">
        <v>978</v>
      </c>
      <c r="R50" s="207">
        <v>165</v>
      </c>
      <c r="S50" s="207">
        <v>1262</v>
      </c>
      <c r="T50" s="207">
        <v>634</v>
      </c>
      <c r="U50" s="207">
        <v>606</v>
      </c>
      <c r="V50" s="207">
        <v>9133</v>
      </c>
      <c r="W50" s="207">
        <v>2176</v>
      </c>
      <c r="X50" s="207">
        <v>1209</v>
      </c>
      <c r="Y50" s="207">
        <v>444</v>
      </c>
      <c r="Z50" s="207">
        <v>59</v>
      </c>
      <c r="AA50" s="207">
        <v>0</v>
      </c>
      <c r="AB50" s="207">
        <v>16078</v>
      </c>
      <c r="AC50" s="207">
        <v>470</v>
      </c>
      <c r="AD50" s="207">
        <v>3829</v>
      </c>
      <c r="AE50" s="207">
        <v>0.9316182386488803</v>
      </c>
      <c r="AF50" s="207">
        <v>17534802.585224155</v>
      </c>
      <c r="AG50" s="207">
        <v>22404960.177173324</v>
      </c>
      <c r="AH50" s="207">
        <v>4685146.376984792</v>
      </c>
      <c r="AI50" s="207">
        <v>2287286.7400697856</v>
      </c>
      <c r="AJ50" s="207">
        <v>722</v>
      </c>
      <c r="AK50" s="207">
        <v>7890</v>
      </c>
      <c r="AL50" s="207">
        <v>0.7908324123744733</v>
      </c>
      <c r="AM50" s="207">
        <v>470</v>
      </c>
      <c r="AN50" s="207">
        <v>0.028301318721021256</v>
      </c>
      <c r="AO50" s="207">
        <v>0.023360607258570663</v>
      </c>
      <c r="AP50" s="207">
        <v>0</v>
      </c>
      <c r="AQ50" s="207">
        <v>59</v>
      </c>
      <c r="AR50" s="207">
        <v>0</v>
      </c>
      <c r="AS50" s="207">
        <v>0</v>
      </c>
      <c r="AT50" s="207">
        <v>0</v>
      </c>
      <c r="AU50" s="207">
        <v>547.44</v>
      </c>
      <c r="AV50" s="207">
        <v>30.33574455648107</v>
      </c>
      <c r="AW50" s="207">
        <v>0.5978370462189423</v>
      </c>
      <c r="AX50" s="207">
        <v>727</v>
      </c>
      <c r="AY50" s="207">
        <v>5270</v>
      </c>
      <c r="AZ50" s="207">
        <v>0.13795066413662238</v>
      </c>
      <c r="BA50" s="207">
        <v>0.07676682805238788</v>
      </c>
      <c r="BB50" s="207">
        <v>0</v>
      </c>
      <c r="BC50" s="207">
        <v>5063</v>
      </c>
      <c r="BD50" s="207">
        <v>6881</v>
      </c>
      <c r="BE50" s="207">
        <v>0.735794215956983</v>
      </c>
      <c r="BF50" s="207">
        <v>0.32688733336588993</v>
      </c>
      <c r="BG50" s="207">
        <v>0</v>
      </c>
      <c r="BH50" s="207">
        <v>0</v>
      </c>
      <c r="BI50" s="207">
        <v>0</v>
      </c>
      <c r="BJ50" s="207">
        <v>-3985.68</v>
      </c>
      <c r="BK50" s="207">
        <v>-68088.7</v>
      </c>
      <c r="BL50" s="207">
        <v>-4649.96</v>
      </c>
      <c r="BM50" s="207">
        <v>-6476.7300000000005</v>
      </c>
      <c r="BN50" s="207">
        <v>-332.14</v>
      </c>
      <c r="BO50" s="207">
        <v>-107529</v>
      </c>
      <c r="BP50" s="207">
        <v>-756225.2947498627</v>
      </c>
      <c r="BQ50" s="207">
        <v>-1506088.83</v>
      </c>
      <c r="BR50" s="207">
        <v>-98206.12784617394</v>
      </c>
      <c r="BS50" s="207">
        <v>1200523</v>
      </c>
      <c r="BT50" s="207">
        <v>390977</v>
      </c>
      <c r="BU50" s="207">
        <v>770002.6127360079</v>
      </c>
      <c r="BV50" s="207">
        <v>16847.511053475086</v>
      </c>
      <c r="BW50" s="207">
        <v>79300.42876373355</v>
      </c>
      <c r="BX50" s="207">
        <v>347639.4998992068</v>
      </c>
      <c r="BY50" s="207">
        <v>766328.7059845112</v>
      </c>
      <c r="BZ50" s="207">
        <v>1292371.9047316522</v>
      </c>
      <c r="CA50" s="207">
        <v>326396.5147712025</v>
      </c>
      <c r="CB50" s="207">
        <v>611765.1005247397</v>
      </c>
      <c r="CC50" s="207">
        <v>1494.6299999999999</v>
      </c>
      <c r="CD50" s="207">
        <v>41943.760558050475</v>
      </c>
      <c r="CE50" s="207">
        <v>717754.54</v>
      </c>
      <c r="CF50" s="207">
        <v>6357610.081176405</v>
      </c>
      <c r="CG50" s="207">
        <v>3113822.256426542</v>
      </c>
      <c r="CH50" s="207">
        <v>0</v>
      </c>
      <c r="CI50" s="207">
        <v>3974159.5917574354</v>
      </c>
      <c r="CJ50" s="207">
        <v>-2232264</v>
      </c>
      <c r="CK50" s="207">
        <v>0</v>
      </c>
      <c r="CL50" s="207">
        <v>0</v>
      </c>
      <c r="CM50" s="207">
        <v>36248.133639999956</v>
      </c>
      <c r="CN50" s="207">
        <v>24290355.459206827</v>
      </c>
      <c r="CO50" s="207">
        <v>24326603.592846826</v>
      </c>
      <c r="CP50" s="207">
        <v>16709</v>
      </c>
    </row>
    <row r="51" spans="1:94" ht="9.75">
      <c r="A51" s="175">
        <v>167</v>
      </c>
      <c r="B51" s="175" t="s">
        <v>108</v>
      </c>
      <c r="C51" s="207">
        <v>76067</v>
      </c>
      <c r="D51" s="207">
        <v>236791420.57</v>
      </c>
      <c r="E51" s="207">
        <v>100060774.52827972</v>
      </c>
      <c r="F51" s="207">
        <v>19003062.074961733</v>
      </c>
      <c r="G51" s="207">
        <v>355855257.17324144</v>
      </c>
      <c r="H51" s="207">
        <v>3524.51</v>
      </c>
      <c r="I51" s="207">
        <v>268098902.17000002</v>
      </c>
      <c r="J51" s="207">
        <v>87756355.00324142</v>
      </c>
      <c r="K51" s="207">
        <v>3619146.531781768</v>
      </c>
      <c r="L51" s="207">
        <v>16736389.404952098</v>
      </c>
      <c r="M51" s="207">
        <v>0</v>
      </c>
      <c r="N51" s="207">
        <v>108111890.93997528</v>
      </c>
      <c r="O51" s="207">
        <v>39380060.1043137</v>
      </c>
      <c r="P51" s="207">
        <v>147491951.044289</v>
      </c>
      <c r="Q51" s="207">
        <v>4202</v>
      </c>
      <c r="R51" s="207">
        <v>769</v>
      </c>
      <c r="S51" s="207">
        <v>4283</v>
      </c>
      <c r="T51" s="207">
        <v>2147</v>
      </c>
      <c r="U51" s="207">
        <v>2436</v>
      </c>
      <c r="V51" s="207">
        <v>46289</v>
      </c>
      <c r="W51" s="207">
        <v>9172</v>
      </c>
      <c r="X51" s="207">
        <v>4757</v>
      </c>
      <c r="Y51" s="207">
        <v>2012</v>
      </c>
      <c r="Z51" s="207">
        <v>61</v>
      </c>
      <c r="AA51" s="207">
        <v>1</v>
      </c>
      <c r="AB51" s="207">
        <v>72392</v>
      </c>
      <c r="AC51" s="207">
        <v>3613</v>
      </c>
      <c r="AD51" s="207">
        <v>15941</v>
      </c>
      <c r="AE51" s="207">
        <v>1.1606355237835089</v>
      </c>
      <c r="AF51" s="207">
        <v>100060774.52827972</v>
      </c>
      <c r="AG51" s="207">
        <v>124737710.56205583</v>
      </c>
      <c r="AH51" s="207">
        <v>31028878.688951466</v>
      </c>
      <c r="AI51" s="207">
        <v>11579389.121603293</v>
      </c>
      <c r="AJ51" s="207">
        <v>6082</v>
      </c>
      <c r="AK51" s="207">
        <v>35267</v>
      </c>
      <c r="AL51" s="207">
        <v>1.490397674501828</v>
      </c>
      <c r="AM51" s="207">
        <v>3613</v>
      </c>
      <c r="AN51" s="207">
        <v>0.04749760079929536</v>
      </c>
      <c r="AO51" s="207">
        <v>0.04255688933684477</v>
      </c>
      <c r="AP51" s="207">
        <v>0</v>
      </c>
      <c r="AQ51" s="207">
        <v>61</v>
      </c>
      <c r="AR51" s="207">
        <v>1</v>
      </c>
      <c r="AS51" s="207">
        <v>0</v>
      </c>
      <c r="AT51" s="207">
        <v>0</v>
      </c>
      <c r="AU51" s="207">
        <v>2381.69</v>
      </c>
      <c r="AV51" s="207">
        <v>31.93824553153433</v>
      </c>
      <c r="AW51" s="207">
        <v>0.567840581681061</v>
      </c>
      <c r="AX51" s="207">
        <v>2169</v>
      </c>
      <c r="AY51" s="207">
        <v>21439</v>
      </c>
      <c r="AZ51" s="207">
        <v>0.1011707635617333</v>
      </c>
      <c r="BA51" s="207">
        <v>0.0399869274774988</v>
      </c>
      <c r="BB51" s="207">
        <v>0</v>
      </c>
      <c r="BC51" s="207">
        <v>33231</v>
      </c>
      <c r="BD51" s="207">
        <v>28818</v>
      </c>
      <c r="BE51" s="207">
        <v>1.153133458255257</v>
      </c>
      <c r="BF51" s="207">
        <v>0.744226575664164</v>
      </c>
      <c r="BG51" s="207">
        <v>0</v>
      </c>
      <c r="BH51" s="207">
        <v>1</v>
      </c>
      <c r="BI51" s="207">
        <v>0</v>
      </c>
      <c r="BJ51" s="207">
        <v>-18256.079999999998</v>
      </c>
      <c r="BK51" s="207">
        <v>-311874.69999999995</v>
      </c>
      <c r="BL51" s="207">
        <v>-21298.760000000002</v>
      </c>
      <c r="BM51" s="207">
        <v>-29666.13</v>
      </c>
      <c r="BN51" s="207">
        <v>-1521.34</v>
      </c>
      <c r="BO51" s="207">
        <v>1312533</v>
      </c>
      <c r="BP51" s="207">
        <v>-6616919.996101035</v>
      </c>
      <c r="BQ51" s="207">
        <v>-6898516.2299999995</v>
      </c>
      <c r="BR51" s="207">
        <v>12210.197223514318</v>
      </c>
      <c r="BS51" s="207">
        <v>5466814</v>
      </c>
      <c r="BT51" s="207">
        <v>1850095</v>
      </c>
      <c r="BU51" s="207">
        <v>4594015.07155131</v>
      </c>
      <c r="BV51" s="207">
        <v>215631.76150351088</v>
      </c>
      <c r="BW51" s="207">
        <v>465003.0000221078</v>
      </c>
      <c r="BX51" s="207">
        <v>2009551.502761441</v>
      </c>
      <c r="BY51" s="207">
        <v>3964396.5649567964</v>
      </c>
      <c r="BZ51" s="207">
        <v>5401227.402479835</v>
      </c>
      <c r="CA51" s="207">
        <v>2000363.9814795156</v>
      </c>
      <c r="CB51" s="207">
        <v>3459071.459052203</v>
      </c>
      <c r="CC51" s="207">
        <v>6846.03</v>
      </c>
      <c r="CD51" s="207">
        <v>702010.620022894</v>
      </c>
      <c r="CE51" s="207">
        <v>3287615.7399999998</v>
      </c>
      <c r="CF51" s="207">
        <v>34747385.33105313</v>
      </c>
      <c r="CG51" s="207">
        <v>16736389.404952098</v>
      </c>
      <c r="CH51" s="207">
        <v>0</v>
      </c>
      <c r="CI51" s="207">
        <v>39380060.1043137</v>
      </c>
      <c r="CJ51" s="207">
        <v>-2220577</v>
      </c>
      <c r="CK51" s="207">
        <v>0</v>
      </c>
      <c r="CL51" s="207">
        <v>0</v>
      </c>
      <c r="CM51" s="207">
        <v>-9740962.537117999</v>
      </c>
      <c r="CN51" s="207">
        <v>145271374.044289</v>
      </c>
      <c r="CO51" s="207">
        <v>135530411.507171</v>
      </c>
      <c r="CP51" s="207">
        <v>75848</v>
      </c>
    </row>
    <row r="52" spans="1:94" ht="9.75">
      <c r="A52" s="175">
        <v>169</v>
      </c>
      <c r="B52" s="175" t="s">
        <v>109</v>
      </c>
      <c r="C52" s="207">
        <v>5286</v>
      </c>
      <c r="D52" s="207">
        <v>18562420.12</v>
      </c>
      <c r="E52" s="207">
        <v>5501909.400441079</v>
      </c>
      <c r="F52" s="207">
        <v>843920.1596915071</v>
      </c>
      <c r="G52" s="207">
        <v>24908249.68013259</v>
      </c>
      <c r="H52" s="207">
        <v>3524.51</v>
      </c>
      <c r="I52" s="207">
        <v>18630559.86</v>
      </c>
      <c r="J52" s="207">
        <v>6277689.820132591</v>
      </c>
      <c r="K52" s="207">
        <v>132849.8140820814</v>
      </c>
      <c r="L52" s="207">
        <v>1665322.5703915497</v>
      </c>
      <c r="M52" s="207">
        <v>0</v>
      </c>
      <c r="N52" s="207">
        <v>8075862.204606222</v>
      </c>
      <c r="O52" s="207">
        <v>2344028.0438478626</v>
      </c>
      <c r="P52" s="207">
        <v>10419890.248454085</v>
      </c>
      <c r="Q52" s="207">
        <v>273</v>
      </c>
      <c r="R52" s="207">
        <v>62</v>
      </c>
      <c r="S52" s="207">
        <v>376</v>
      </c>
      <c r="T52" s="207">
        <v>225</v>
      </c>
      <c r="U52" s="207">
        <v>205</v>
      </c>
      <c r="V52" s="207">
        <v>2858</v>
      </c>
      <c r="W52" s="207">
        <v>765</v>
      </c>
      <c r="X52" s="207">
        <v>356</v>
      </c>
      <c r="Y52" s="207">
        <v>166</v>
      </c>
      <c r="Z52" s="207">
        <v>29</v>
      </c>
      <c r="AA52" s="207">
        <v>0</v>
      </c>
      <c r="AB52" s="207">
        <v>5149</v>
      </c>
      <c r="AC52" s="207">
        <v>108</v>
      </c>
      <c r="AD52" s="207">
        <v>1287</v>
      </c>
      <c r="AE52" s="207">
        <v>0.9183633910744178</v>
      </c>
      <c r="AF52" s="207">
        <v>5501909.400441079</v>
      </c>
      <c r="AG52" s="207">
        <v>7032806.993790352</v>
      </c>
      <c r="AH52" s="207">
        <v>1527765.1229298238</v>
      </c>
      <c r="AI52" s="207">
        <v>571821.6850174465</v>
      </c>
      <c r="AJ52" s="207">
        <v>246</v>
      </c>
      <c r="AK52" s="207">
        <v>2541</v>
      </c>
      <c r="AL52" s="207">
        <v>0.8366709850278754</v>
      </c>
      <c r="AM52" s="207">
        <v>108</v>
      </c>
      <c r="AN52" s="207">
        <v>0.02043132803632236</v>
      </c>
      <c r="AO52" s="207">
        <v>0.015490616573871768</v>
      </c>
      <c r="AP52" s="207">
        <v>0</v>
      </c>
      <c r="AQ52" s="207">
        <v>29</v>
      </c>
      <c r="AR52" s="207">
        <v>0</v>
      </c>
      <c r="AS52" s="207">
        <v>0</v>
      </c>
      <c r="AT52" s="207">
        <v>0</v>
      </c>
      <c r="AU52" s="207">
        <v>180.42</v>
      </c>
      <c r="AV52" s="207">
        <v>29.29830395743266</v>
      </c>
      <c r="AW52" s="207">
        <v>0.6190062041423439</v>
      </c>
      <c r="AX52" s="207">
        <v>236</v>
      </c>
      <c r="AY52" s="207">
        <v>1628</v>
      </c>
      <c r="AZ52" s="207">
        <v>0.14496314496314497</v>
      </c>
      <c r="BA52" s="207">
        <v>0.08377930887891047</v>
      </c>
      <c r="BB52" s="207">
        <v>0</v>
      </c>
      <c r="BC52" s="207">
        <v>1738</v>
      </c>
      <c r="BD52" s="207">
        <v>2167</v>
      </c>
      <c r="BE52" s="207">
        <v>0.8020304568527918</v>
      </c>
      <c r="BF52" s="207">
        <v>0.39312357426169875</v>
      </c>
      <c r="BG52" s="207">
        <v>0</v>
      </c>
      <c r="BH52" s="207">
        <v>0</v>
      </c>
      <c r="BI52" s="207">
        <v>0</v>
      </c>
      <c r="BJ52" s="207">
        <v>-1268.6399999999999</v>
      </c>
      <c r="BK52" s="207">
        <v>-21672.6</v>
      </c>
      <c r="BL52" s="207">
        <v>-1480.0800000000002</v>
      </c>
      <c r="BM52" s="207">
        <v>-2061.54</v>
      </c>
      <c r="BN52" s="207">
        <v>-105.72</v>
      </c>
      <c r="BO52" s="207">
        <v>-15340</v>
      </c>
      <c r="BP52" s="207">
        <v>-167880.72068622473</v>
      </c>
      <c r="BQ52" s="207">
        <v>-479387.33999999997</v>
      </c>
      <c r="BR52" s="207">
        <v>222840.09286955744</v>
      </c>
      <c r="BS52" s="207">
        <v>431133</v>
      </c>
      <c r="BT52" s="207">
        <v>139452</v>
      </c>
      <c r="BU52" s="207">
        <v>326940.78055129474</v>
      </c>
      <c r="BV52" s="207">
        <v>12066.66858147358</v>
      </c>
      <c r="BW52" s="207">
        <v>33921.12678390197</v>
      </c>
      <c r="BX52" s="207">
        <v>152770.26811155965</v>
      </c>
      <c r="BY52" s="207">
        <v>274456.85582012346</v>
      </c>
      <c r="BZ52" s="207">
        <v>465128.85788012884</v>
      </c>
      <c r="CA52" s="207">
        <v>118944.17022397346</v>
      </c>
      <c r="CB52" s="207">
        <v>221103.60443573224</v>
      </c>
      <c r="CC52" s="207">
        <v>475.74</v>
      </c>
      <c r="CD52" s="207">
        <v>12639.145820028927</v>
      </c>
      <c r="CE52" s="207">
        <v>228460.91999999998</v>
      </c>
      <c r="CF52" s="207">
        <v>2624993.2310777744</v>
      </c>
      <c r="CG52" s="207">
        <v>1665322.5703915497</v>
      </c>
      <c r="CH52" s="207">
        <v>0</v>
      </c>
      <c r="CI52" s="207">
        <v>2344028.0438478626</v>
      </c>
      <c r="CJ52" s="207">
        <v>-939687</v>
      </c>
      <c r="CK52" s="207">
        <v>0</v>
      </c>
      <c r="CL52" s="207">
        <v>0</v>
      </c>
      <c r="CM52" s="207">
        <v>-34254.88230000003</v>
      </c>
      <c r="CN52" s="207">
        <v>9480203.248454085</v>
      </c>
      <c r="CO52" s="207">
        <v>9445948.366154084</v>
      </c>
      <c r="CP52" s="207">
        <v>5341</v>
      </c>
    </row>
    <row r="53" spans="1:94" ht="9.75">
      <c r="A53" s="175">
        <v>171</v>
      </c>
      <c r="B53" s="175" t="s">
        <v>110</v>
      </c>
      <c r="C53" s="207">
        <v>4917</v>
      </c>
      <c r="D53" s="207">
        <v>16383334.520000001</v>
      </c>
      <c r="E53" s="207">
        <v>7179316.103867705</v>
      </c>
      <c r="F53" s="207">
        <v>1179941.4316381568</v>
      </c>
      <c r="G53" s="207">
        <v>24742592.05550586</v>
      </c>
      <c r="H53" s="207">
        <v>3524.51</v>
      </c>
      <c r="I53" s="207">
        <v>17330015.67</v>
      </c>
      <c r="J53" s="207">
        <v>7412576.385505859</v>
      </c>
      <c r="K53" s="207">
        <v>110826.9091919469</v>
      </c>
      <c r="L53" s="207">
        <v>1500992.02652036</v>
      </c>
      <c r="M53" s="207">
        <v>0</v>
      </c>
      <c r="N53" s="207">
        <v>9024395.321218165</v>
      </c>
      <c r="O53" s="207">
        <v>2933333.4780094908</v>
      </c>
      <c r="P53" s="207">
        <v>11957728.799227655</v>
      </c>
      <c r="Q53" s="207">
        <v>237</v>
      </c>
      <c r="R53" s="207">
        <v>54</v>
      </c>
      <c r="S53" s="207">
        <v>298</v>
      </c>
      <c r="T53" s="207">
        <v>157</v>
      </c>
      <c r="U53" s="207">
        <v>146</v>
      </c>
      <c r="V53" s="207">
        <v>2639</v>
      </c>
      <c r="W53" s="207">
        <v>832</v>
      </c>
      <c r="X53" s="207">
        <v>407</v>
      </c>
      <c r="Y53" s="207">
        <v>147</v>
      </c>
      <c r="Z53" s="207">
        <v>22</v>
      </c>
      <c r="AA53" s="207">
        <v>0</v>
      </c>
      <c r="AB53" s="207">
        <v>4764</v>
      </c>
      <c r="AC53" s="207">
        <v>131</v>
      </c>
      <c r="AD53" s="207">
        <v>1386</v>
      </c>
      <c r="AE53" s="207">
        <v>1.2882826399509295</v>
      </c>
      <c r="AF53" s="207">
        <v>7179316.103867705</v>
      </c>
      <c r="AG53" s="207">
        <v>9301008.723323902</v>
      </c>
      <c r="AH53" s="207">
        <v>2756942.7157551246</v>
      </c>
      <c r="AI53" s="207">
        <v>911340.8104965554</v>
      </c>
      <c r="AJ53" s="207">
        <v>239</v>
      </c>
      <c r="AK53" s="207">
        <v>2225</v>
      </c>
      <c r="AL53" s="207">
        <v>0.9283081255804215</v>
      </c>
      <c r="AM53" s="207">
        <v>131</v>
      </c>
      <c r="AN53" s="207">
        <v>0.0266422615415904</v>
      </c>
      <c r="AO53" s="207">
        <v>0.02170155007913981</v>
      </c>
      <c r="AP53" s="207">
        <v>0</v>
      </c>
      <c r="AQ53" s="207">
        <v>22</v>
      </c>
      <c r="AR53" s="207">
        <v>0</v>
      </c>
      <c r="AS53" s="207">
        <v>0</v>
      </c>
      <c r="AT53" s="207">
        <v>0</v>
      </c>
      <c r="AU53" s="207">
        <v>575.12</v>
      </c>
      <c r="AV53" s="207">
        <v>8.549520100153012</v>
      </c>
      <c r="AW53" s="207">
        <v>2.121268996159728</v>
      </c>
      <c r="AX53" s="207">
        <v>212</v>
      </c>
      <c r="AY53" s="207">
        <v>1394</v>
      </c>
      <c r="AZ53" s="207">
        <v>0.15208034433285508</v>
      </c>
      <c r="BA53" s="207">
        <v>0.09089650824862058</v>
      </c>
      <c r="BB53" s="207">
        <v>0</v>
      </c>
      <c r="BC53" s="207">
        <v>1427</v>
      </c>
      <c r="BD53" s="207">
        <v>1874</v>
      </c>
      <c r="BE53" s="207">
        <v>0.7614727854855923</v>
      </c>
      <c r="BF53" s="207">
        <v>0.3525659028944992</v>
      </c>
      <c r="BG53" s="207">
        <v>0</v>
      </c>
      <c r="BH53" s="207">
        <v>0</v>
      </c>
      <c r="BI53" s="207">
        <v>0</v>
      </c>
      <c r="BJ53" s="207">
        <v>-1180.08</v>
      </c>
      <c r="BK53" s="207">
        <v>-20159.699999999997</v>
      </c>
      <c r="BL53" s="207">
        <v>-1376.7600000000002</v>
      </c>
      <c r="BM53" s="207">
        <v>-1917.63</v>
      </c>
      <c r="BN53" s="207">
        <v>-98.34</v>
      </c>
      <c r="BO53" s="207">
        <v>-25108</v>
      </c>
      <c r="BP53" s="207">
        <v>-191218.92934225962</v>
      </c>
      <c r="BQ53" s="207">
        <v>-445922.73</v>
      </c>
      <c r="BR53" s="207">
        <v>-48409.14895039052</v>
      </c>
      <c r="BS53" s="207">
        <v>458018</v>
      </c>
      <c r="BT53" s="207">
        <v>146662</v>
      </c>
      <c r="BU53" s="207">
        <v>360067.20291200245</v>
      </c>
      <c r="BV53" s="207">
        <v>19282.32906391698</v>
      </c>
      <c r="BW53" s="207">
        <v>64627.10886705624</v>
      </c>
      <c r="BX53" s="207">
        <v>183244.2423845158</v>
      </c>
      <c r="BY53" s="207">
        <v>271733.55857463356</v>
      </c>
      <c r="BZ53" s="207">
        <v>427994.98927957815</v>
      </c>
      <c r="CA53" s="207">
        <v>126552.7523738924</v>
      </c>
      <c r="CB53" s="207">
        <v>232621.35515414388</v>
      </c>
      <c r="CC53" s="207">
        <v>442.53</v>
      </c>
      <c r="CD53" s="207">
        <v>-1513.2737967293433</v>
      </c>
      <c r="CE53" s="207">
        <v>212512.74</v>
      </c>
      <c r="CF53" s="207">
        <v>2428728.3858626196</v>
      </c>
      <c r="CG53" s="207">
        <v>1500992.02652036</v>
      </c>
      <c r="CH53" s="207">
        <v>0</v>
      </c>
      <c r="CI53" s="207">
        <v>2933333.4780094908</v>
      </c>
      <c r="CJ53" s="207">
        <v>-264531</v>
      </c>
      <c r="CK53" s="207">
        <v>0</v>
      </c>
      <c r="CL53" s="207">
        <v>0</v>
      </c>
      <c r="CM53" s="207">
        <v>-94382.431</v>
      </c>
      <c r="CN53" s="207">
        <v>11693197.799227655</v>
      </c>
      <c r="CO53" s="207">
        <v>11598815.368227655</v>
      </c>
      <c r="CP53" s="207">
        <v>5039</v>
      </c>
    </row>
    <row r="54" spans="1:94" ht="9.75">
      <c r="A54" s="175">
        <v>172</v>
      </c>
      <c r="B54" s="175" t="s">
        <v>111</v>
      </c>
      <c r="C54" s="207">
        <v>4567</v>
      </c>
      <c r="D54" s="207">
        <v>16520342.42</v>
      </c>
      <c r="E54" s="207">
        <v>7356363.813638619</v>
      </c>
      <c r="F54" s="207">
        <v>1532316.220230236</v>
      </c>
      <c r="G54" s="207">
        <v>25409022.453868855</v>
      </c>
      <c r="H54" s="207">
        <v>3524.51</v>
      </c>
      <c r="I54" s="207">
        <v>16096437.170000002</v>
      </c>
      <c r="J54" s="207">
        <v>9312585.283868853</v>
      </c>
      <c r="K54" s="207">
        <v>601336.720058959</v>
      </c>
      <c r="L54" s="207">
        <v>1671927.3230491944</v>
      </c>
      <c r="M54" s="207">
        <v>0</v>
      </c>
      <c r="N54" s="207">
        <v>11585849.326977007</v>
      </c>
      <c r="O54" s="207">
        <v>3677339.8671328686</v>
      </c>
      <c r="P54" s="207">
        <v>15263189.194109876</v>
      </c>
      <c r="Q54" s="207">
        <v>173</v>
      </c>
      <c r="R54" s="207">
        <v>25</v>
      </c>
      <c r="S54" s="207">
        <v>240</v>
      </c>
      <c r="T54" s="207">
        <v>123</v>
      </c>
      <c r="U54" s="207">
        <v>102</v>
      </c>
      <c r="V54" s="207">
        <v>2237</v>
      </c>
      <c r="W54" s="207">
        <v>909</v>
      </c>
      <c r="X54" s="207">
        <v>531</v>
      </c>
      <c r="Y54" s="207">
        <v>227</v>
      </c>
      <c r="Z54" s="207">
        <v>12</v>
      </c>
      <c r="AA54" s="207">
        <v>0</v>
      </c>
      <c r="AB54" s="207">
        <v>4470</v>
      </c>
      <c r="AC54" s="207">
        <v>85</v>
      </c>
      <c r="AD54" s="207">
        <v>1667</v>
      </c>
      <c r="AE54" s="207">
        <v>1.4212172660646007</v>
      </c>
      <c r="AF54" s="207">
        <v>7356363.813638619</v>
      </c>
      <c r="AG54" s="207">
        <v>9477764.655097961</v>
      </c>
      <c r="AH54" s="207">
        <v>2580251.3390758554</v>
      </c>
      <c r="AI54" s="207">
        <v>607560.5403310369</v>
      </c>
      <c r="AJ54" s="207">
        <v>273</v>
      </c>
      <c r="AK54" s="207">
        <v>1870</v>
      </c>
      <c r="AL54" s="207">
        <v>1.261668635313556</v>
      </c>
      <c r="AM54" s="207">
        <v>85</v>
      </c>
      <c r="AN54" s="207">
        <v>0.01861178016203197</v>
      </c>
      <c r="AO54" s="207">
        <v>0.013671068699581377</v>
      </c>
      <c r="AP54" s="207">
        <v>0</v>
      </c>
      <c r="AQ54" s="207">
        <v>12</v>
      </c>
      <c r="AR54" s="207">
        <v>0</v>
      </c>
      <c r="AS54" s="207">
        <v>3</v>
      </c>
      <c r="AT54" s="207">
        <v>281</v>
      </c>
      <c r="AU54" s="207">
        <v>867.02</v>
      </c>
      <c r="AV54" s="207">
        <v>5.267467878480312</v>
      </c>
      <c r="AW54" s="207">
        <v>3.4429886121548154</v>
      </c>
      <c r="AX54" s="207">
        <v>218</v>
      </c>
      <c r="AY54" s="207">
        <v>1160</v>
      </c>
      <c r="AZ54" s="207">
        <v>0.1879310344827586</v>
      </c>
      <c r="BA54" s="207">
        <v>0.1267471983985241</v>
      </c>
      <c r="BB54" s="207">
        <v>0.477716</v>
      </c>
      <c r="BC54" s="207">
        <v>1382</v>
      </c>
      <c r="BD54" s="207">
        <v>1545</v>
      </c>
      <c r="BE54" s="207">
        <v>0.8944983818770227</v>
      </c>
      <c r="BF54" s="207">
        <v>0.4855914992859296</v>
      </c>
      <c r="BG54" s="207">
        <v>0</v>
      </c>
      <c r="BH54" s="207">
        <v>0</v>
      </c>
      <c r="BI54" s="207">
        <v>0</v>
      </c>
      <c r="BJ54" s="207">
        <v>-1096.08</v>
      </c>
      <c r="BK54" s="207">
        <v>-18724.699999999997</v>
      </c>
      <c r="BL54" s="207">
        <v>-1278.7600000000002</v>
      </c>
      <c r="BM54" s="207">
        <v>-1781.13</v>
      </c>
      <c r="BN54" s="207">
        <v>-91.34</v>
      </c>
      <c r="BO54" s="207">
        <v>46067</v>
      </c>
      <c r="BP54" s="207">
        <v>-194519.4639450512</v>
      </c>
      <c r="BQ54" s="207">
        <v>-414181.23</v>
      </c>
      <c r="BR54" s="207">
        <v>-40989.04836730845</v>
      </c>
      <c r="BS54" s="207">
        <v>509443</v>
      </c>
      <c r="BT54" s="207">
        <v>157472</v>
      </c>
      <c r="BU54" s="207">
        <v>386498.84245449177</v>
      </c>
      <c r="BV54" s="207">
        <v>20618.110462585326</v>
      </c>
      <c r="BW54" s="207">
        <v>40447.19861348784</v>
      </c>
      <c r="BX54" s="207">
        <v>194577.63640664515</v>
      </c>
      <c r="BY54" s="207">
        <v>270506.83662957774</v>
      </c>
      <c r="BZ54" s="207">
        <v>404843.30322021345</v>
      </c>
      <c r="CA54" s="207">
        <v>122326.54536871142</v>
      </c>
      <c r="CB54" s="207">
        <v>222307.7076019801</v>
      </c>
      <c r="CC54" s="207">
        <v>411.03</v>
      </c>
      <c r="CD54" s="207">
        <v>18621.81460386124</v>
      </c>
      <c r="CE54" s="207">
        <v>197385.74</v>
      </c>
      <c r="CF54" s="207">
        <v>2550537.7169942455</v>
      </c>
      <c r="CG54" s="207">
        <v>1671927.3230491944</v>
      </c>
      <c r="CH54" s="207">
        <v>0</v>
      </c>
      <c r="CI54" s="207">
        <v>3677339.8671328686</v>
      </c>
      <c r="CJ54" s="207">
        <v>-77499</v>
      </c>
      <c r="CK54" s="207">
        <v>0</v>
      </c>
      <c r="CL54" s="207">
        <v>0</v>
      </c>
      <c r="CM54" s="207">
        <v>-51349.322599999956</v>
      </c>
      <c r="CN54" s="207">
        <v>15185690.194109876</v>
      </c>
      <c r="CO54" s="207">
        <v>15134340.871509876</v>
      </c>
      <c r="CP54" s="207">
        <v>4673</v>
      </c>
    </row>
    <row r="55" spans="1:94" ht="9.75">
      <c r="A55" s="175">
        <v>176</v>
      </c>
      <c r="B55" s="175" t="s">
        <v>112</v>
      </c>
      <c r="C55" s="207">
        <v>4817</v>
      </c>
      <c r="D55" s="207">
        <v>16713704.669999998</v>
      </c>
      <c r="E55" s="207">
        <v>9794281.502388205</v>
      </c>
      <c r="F55" s="207">
        <v>2127853.5277540996</v>
      </c>
      <c r="G55" s="207">
        <v>28635839.7001423</v>
      </c>
      <c r="H55" s="207">
        <v>3524.51</v>
      </c>
      <c r="I55" s="207">
        <v>16977564.67</v>
      </c>
      <c r="J55" s="207">
        <v>11658275.0301423</v>
      </c>
      <c r="K55" s="207">
        <v>1823716.7700633104</v>
      </c>
      <c r="L55" s="207">
        <v>2384124.7086902466</v>
      </c>
      <c r="M55" s="207">
        <v>0</v>
      </c>
      <c r="N55" s="207">
        <v>15866116.508895857</v>
      </c>
      <c r="O55" s="207">
        <v>4673295.500352801</v>
      </c>
      <c r="P55" s="207">
        <v>20539412.00924866</v>
      </c>
      <c r="Q55" s="207">
        <v>147</v>
      </c>
      <c r="R55" s="207">
        <v>29</v>
      </c>
      <c r="S55" s="207">
        <v>257</v>
      </c>
      <c r="T55" s="207">
        <v>133</v>
      </c>
      <c r="U55" s="207">
        <v>103</v>
      </c>
      <c r="V55" s="207">
        <v>2489</v>
      </c>
      <c r="W55" s="207">
        <v>919</v>
      </c>
      <c r="X55" s="207">
        <v>517</v>
      </c>
      <c r="Y55" s="207">
        <v>223</v>
      </c>
      <c r="Z55" s="207">
        <v>4</v>
      </c>
      <c r="AA55" s="207">
        <v>0</v>
      </c>
      <c r="AB55" s="207">
        <v>4719</v>
      </c>
      <c r="AC55" s="207">
        <v>94</v>
      </c>
      <c r="AD55" s="207">
        <v>1659</v>
      </c>
      <c r="AE55" s="207">
        <v>1.7940073707383828</v>
      </c>
      <c r="AF55" s="207">
        <v>9794281.502388205</v>
      </c>
      <c r="AG55" s="207">
        <v>12514266.829901958</v>
      </c>
      <c r="AH55" s="207">
        <v>2934253.2474994124</v>
      </c>
      <c r="AI55" s="207">
        <v>1116839.2285497002</v>
      </c>
      <c r="AJ55" s="207">
        <v>355</v>
      </c>
      <c r="AK55" s="207">
        <v>1940</v>
      </c>
      <c r="AL55" s="207">
        <v>1.5814333362654431</v>
      </c>
      <c r="AM55" s="207">
        <v>94</v>
      </c>
      <c r="AN55" s="207">
        <v>0.019514220469171683</v>
      </c>
      <c r="AO55" s="207">
        <v>0.01457350900672109</v>
      </c>
      <c r="AP55" s="207">
        <v>0</v>
      </c>
      <c r="AQ55" s="207">
        <v>4</v>
      </c>
      <c r="AR55" s="207">
        <v>0</v>
      </c>
      <c r="AS55" s="207">
        <v>3</v>
      </c>
      <c r="AT55" s="207">
        <v>209</v>
      </c>
      <c r="AU55" s="207">
        <v>1501.73</v>
      </c>
      <c r="AV55" s="207">
        <v>3.2076338622788385</v>
      </c>
      <c r="AW55" s="207">
        <v>5.653959491378651</v>
      </c>
      <c r="AX55" s="207">
        <v>212</v>
      </c>
      <c r="AY55" s="207">
        <v>1185</v>
      </c>
      <c r="AZ55" s="207">
        <v>0.17890295358649788</v>
      </c>
      <c r="BA55" s="207">
        <v>0.11771911750226338</v>
      </c>
      <c r="BB55" s="207">
        <v>1.082666</v>
      </c>
      <c r="BC55" s="207">
        <v>1483</v>
      </c>
      <c r="BD55" s="207">
        <v>1513</v>
      </c>
      <c r="BE55" s="207">
        <v>0.9801718440185063</v>
      </c>
      <c r="BF55" s="207">
        <v>0.5712649614274132</v>
      </c>
      <c r="BG55" s="207">
        <v>0</v>
      </c>
      <c r="BH55" s="207">
        <v>0</v>
      </c>
      <c r="BI55" s="207">
        <v>0</v>
      </c>
      <c r="BJ55" s="207">
        <v>-1156.08</v>
      </c>
      <c r="BK55" s="207">
        <v>-19749.699999999997</v>
      </c>
      <c r="BL55" s="207">
        <v>-1348.7600000000002</v>
      </c>
      <c r="BM55" s="207">
        <v>-1878.63</v>
      </c>
      <c r="BN55" s="207">
        <v>-96.34</v>
      </c>
      <c r="BO55" s="207">
        <v>323163</v>
      </c>
      <c r="BP55" s="207">
        <v>-117763.64730638507</v>
      </c>
      <c r="BQ55" s="207">
        <v>-436853.73</v>
      </c>
      <c r="BR55" s="207">
        <v>155506.09383029118</v>
      </c>
      <c r="BS55" s="207">
        <v>547362</v>
      </c>
      <c r="BT55" s="207">
        <v>154414</v>
      </c>
      <c r="BU55" s="207">
        <v>415752.7127668068</v>
      </c>
      <c r="BV55" s="207">
        <v>24771.699430695844</v>
      </c>
      <c r="BW55" s="207">
        <v>66604.4829469826</v>
      </c>
      <c r="BX55" s="207">
        <v>225061.96261168466</v>
      </c>
      <c r="BY55" s="207">
        <v>273299.08005427447</v>
      </c>
      <c r="BZ55" s="207">
        <v>416617.9246992255</v>
      </c>
      <c r="CA55" s="207">
        <v>135404.7667914273</v>
      </c>
      <c r="CB55" s="207">
        <v>238022.65096683003</v>
      </c>
      <c r="CC55" s="207">
        <v>433.53</v>
      </c>
      <c r="CD55" s="207">
        <v>38822.141898413305</v>
      </c>
      <c r="CE55" s="207">
        <v>208190.74</v>
      </c>
      <c r="CF55" s="207">
        <v>3223426.7859966317</v>
      </c>
      <c r="CG55" s="207">
        <v>2384124.7086902466</v>
      </c>
      <c r="CH55" s="207">
        <v>0</v>
      </c>
      <c r="CI55" s="207">
        <v>4673295.500352801</v>
      </c>
      <c r="CJ55" s="207">
        <v>-220011</v>
      </c>
      <c r="CK55" s="207">
        <v>0</v>
      </c>
      <c r="CL55" s="207">
        <v>0</v>
      </c>
      <c r="CM55" s="207">
        <v>-137481.54109999997</v>
      </c>
      <c r="CN55" s="207">
        <v>20319401.00924866</v>
      </c>
      <c r="CO55" s="207">
        <v>20181919.46814866</v>
      </c>
      <c r="CP55" s="207">
        <v>4938</v>
      </c>
    </row>
    <row r="56" spans="1:94" ht="9.75">
      <c r="A56" s="175">
        <v>177</v>
      </c>
      <c r="B56" s="175" t="s">
        <v>113</v>
      </c>
      <c r="C56" s="207">
        <v>1904</v>
      </c>
      <c r="D56" s="207">
        <v>7046784.09</v>
      </c>
      <c r="E56" s="207">
        <v>2298200.4860417633</v>
      </c>
      <c r="F56" s="207">
        <v>431312.49762988306</v>
      </c>
      <c r="G56" s="207">
        <v>9776297.073671646</v>
      </c>
      <c r="H56" s="207">
        <v>3524.51</v>
      </c>
      <c r="I56" s="207">
        <v>6710667.04</v>
      </c>
      <c r="J56" s="207">
        <v>3065630.0336716464</v>
      </c>
      <c r="K56" s="207">
        <v>75544.64784707632</v>
      </c>
      <c r="L56" s="207">
        <v>809302.5513933913</v>
      </c>
      <c r="M56" s="207">
        <v>0</v>
      </c>
      <c r="N56" s="207">
        <v>3950477.232912114</v>
      </c>
      <c r="O56" s="207">
        <v>886926.6091577309</v>
      </c>
      <c r="P56" s="207">
        <v>4837403.842069845</v>
      </c>
      <c r="Q56" s="207">
        <v>108</v>
      </c>
      <c r="R56" s="207">
        <v>20</v>
      </c>
      <c r="S56" s="207">
        <v>124</v>
      </c>
      <c r="T56" s="207">
        <v>72</v>
      </c>
      <c r="U56" s="207">
        <v>52</v>
      </c>
      <c r="V56" s="207">
        <v>956</v>
      </c>
      <c r="W56" s="207">
        <v>315</v>
      </c>
      <c r="X56" s="207">
        <v>182</v>
      </c>
      <c r="Y56" s="207">
        <v>75</v>
      </c>
      <c r="Z56" s="207">
        <v>2</v>
      </c>
      <c r="AA56" s="207">
        <v>0</v>
      </c>
      <c r="AB56" s="207">
        <v>1885</v>
      </c>
      <c r="AC56" s="207">
        <v>17</v>
      </c>
      <c r="AD56" s="207">
        <v>572</v>
      </c>
      <c r="AE56" s="207">
        <v>1.064999135675098</v>
      </c>
      <c r="AF56" s="207">
        <v>2298200.4860417633</v>
      </c>
      <c r="AG56" s="207">
        <v>12904378.662787732</v>
      </c>
      <c r="AH56" s="207">
        <v>3230364.1573438654</v>
      </c>
      <c r="AI56" s="207">
        <v>1170447.5115200856</v>
      </c>
      <c r="AJ56" s="207">
        <v>90</v>
      </c>
      <c r="AK56" s="207">
        <v>862</v>
      </c>
      <c r="AL56" s="207">
        <v>0.9023177690661952</v>
      </c>
      <c r="AM56" s="207">
        <v>17</v>
      </c>
      <c r="AN56" s="207">
        <v>0.008928571428571428</v>
      </c>
      <c r="AO56" s="207">
        <v>0.003987859966120835</v>
      </c>
      <c r="AP56" s="207">
        <v>0</v>
      </c>
      <c r="AQ56" s="207">
        <v>2</v>
      </c>
      <c r="AR56" s="207">
        <v>0</v>
      </c>
      <c r="AS56" s="207">
        <v>0</v>
      </c>
      <c r="AT56" s="207">
        <v>0</v>
      </c>
      <c r="AU56" s="207">
        <v>258.5</v>
      </c>
      <c r="AV56" s="207">
        <v>7.365570599613153</v>
      </c>
      <c r="AW56" s="207">
        <v>2.462243987105563</v>
      </c>
      <c r="AX56" s="207">
        <v>92</v>
      </c>
      <c r="AY56" s="207">
        <v>521</v>
      </c>
      <c r="AZ56" s="207">
        <v>0.1765834932821497</v>
      </c>
      <c r="BA56" s="207">
        <v>0.1153996571979152</v>
      </c>
      <c r="BB56" s="207">
        <v>0</v>
      </c>
      <c r="BC56" s="207">
        <v>732</v>
      </c>
      <c r="BD56" s="207">
        <v>711</v>
      </c>
      <c r="BE56" s="207">
        <v>1.029535864978903</v>
      </c>
      <c r="BF56" s="207">
        <v>0.62062898238781</v>
      </c>
      <c r="BG56" s="207">
        <v>0</v>
      </c>
      <c r="BH56" s="207">
        <v>0</v>
      </c>
      <c r="BI56" s="207">
        <v>0</v>
      </c>
      <c r="BJ56" s="207">
        <v>-456.96</v>
      </c>
      <c r="BK56" s="207">
        <v>-7806.4</v>
      </c>
      <c r="BL56" s="207">
        <v>-533.12</v>
      </c>
      <c r="BM56" s="207">
        <v>-742.5600000000001</v>
      </c>
      <c r="BN56" s="207">
        <v>-38.08</v>
      </c>
      <c r="BO56" s="207">
        <v>74543</v>
      </c>
      <c r="BP56" s="207">
        <v>-16970.928808374752</v>
      </c>
      <c r="BQ56" s="207">
        <v>-172673.76</v>
      </c>
      <c r="BR56" s="207">
        <v>63092.34340299107</v>
      </c>
      <c r="BS56" s="207">
        <v>184962</v>
      </c>
      <c r="BT56" s="207">
        <v>59201</v>
      </c>
      <c r="BU56" s="207">
        <v>142388.02164284655</v>
      </c>
      <c r="BV56" s="207">
        <v>7441.130700675454</v>
      </c>
      <c r="BW56" s="207">
        <v>16358.817618945292</v>
      </c>
      <c r="BX56" s="207">
        <v>62158.934686852546</v>
      </c>
      <c r="BY56" s="207">
        <v>102466.6999239395</v>
      </c>
      <c r="BZ56" s="207">
        <v>189943.87181631447</v>
      </c>
      <c r="CA56" s="207">
        <v>45709.12819189026</v>
      </c>
      <c r="CB56" s="207">
        <v>86024.32833867977</v>
      </c>
      <c r="CC56" s="207">
        <v>171.35999999999999</v>
      </c>
      <c r="CD56" s="207">
        <v>-5277.876121368623</v>
      </c>
      <c r="CE56" s="207">
        <v>82290.88</v>
      </c>
      <c r="CF56" s="207">
        <v>1111473.640201766</v>
      </c>
      <c r="CG56" s="207">
        <v>809302.5513933913</v>
      </c>
      <c r="CH56" s="207">
        <v>0</v>
      </c>
      <c r="CI56" s="207">
        <v>886926.6091577309</v>
      </c>
      <c r="CJ56" s="207">
        <v>-424444</v>
      </c>
      <c r="CK56" s="207">
        <v>0</v>
      </c>
      <c r="CL56" s="207">
        <v>0</v>
      </c>
      <c r="CM56" s="207">
        <v>31614.8143</v>
      </c>
      <c r="CN56" s="207">
        <v>4412959.842069845</v>
      </c>
      <c r="CO56" s="207">
        <v>4444574.656369844</v>
      </c>
      <c r="CP56" s="207">
        <v>1957</v>
      </c>
    </row>
    <row r="57" spans="1:94" ht="9.75">
      <c r="A57" s="175">
        <v>178</v>
      </c>
      <c r="B57" s="175" t="s">
        <v>114</v>
      </c>
      <c r="C57" s="207">
        <v>6334</v>
      </c>
      <c r="D57" s="207">
        <v>22707206.6</v>
      </c>
      <c r="E57" s="207">
        <v>11366571.527451873</v>
      </c>
      <c r="F57" s="207">
        <v>1758413.0964208</v>
      </c>
      <c r="G57" s="207">
        <v>35832191.22387268</v>
      </c>
      <c r="H57" s="207">
        <v>3524.51</v>
      </c>
      <c r="I57" s="207">
        <v>22324246.34</v>
      </c>
      <c r="J57" s="207">
        <v>13507944.883872677</v>
      </c>
      <c r="K57" s="207">
        <v>775867.038982934</v>
      </c>
      <c r="L57" s="207">
        <v>2483449.1669082697</v>
      </c>
      <c r="M57" s="207">
        <v>0</v>
      </c>
      <c r="N57" s="207">
        <v>16767261.08976388</v>
      </c>
      <c r="O57" s="207">
        <v>5067023.016449642</v>
      </c>
      <c r="P57" s="207">
        <v>21834284.10621352</v>
      </c>
      <c r="Q57" s="207">
        <v>266</v>
      </c>
      <c r="R57" s="207">
        <v>58</v>
      </c>
      <c r="S57" s="207">
        <v>323</v>
      </c>
      <c r="T57" s="207">
        <v>181</v>
      </c>
      <c r="U57" s="207">
        <v>199</v>
      </c>
      <c r="V57" s="207">
        <v>3232</v>
      </c>
      <c r="W57" s="207">
        <v>1103</v>
      </c>
      <c r="X57" s="207">
        <v>679</v>
      </c>
      <c r="Y57" s="207">
        <v>293</v>
      </c>
      <c r="Z57" s="207">
        <v>19</v>
      </c>
      <c r="AA57" s="207">
        <v>0</v>
      </c>
      <c r="AB57" s="207">
        <v>6139</v>
      </c>
      <c r="AC57" s="207">
        <v>176</v>
      </c>
      <c r="AD57" s="207">
        <v>2075</v>
      </c>
      <c r="AE57" s="207">
        <v>1.5833601753369797</v>
      </c>
      <c r="AF57" s="207">
        <v>11366571.527451873</v>
      </c>
      <c r="AG57" s="207">
        <v>3101066.912002185</v>
      </c>
      <c r="AH57" s="207">
        <v>611725.2042369465</v>
      </c>
      <c r="AI57" s="207">
        <v>205498.41805314485</v>
      </c>
      <c r="AJ57" s="207">
        <v>278</v>
      </c>
      <c r="AK57" s="207">
        <v>2762</v>
      </c>
      <c r="AL57" s="207">
        <v>0.8698520432373753</v>
      </c>
      <c r="AM57" s="207">
        <v>176</v>
      </c>
      <c r="AN57" s="207">
        <v>0.02778654878433849</v>
      </c>
      <c r="AO57" s="207">
        <v>0.0228458373218879</v>
      </c>
      <c r="AP57" s="207">
        <v>0</v>
      </c>
      <c r="AQ57" s="207">
        <v>19</v>
      </c>
      <c r="AR57" s="207">
        <v>0</v>
      </c>
      <c r="AS57" s="207">
        <v>0</v>
      </c>
      <c r="AT57" s="207">
        <v>0</v>
      </c>
      <c r="AU57" s="207">
        <v>1163.18</v>
      </c>
      <c r="AV57" s="207">
        <v>5.445416874430441</v>
      </c>
      <c r="AW57" s="207">
        <v>3.330476314064734</v>
      </c>
      <c r="AX57" s="207">
        <v>221</v>
      </c>
      <c r="AY57" s="207">
        <v>1610</v>
      </c>
      <c r="AZ57" s="207">
        <v>0.1372670807453416</v>
      </c>
      <c r="BA57" s="207">
        <v>0.07608324466110711</v>
      </c>
      <c r="BB57" s="207">
        <v>0.4344</v>
      </c>
      <c r="BC57" s="207">
        <v>2101</v>
      </c>
      <c r="BD57" s="207">
        <v>2351</v>
      </c>
      <c r="BE57" s="207">
        <v>0.8936622713738834</v>
      </c>
      <c r="BF57" s="207">
        <v>0.48475538878279034</v>
      </c>
      <c r="BG57" s="207">
        <v>0</v>
      </c>
      <c r="BH57" s="207">
        <v>0</v>
      </c>
      <c r="BI57" s="207">
        <v>0</v>
      </c>
      <c r="BJ57" s="207">
        <v>-1520.1599999999999</v>
      </c>
      <c r="BK57" s="207">
        <v>-25969.399999999998</v>
      </c>
      <c r="BL57" s="207">
        <v>-1773.5200000000002</v>
      </c>
      <c r="BM57" s="207">
        <v>-2470.26</v>
      </c>
      <c r="BN57" s="207">
        <v>-126.68</v>
      </c>
      <c r="BO57" s="207">
        <v>-95379</v>
      </c>
      <c r="BP57" s="207">
        <v>-122080.48551589681</v>
      </c>
      <c r="BQ57" s="207">
        <v>-574430.46</v>
      </c>
      <c r="BR57" s="207">
        <v>90682.62796044722</v>
      </c>
      <c r="BS57" s="207">
        <v>705473</v>
      </c>
      <c r="BT57" s="207">
        <v>224298</v>
      </c>
      <c r="BU57" s="207">
        <v>573341.1841903866</v>
      </c>
      <c r="BV57" s="207">
        <v>29992.922592651285</v>
      </c>
      <c r="BW57" s="207">
        <v>63985.8973245744</v>
      </c>
      <c r="BX57" s="207">
        <v>254616.91607701505</v>
      </c>
      <c r="BY57" s="207">
        <v>373516.89299610566</v>
      </c>
      <c r="BZ57" s="207">
        <v>589182.0301147826</v>
      </c>
      <c r="CA57" s="207">
        <v>195151.42496183366</v>
      </c>
      <c r="CB57" s="207">
        <v>321168.96614469704</v>
      </c>
      <c r="CC57" s="207">
        <v>570.06</v>
      </c>
      <c r="CD57" s="207">
        <v>-46056.889938327506</v>
      </c>
      <c r="CE57" s="207">
        <v>273755.48</v>
      </c>
      <c r="CF57" s="207">
        <v>3554299.5124241663</v>
      </c>
      <c r="CG57" s="207">
        <v>2483449.1669082697</v>
      </c>
      <c r="CH57" s="207">
        <v>0</v>
      </c>
      <c r="CI57" s="207">
        <v>5067023.016449642</v>
      </c>
      <c r="CJ57" s="207">
        <v>-670927</v>
      </c>
      <c r="CK57" s="207">
        <v>0</v>
      </c>
      <c r="CL57" s="207">
        <v>0</v>
      </c>
      <c r="CM57" s="207">
        <v>-30981.197979999997</v>
      </c>
      <c r="CN57" s="207">
        <v>21163357.10621352</v>
      </c>
      <c r="CO57" s="207">
        <v>21132375.90823352</v>
      </c>
      <c r="CP57" s="207">
        <v>6421</v>
      </c>
    </row>
    <row r="58" spans="1:94" ht="9.75">
      <c r="A58" s="175">
        <v>179</v>
      </c>
      <c r="B58" s="175" t="s">
        <v>115</v>
      </c>
      <c r="C58" s="207">
        <v>140188</v>
      </c>
      <c r="D58" s="207">
        <v>432103063.05</v>
      </c>
      <c r="E58" s="207">
        <v>153638400.2462236</v>
      </c>
      <c r="F58" s="207">
        <v>29829460.246672664</v>
      </c>
      <c r="G58" s="207">
        <v>615570923.5428963</v>
      </c>
      <c r="H58" s="207">
        <v>3524.51</v>
      </c>
      <c r="I58" s="207">
        <v>494094007.88000005</v>
      </c>
      <c r="J58" s="207">
        <v>121476915.66289622</v>
      </c>
      <c r="K58" s="207">
        <v>5919458.78127924</v>
      </c>
      <c r="L58" s="207">
        <v>22139056.97529468</v>
      </c>
      <c r="M58" s="207">
        <v>0</v>
      </c>
      <c r="N58" s="207">
        <v>149535431.41947013</v>
      </c>
      <c r="O58" s="207">
        <v>45992992.17518738</v>
      </c>
      <c r="P58" s="207">
        <v>195528423.5946575</v>
      </c>
      <c r="Q58" s="207">
        <v>8789</v>
      </c>
      <c r="R58" s="207">
        <v>1565</v>
      </c>
      <c r="S58" s="207">
        <v>9104</v>
      </c>
      <c r="T58" s="207">
        <v>4113</v>
      </c>
      <c r="U58" s="207">
        <v>4291</v>
      </c>
      <c r="V58" s="207">
        <v>87520</v>
      </c>
      <c r="W58" s="207">
        <v>14497</v>
      </c>
      <c r="X58" s="207">
        <v>7326</v>
      </c>
      <c r="Y58" s="207">
        <v>2983</v>
      </c>
      <c r="Z58" s="207">
        <v>295</v>
      </c>
      <c r="AA58" s="207">
        <v>13</v>
      </c>
      <c r="AB58" s="207">
        <v>132976</v>
      </c>
      <c r="AC58" s="207">
        <v>6904</v>
      </c>
      <c r="AD58" s="207">
        <v>24806</v>
      </c>
      <c r="AE58" s="207">
        <v>0.9669794034118979</v>
      </c>
      <c r="AF58" s="207">
        <v>153638400.2462236</v>
      </c>
      <c r="AG58" s="207">
        <v>13279312.468461791</v>
      </c>
      <c r="AH58" s="207">
        <v>4921315.337097272</v>
      </c>
      <c r="AI58" s="207">
        <v>1027492.0902657241</v>
      </c>
      <c r="AJ58" s="207">
        <v>9706</v>
      </c>
      <c r="AK58" s="207">
        <v>67904</v>
      </c>
      <c r="AL58" s="207">
        <v>1.2352907669932218</v>
      </c>
      <c r="AM58" s="207">
        <v>6904</v>
      </c>
      <c r="AN58" s="207">
        <v>0.04924815248095415</v>
      </c>
      <c r="AO58" s="207">
        <v>0.044307441018503556</v>
      </c>
      <c r="AP58" s="207">
        <v>0</v>
      </c>
      <c r="AQ58" s="207">
        <v>295</v>
      </c>
      <c r="AR58" s="207">
        <v>13</v>
      </c>
      <c r="AS58" s="207">
        <v>3</v>
      </c>
      <c r="AT58" s="207">
        <v>480</v>
      </c>
      <c r="AU58" s="207">
        <v>1170.97</v>
      </c>
      <c r="AV58" s="207">
        <v>119.71954875018147</v>
      </c>
      <c r="AW58" s="207">
        <v>0.15148596958332178</v>
      </c>
      <c r="AX58" s="207">
        <v>4029</v>
      </c>
      <c r="AY58" s="207">
        <v>42951</v>
      </c>
      <c r="AZ58" s="207">
        <v>0.09380456799608856</v>
      </c>
      <c r="BA58" s="207">
        <v>0.03262073191185407</v>
      </c>
      <c r="BB58" s="207">
        <v>0</v>
      </c>
      <c r="BC58" s="207">
        <v>60992</v>
      </c>
      <c r="BD58" s="207">
        <v>57034</v>
      </c>
      <c r="BE58" s="207">
        <v>1.0693972016691797</v>
      </c>
      <c r="BF58" s="207">
        <v>0.6604903190780866</v>
      </c>
      <c r="BG58" s="207">
        <v>0</v>
      </c>
      <c r="BH58" s="207">
        <v>13</v>
      </c>
      <c r="BI58" s="207">
        <v>0</v>
      </c>
      <c r="BJ58" s="207">
        <v>-33645.119999999995</v>
      </c>
      <c r="BK58" s="207">
        <v>-574770.7999999999</v>
      </c>
      <c r="BL58" s="207">
        <v>-39252.64000000001</v>
      </c>
      <c r="BM58" s="207">
        <v>-54673.32</v>
      </c>
      <c r="BN58" s="207">
        <v>-2803.76</v>
      </c>
      <c r="BO58" s="207">
        <v>802550</v>
      </c>
      <c r="BP58" s="207">
        <v>-15449041.77316456</v>
      </c>
      <c r="BQ58" s="207">
        <v>-12713649.719999999</v>
      </c>
      <c r="BR58" s="207">
        <v>1194022.427228272</v>
      </c>
      <c r="BS58" s="207">
        <v>8785583</v>
      </c>
      <c r="BT58" s="207">
        <v>3161859</v>
      </c>
      <c r="BU58" s="207">
        <v>7430869.090428259</v>
      </c>
      <c r="BV58" s="207">
        <v>300591.73226042686</v>
      </c>
      <c r="BW58" s="207">
        <v>289311.7897391442</v>
      </c>
      <c r="BX58" s="207">
        <v>3241992.4344182685</v>
      </c>
      <c r="BY58" s="207">
        <v>6842359.596594489</v>
      </c>
      <c r="BZ58" s="207">
        <v>9234603.101677883</v>
      </c>
      <c r="CA58" s="207">
        <v>3555495.819735662</v>
      </c>
      <c r="CB58" s="207">
        <v>5933426.192848912</v>
      </c>
      <c r="CC58" s="207">
        <v>12616.92</v>
      </c>
      <c r="CD58" s="207">
        <v>1742652.803527923</v>
      </c>
      <c r="CE58" s="207">
        <v>6058925.359999999</v>
      </c>
      <c r="CF58" s="207">
        <v>58586859.26845924</v>
      </c>
      <c r="CG58" s="207">
        <v>22139056.97529468</v>
      </c>
      <c r="CH58" s="207">
        <v>0</v>
      </c>
      <c r="CI58" s="207">
        <v>45992992.17518738</v>
      </c>
      <c r="CJ58" s="207">
        <v>-21929764</v>
      </c>
      <c r="CK58" s="207">
        <v>0</v>
      </c>
      <c r="CL58" s="207">
        <v>0</v>
      </c>
      <c r="CM58" s="207">
        <v>-9354977.995347995</v>
      </c>
      <c r="CN58" s="207">
        <v>173598659.5946575</v>
      </c>
      <c r="CO58" s="207">
        <v>164243681.5993095</v>
      </c>
      <c r="CP58" s="207">
        <v>138850</v>
      </c>
    </row>
    <row r="59" spans="1:94" ht="9.75">
      <c r="A59" s="175">
        <v>181</v>
      </c>
      <c r="B59" s="175" t="s">
        <v>116</v>
      </c>
      <c r="C59" s="207">
        <v>1867</v>
      </c>
      <c r="D59" s="207">
        <v>6982295.74</v>
      </c>
      <c r="E59" s="207">
        <v>2084770.1463605461</v>
      </c>
      <c r="F59" s="207">
        <v>386281.4916651052</v>
      </c>
      <c r="G59" s="207">
        <v>9453347.378025651</v>
      </c>
      <c r="H59" s="207">
        <v>3524.51</v>
      </c>
      <c r="I59" s="207">
        <v>6580260.170000001</v>
      </c>
      <c r="J59" s="207">
        <v>2873087.20802565</v>
      </c>
      <c r="K59" s="207">
        <v>31219.56033075942</v>
      </c>
      <c r="L59" s="207">
        <v>951941.2431266162</v>
      </c>
      <c r="M59" s="207">
        <v>0</v>
      </c>
      <c r="N59" s="207">
        <v>3856248.0114830257</v>
      </c>
      <c r="O59" s="207">
        <v>1951441.6254984702</v>
      </c>
      <c r="P59" s="207">
        <v>5807689.636981496</v>
      </c>
      <c r="Q59" s="207">
        <v>112</v>
      </c>
      <c r="R59" s="207">
        <v>15</v>
      </c>
      <c r="S59" s="207">
        <v>108</v>
      </c>
      <c r="T59" s="207">
        <v>64</v>
      </c>
      <c r="U59" s="207">
        <v>71</v>
      </c>
      <c r="V59" s="207">
        <v>949</v>
      </c>
      <c r="W59" s="207">
        <v>300</v>
      </c>
      <c r="X59" s="207">
        <v>160</v>
      </c>
      <c r="Y59" s="207">
        <v>88</v>
      </c>
      <c r="Z59" s="207">
        <v>3</v>
      </c>
      <c r="AA59" s="207">
        <v>0</v>
      </c>
      <c r="AB59" s="207">
        <v>1830</v>
      </c>
      <c r="AC59" s="207">
        <v>34</v>
      </c>
      <c r="AD59" s="207">
        <v>548</v>
      </c>
      <c r="AE59" s="207">
        <v>0.9852402565125177</v>
      </c>
      <c r="AF59" s="207">
        <v>2084770.1463605461</v>
      </c>
      <c r="AG59" s="207">
        <v>186971939.73082402</v>
      </c>
      <c r="AH59" s="207">
        <v>43774804.85739456</v>
      </c>
      <c r="AI59" s="207">
        <v>21568399.18175181</v>
      </c>
      <c r="AJ59" s="207">
        <v>66</v>
      </c>
      <c r="AK59" s="207">
        <v>796</v>
      </c>
      <c r="AL59" s="207">
        <v>0.7165642450825513</v>
      </c>
      <c r="AM59" s="207">
        <v>34</v>
      </c>
      <c r="AN59" s="207">
        <v>0.01821103374397429</v>
      </c>
      <c r="AO59" s="207">
        <v>0.013270322281523698</v>
      </c>
      <c r="AP59" s="207">
        <v>0</v>
      </c>
      <c r="AQ59" s="207">
        <v>3</v>
      </c>
      <c r="AR59" s="207">
        <v>0</v>
      </c>
      <c r="AS59" s="207">
        <v>0</v>
      </c>
      <c r="AT59" s="207">
        <v>0</v>
      </c>
      <c r="AU59" s="207">
        <v>214.37</v>
      </c>
      <c r="AV59" s="207">
        <v>8.7092410318608</v>
      </c>
      <c r="AW59" s="207">
        <v>2.082366517834693</v>
      </c>
      <c r="AX59" s="207">
        <v>78</v>
      </c>
      <c r="AY59" s="207">
        <v>487</v>
      </c>
      <c r="AZ59" s="207">
        <v>0.1601642710472279</v>
      </c>
      <c r="BA59" s="207">
        <v>0.09898043496299341</v>
      </c>
      <c r="BB59" s="207">
        <v>0</v>
      </c>
      <c r="BC59" s="207">
        <v>470</v>
      </c>
      <c r="BD59" s="207">
        <v>701</v>
      </c>
      <c r="BE59" s="207">
        <v>0.6704707560627675</v>
      </c>
      <c r="BF59" s="207">
        <v>0.2615638734716744</v>
      </c>
      <c r="BG59" s="207">
        <v>0</v>
      </c>
      <c r="BH59" s="207">
        <v>0</v>
      </c>
      <c r="BI59" s="207">
        <v>0</v>
      </c>
      <c r="BJ59" s="207">
        <v>-448.08</v>
      </c>
      <c r="BK59" s="207">
        <v>-7654.699999999999</v>
      </c>
      <c r="BL59" s="207">
        <v>-522.7600000000001</v>
      </c>
      <c r="BM59" s="207">
        <v>-728.13</v>
      </c>
      <c r="BN59" s="207">
        <v>-37.34</v>
      </c>
      <c r="BO59" s="207">
        <v>110216</v>
      </c>
      <c r="BP59" s="207">
        <v>2544.9745002842365</v>
      </c>
      <c r="BQ59" s="207">
        <v>-169318.22999999998</v>
      </c>
      <c r="BR59" s="207">
        <v>3841.2930621225387</v>
      </c>
      <c r="BS59" s="207">
        <v>217242</v>
      </c>
      <c r="BT59" s="207">
        <v>62326</v>
      </c>
      <c r="BU59" s="207">
        <v>163679.80649145006</v>
      </c>
      <c r="BV59" s="207">
        <v>9322.772986339844</v>
      </c>
      <c r="BW59" s="207">
        <v>20546.144547529064</v>
      </c>
      <c r="BX59" s="207">
        <v>83560.39822784677</v>
      </c>
      <c r="BY59" s="207">
        <v>128322.02545125858</v>
      </c>
      <c r="BZ59" s="207">
        <v>196867.21888913724</v>
      </c>
      <c r="CA59" s="207">
        <v>55474.804142205925</v>
      </c>
      <c r="CB59" s="207">
        <v>100521.38449145175</v>
      </c>
      <c r="CC59" s="207">
        <v>168.03</v>
      </c>
      <c r="CD59" s="207">
        <v>-3725.4196630100014</v>
      </c>
      <c r="CE59" s="207">
        <v>80691.73999999999</v>
      </c>
      <c r="CF59" s="207">
        <v>1229054.198626332</v>
      </c>
      <c r="CG59" s="207">
        <v>951941.2431266162</v>
      </c>
      <c r="CH59" s="207">
        <v>0</v>
      </c>
      <c r="CI59" s="207">
        <v>1951441.6254984702</v>
      </c>
      <c r="CJ59" s="207">
        <v>-379397</v>
      </c>
      <c r="CK59" s="207">
        <v>0</v>
      </c>
      <c r="CL59" s="207">
        <v>0</v>
      </c>
      <c r="CM59" s="207">
        <v>-88508.27970000001</v>
      </c>
      <c r="CN59" s="207">
        <v>5428292.636981496</v>
      </c>
      <c r="CO59" s="207">
        <v>5339784.357281496</v>
      </c>
      <c r="CP59" s="207">
        <v>1915</v>
      </c>
    </row>
    <row r="60" spans="1:94" ht="9.75">
      <c r="A60" s="175">
        <v>182</v>
      </c>
      <c r="B60" s="175" t="s">
        <v>117</v>
      </c>
      <c r="C60" s="207">
        <v>20877</v>
      </c>
      <c r="D60" s="207">
        <v>72586740.24</v>
      </c>
      <c r="E60" s="207">
        <v>31388377.914278958</v>
      </c>
      <c r="F60" s="207">
        <v>4377743.628483939</v>
      </c>
      <c r="G60" s="207">
        <v>108352861.78276289</v>
      </c>
      <c r="H60" s="207">
        <v>3524.51</v>
      </c>
      <c r="I60" s="207">
        <v>73581195.27000001</v>
      </c>
      <c r="J60" s="207">
        <v>34771666.512762874</v>
      </c>
      <c r="K60" s="207">
        <v>813731.8724841102</v>
      </c>
      <c r="L60" s="207">
        <v>5301515.985632157</v>
      </c>
      <c r="M60" s="207">
        <v>0</v>
      </c>
      <c r="N60" s="207">
        <v>40886914.37087914</v>
      </c>
      <c r="O60" s="207">
        <v>3525694.3914590506</v>
      </c>
      <c r="P60" s="207">
        <v>44412608.76233819</v>
      </c>
      <c r="Q60" s="207">
        <v>934</v>
      </c>
      <c r="R60" s="207">
        <v>199</v>
      </c>
      <c r="S60" s="207">
        <v>1249</v>
      </c>
      <c r="T60" s="207">
        <v>662</v>
      </c>
      <c r="U60" s="207">
        <v>744</v>
      </c>
      <c r="V60" s="207">
        <v>10950</v>
      </c>
      <c r="W60" s="207">
        <v>3422</v>
      </c>
      <c r="X60" s="207">
        <v>1940</v>
      </c>
      <c r="Y60" s="207">
        <v>777</v>
      </c>
      <c r="Z60" s="207">
        <v>33</v>
      </c>
      <c r="AA60" s="207">
        <v>1</v>
      </c>
      <c r="AB60" s="207">
        <v>20443</v>
      </c>
      <c r="AC60" s="207">
        <v>400</v>
      </c>
      <c r="AD60" s="207">
        <v>6139</v>
      </c>
      <c r="AE60" s="207">
        <v>1.3265666314796847</v>
      </c>
      <c r="AF60" s="207">
        <v>31388377.914278958</v>
      </c>
      <c r="AG60" s="207">
        <v>2971173.5543982126</v>
      </c>
      <c r="AH60" s="207">
        <v>717910.2978873883</v>
      </c>
      <c r="AI60" s="207">
        <v>223367.84570994007</v>
      </c>
      <c r="AJ60" s="207">
        <v>1351</v>
      </c>
      <c r="AK60" s="207">
        <v>9429</v>
      </c>
      <c r="AL60" s="207">
        <v>1.2382660889917234</v>
      </c>
      <c r="AM60" s="207">
        <v>400</v>
      </c>
      <c r="AN60" s="207">
        <v>0.019159840973319922</v>
      </c>
      <c r="AO60" s="207">
        <v>0.01421912951086933</v>
      </c>
      <c r="AP60" s="207">
        <v>0</v>
      </c>
      <c r="AQ60" s="207">
        <v>33</v>
      </c>
      <c r="AR60" s="207">
        <v>1</v>
      </c>
      <c r="AS60" s="207">
        <v>0</v>
      </c>
      <c r="AT60" s="207">
        <v>0</v>
      </c>
      <c r="AU60" s="207">
        <v>1571.37</v>
      </c>
      <c r="AV60" s="207">
        <v>13.285858836556637</v>
      </c>
      <c r="AW60" s="207">
        <v>1.3650477657189497</v>
      </c>
      <c r="AX60" s="207">
        <v>669</v>
      </c>
      <c r="AY60" s="207">
        <v>5797</v>
      </c>
      <c r="AZ60" s="207">
        <v>0.11540451957909263</v>
      </c>
      <c r="BA60" s="207">
        <v>0.05422068349485814</v>
      </c>
      <c r="BB60" s="207">
        <v>0</v>
      </c>
      <c r="BC60" s="207">
        <v>7778</v>
      </c>
      <c r="BD60" s="207">
        <v>7636</v>
      </c>
      <c r="BE60" s="207">
        <v>1.0185961236249346</v>
      </c>
      <c r="BF60" s="207">
        <v>0.6096892410338415</v>
      </c>
      <c r="BG60" s="207">
        <v>0</v>
      </c>
      <c r="BH60" s="207">
        <v>1</v>
      </c>
      <c r="BI60" s="207">
        <v>0</v>
      </c>
      <c r="BJ60" s="207">
        <v>-5010.48</v>
      </c>
      <c r="BK60" s="207">
        <v>-85595.7</v>
      </c>
      <c r="BL60" s="207">
        <v>-5845.56</v>
      </c>
      <c r="BM60" s="207">
        <v>-8142.030000000001</v>
      </c>
      <c r="BN60" s="207">
        <v>-417.54</v>
      </c>
      <c r="BO60" s="207">
        <v>679529</v>
      </c>
      <c r="BP60" s="207">
        <v>-1058668.921180956</v>
      </c>
      <c r="BQ60" s="207">
        <v>-1893335.13</v>
      </c>
      <c r="BR60" s="207">
        <v>-265582.5474530235</v>
      </c>
      <c r="BS60" s="207">
        <v>1709403</v>
      </c>
      <c r="BT60" s="207">
        <v>519708</v>
      </c>
      <c r="BU60" s="207">
        <v>1219725.933246363</v>
      </c>
      <c r="BV60" s="207">
        <v>52030.81360531352</v>
      </c>
      <c r="BW60" s="207">
        <v>106519.75003969</v>
      </c>
      <c r="BX60" s="207">
        <v>662484.2833680044</v>
      </c>
      <c r="BY60" s="207">
        <v>949791.640446603</v>
      </c>
      <c r="BZ60" s="207">
        <v>1573152.60032277</v>
      </c>
      <c r="CA60" s="207">
        <v>463806.8679394927</v>
      </c>
      <c r="CB60" s="207">
        <v>847753.7983554073</v>
      </c>
      <c r="CC60" s="207">
        <v>1878.9299999999998</v>
      </c>
      <c r="CD60" s="207">
        <v>64844.726942492125</v>
      </c>
      <c r="CE60" s="207">
        <v>902303.94</v>
      </c>
      <c r="CF60" s="207">
        <v>9487350.736813113</v>
      </c>
      <c r="CG60" s="207">
        <v>5301515.985632157</v>
      </c>
      <c r="CH60" s="207">
        <v>0</v>
      </c>
      <c r="CI60" s="207">
        <v>3525694.3914590506</v>
      </c>
      <c r="CJ60" s="207">
        <v>-1869827</v>
      </c>
      <c r="CK60" s="207">
        <v>0</v>
      </c>
      <c r="CL60" s="207">
        <v>0</v>
      </c>
      <c r="CM60" s="207">
        <v>-49646.47873999993</v>
      </c>
      <c r="CN60" s="207">
        <v>42542781.76233819</v>
      </c>
      <c r="CO60" s="207">
        <v>42493135.28359819</v>
      </c>
      <c r="CP60" s="207">
        <v>21259</v>
      </c>
    </row>
    <row r="61" spans="1:94" ht="9.75">
      <c r="A61" s="175">
        <v>186</v>
      </c>
      <c r="B61" s="175" t="s">
        <v>118</v>
      </c>
      <c r="C61" s="207">
        <v>42572</v>
      </c>
      <c r="D61" s="207">
        <v>131908052.65</v>
      </c>
      <c r="E61" s="207">
        <v>42136495.85050797</v>
      </c>
      <c r="F61" s="207">
        <v>8276653.427991453</v>
      </c>
      <c r="G61" s="207">
        <v>182321201.92849943</v>
      </c>
      <c r="H61" s="207">
        <v>3524.51</v>
      </c>
      <c r="I61" s="207">
        <v>150045439.72</v>
      </c>
      <c r="J61" s="207">
        <v>32275762.20849943</v>
      </c>
      <c r="K61" s="207">
        <v>676328.5784032822</v>
      </c>
      <c r="L61" s="207">
        <v>2664152.7404948343</v>
      </c>
      <c r="M61" s="207">
        <v>0</v>
      </c>
      <c r="N61" s="207">
        <v>35616243.52739755</v>
      </c>
      <c r="O61" s="207">
        <v>-5639365.897119062</v>
      </c>
      <c r="P61" s="207">
        <v>29976877.63027849</v>
      </c>
      <c r="Q61" s="207">
        <v>2892</v>
      </c>
      <c r="R61" s="207">
        <v>531</v>
      </c>
      <c r="S61" s="207">
        <v>3017</v>
      </c>
      <c r="T61" s="207">
        <v>1418</v>
      </c>
      <c r="U61" s="207">
        <v>1502</v>
      </c>
      <c r="V61" s="207">
        <v>25877</v>
      </c>
      <c r="W61" s="207">
        <v>4713</v>
      </c>
      <c r="X61" s="207">
        <v>1979</v>
      </c>
      <c r="Y61" s="207">
        <v>643</v>
      </c>
      <c r="Z61" s="207">
        <v>429</v>
      </c>
      <c r="AA61" s="207">
        <v>1</v>
      </c>
      <c r="AB61" s="207">
        <v>39910</v>
      </c>
      <c r="AC61" s="207">
        <v>2232</v>
      </c>
      <c r="AD61" s="207">
        <v>7335</v>
      </c>
      <c r="AE61" s="207">
        <v>0.873298370408603</v>
      </c>
      <c r="AF61" s="207">
        <v>42136495.85050797</v>
      </c>
      <c r="AG61" s="207">
        <v>37519518.65803101</v>
      </c>
      <c r="AH61" s="207">
        <v>12095968.138941342</v>
      </c>
      <c r="AI61" s="207">
        <v>3672167.3834714144</v>
      </c>
      <c r="AJ61" s="207">
        <v>2019</v>
      </c>
      <c r="AK61" s="207">
        <v>21418</v>
      </c>
      <c r="AL61" s="207">
        <v>0.8146699008579942</v>
      </c>
      <c r="AM61" s="207">
        <v>2232</v>
      </c>
      <c r="AN61" s="207">
        <v>0.05242882645870525</v>
      </c>
      <c r="AO61" s="207">
        <v>0.04748811499625466</v>
      </c>
      <c r="AP61" s="207">
        <v>0</v>
      </c>
      <c r="AQ61" s="207">
        <v>429</v>
      </c>
      <c r="AR61" s="207">
        <v>1</v>
      </c>
      <c r="AS61" s="207">
        <v>0</v>
      </c>
      <c r="AT61" s="207">
        <v>0</v>
      </c>
      <c r="AU61" s="207">
        <v>37.54</v>
      </c>
      <c r="AV61" s="207">
        <v>1134.0436867341502</v>
      </c>
      <c r="AW61" s="207">
        <v>0.015992181017935085</v>
      </c>
      <c r="AX61" s="207">
        <v>2032</v>
      </c>
      <c r="AY61" s="207">
        <v>14321</v>
      </c>
      <c r="AZ61" s="207">
        <v>0.14188953285385097</v>
      </c>
      <c r="BA61" s="207">
        <v>0.08070569676961648</v>
      </c>
      <c r="BB61" s="207">
        <v>0</v>
      </c>
      <c r="BC61" s="207">
        <v>12734</v>
      </c>
      <c r="BD61" s="207">
        <v>19370</v>
      </c>
      <c r="BE61" s="207">
        <v>0.6574083634486318</v>
      </c>
      <c r="BF61" s="207">
        <v>0.24850148085753876</v>
      </c>
      <c r="BG61" s="207">
        <v>0</v>
      </c>
      <c r="BH61" s="207">
        <v>1</v>
      </c>
      <c r="BI61" s="207">
        <v>0</v>
      </c>
      <c r="BJ61" s="207">
        <v>-10217.279999999999</v>
      </c>
      <c r="BK61" s="207">
        <v>-174545.19999999998</v>
      </c>
      <c r="BL61" s="207">
        <v>-11920.160000000002</v>
      </c>
      <c r="BM61" s="207">
        <v>-16603.08</v>
      </c>
      <c r="BN61" s="207">
        <v>-851.44</v>
      </c>
      <c r="BO61" s="207">
        <v>-411492</v>
      </c>
      <c r="BP61" s="207">
        <v>-4388567.940875697</v>
      </c>
      <c r="BQ61" s="207">
        <v>-3860854.6799999997</v>
      </c>
      <c r="BR61" s="207">
        <v>6565.417614400387</v>
      </c>
      <c r="BS61" s="207">
        <v>2359895</v>
      </c>
      <c r="BT61" s="207">
        <v>788024</v>
      </c>
      <c r="BU61" s="207">
        <v>1560793.0796292792</v>
      </c>
      <c r="BV61" s="207">
        <v>16432.02133447396</v>
      </c>
      <c r="BW61" s="207">
        <v>-52180.45663947103</v>
      </c>
      <c r="BX61" s="207">
        <v>532891.3765182814</v>
      </c>
      <c r="BY61" s="207">
        <v>1745645.3373874046</v>
      </c>
      <c r="BZ61" s="207">
        <v>2615186.796961021</v>
      </c>
      <c r="CA61" s="207">
        <v>832380.7624925362</v>
      </c>
      <c r="CB61" s="207">
        <v>1405740.983470449</v>
      </c>
      <c r="CC61" s="207">
        <v>3831.48</v>
      </c>
      <c r="CD61" s="207">
        <v>185904.92260215647</v>
      </c>
      <c r="CE61" s="207">
        <v>1839961.8399999999</v>
      </c>
      <c r="CF61" s="207">
        <v>13429580.561370531</v>
      </c>
      <c r="CG61" s="207">
        <v>2664152.7404948343</v>
      </c>
      <c r="CH61" s="207">
        <v>0</v>
      </c>
      <c r="CI61" s="207">
        <v>-5639365.897119062</v>
      </c>
      <c r="CJ61" s="207">
        <v>-838374</v>
      </c>
      <c r="CK61" s="207">
        <v>0</v>
      </c>
      <c r="CL61" s="207">
        <v>0</v>
      </c>
      <c r="CM61" s="207">
        <v>-1333372.9435700004</v>
      </c>
      <c r="CN61" s="207">
        <v>29138503.63027849</v>
      </c>
      <c r="CO61" s="207">
        <v>27805130.68670849</v>
      </c>
      <c r="CP61" s="207">
        <v>41529</v>
      </c>
    </row>
    <row r="62" spans="1:94" ht="9.75">
      <c r="A62" s="175">
        <v>202</v>
      </c>
      <c r="B62" s="175" t="s">
        <v>119</v>
      </c>
      <c r="C62" s="207">
        <v>33099</v>
      </c>
      <c r="D62" s="207">
        <v>112335734.69</v>
      </c>
      <c r="E62" s="207">
        <v>29866510.96300686</v>
      </c>
      <c r="F62" s="207">
        <v>5449763.125387641</v>
      </c>
      <c r="G62" s="207">
        <v>147652008.7783945</v>
      </c>
      <c r="H62" s="207">
        <v>3524.51</v>
      </c>
      <c r="I62" s="207">
        <v>116657756.49000001</v>
      </c>
      <c r="J62" s="207">
        <v>30994252.28839448</v>
      </c>
      <c r="K62" s="207">
        <v>484066.97139344894</v>
      </c>
      <c r="L62" s="207">
        <v>2861279.171952254</v>
      </c>
      <c r="M62" s="207">
        <v>0</v>
      </c>
      <c r="N62" s="207">
        <v>34339598.43174018</v>
      </c>
      <c r="O62" s="207">
        <v>-3258770.6498636156</v>
      </c>
      <c r="P62" s="207">
        <v>31080827.781876564</v>
      </c>
      <c r="Q62" s="207">
        <v>2338</v>
      </c>
      <c r="R62" s="207">
        <v>445</v>
      </c>
      <c r="S62" s="207">
        <v>2666</v>
      </c>
      <c r="T62" s="207">
        <v>1218</v>
      </c>
      <c r="U62" s="207">
        <v>1238</v>
      </c>
      <c r="V62" s="207">
        <v>18507</v>
      </c>
      <c r="W62" s="207">
        <v>4040</v>
      </c>
      <c r="X62" s="207">
        <v>1979</v>
      </c>
      <c r="Y62" s="207">
        <v>668</v>
      </c>
      <c r="Z62" s="207">
        <v>1433</v>
      </c>
      <c r="AA62" s="207">
        <v>0</v>
      </c>
      <c r="AB62" s="207">
        <v>30166</v>
      </c>
      <c r="AC62" s="207">
        <v>1500</v>
      </c>
      <c r="AD62" s="207">
        <v>6687</v>
      </c>
      <c r="AE62" s="207">
        <v>0.7961555100685959</v>
      </c>
      <c r="AF62" s="207">
        <v>29866510.96300686</v>
      </c>
      <c r="AG62" s="207">
        <v>50554288.86312331</v>
      </c>
      <c r="AH62" s="207">
        <v>9223166.031644883</v>
      </c>
      <c r="AI62" s="207">
        <v>5861172.271428825</v>
      </c>
      <c r="AJ62" s="207">
        <v>1291</v>
      </c>
      <c r="AK62" s="207">
        <v>15682</v>
      </c>
      <c r="AL62" s="207">
        <v>0.7114576590026519</v>
      </c>
      <c r="AM62" s="207">
        <v>1500</v>
      </c>
      <c r="AN62" s="207">
        <v>0.045318589685488984</v>
      </c>
      <c r="AO62" s="207">
        <v>0.04037787822303839</v>
      </c>
      <c r="AP62" s="207">
        <v>0</v>
      </c>
      <c r="AQ62" s="207">
        <v>1433</v>
      </c>
      <c r="AR62" s="207">
        <v>0</v>
      </c>
      <c r="AS62" s="207">
        <v>3</v>
      </c>
      <c r="AT62" s="207">
        <v>253</v>
      </c>
      <c r="AU62" s="207">
        <v>150.42</v>
      </c>
      <c r="AV62" s="207">
        <v>220.04387714399684</v>
      </c>
      <c r="AW62" s="207">
        <v>0.08241916183212361</v>
      </c>
      <c r="AX62" s="207">
        <v>1275</v>
      </c>
      <c r="AY62" s="207">
        <v>11409</v>
      </c>
      <c r="AZ62" s="207">
        <v>0.1117538785169603</v>
      </c>
      <c r="BA62" s="207">
        <v>0.0505700424327258</v>
      </c>
      <c r="BB62" s="207">
        <v>0</v>
      </c>
      <c r="BC62" s="207">
        <v>9053</v>
      </c>
      <c r="BD62" s="207">
        <v>14197</v>
      </c>
      <c r="BE62" s="207">
        <v>0.6376699302669578</v>
      </c>
      <c r="BF62" s="207">
        <v>0.22876304767586475</v>
      </c>
      <c r="BG62" s="207">
        <v>0</v>
      </c>
      <c r="BH62" s="207">
        <v>0</v>
      </c>
      <c r="BI62" s="207">
        <v>0</v>
      </c>
      <c r="BJ62" s="207">
        <v>-7943.759999999999</v>
      </c>
      <c r="BK62" s="207">
        <v>-135705.9</v>
      </c>
      <c r="BL62" s="207">
        <v>-9267.720000000001</v>
      </c>
      <c r="BM62" s="207">
        <v>-12908.61</v>
      </c>
      <c r="BN62" s="207">
        <v>-661.98</v>
      </c>
      <c r="BO62" s="207">
        <v>-258828</v>
      </c>
      <c r="BP62" s="207">
        <v>-1387849.7287111967</v>
      </c>
      <c r="BQ62" s="207">
        <v>-3001748.31</v>
      </c>
      <c r="BR62" s="207">
        <v>-589213.1656560749</v>
      </c>
      <c r="BS62" s="207">
        <v>1895488</v>
      </c>
      <c r="BT62" s="207">
        <v>618556</v>
      </c>
      <c r="BU62" s="207">
        <v>1109986.7560428085</v>
      </c>
      <c r="BV62" s="207">
        <v>-1846.6552465841792</v>
      </c>
      <c r="BW62" s="207">
        <v>-517236.3332715238</v>
      </c>
      <c r="BX62" s="207">
        <v>530666.280176738</v>
      </c>
      <c r="BY62" s="207">
        <v>1161563.2820562536</v>
      </c>
      <c r="BZ62" s="207">
        <v>2246161.297196478</v>
      </c>
      <c r="CA62" s="207">
        <v>554637.8307877718</v>
      </c>
      <c r="CB62" s="207">
        <v>1065917.3026987626</v>
      </c>
      <c r="CC62" s="207">
        <v>2978.91</v>
      </c>
      <c r="CD62" s="207">
        <v>-42342.1741211786</v>
      </c>
      <c r="CE62" s="207">
        <v>1430538.78</v>
      </c>
      <c r="CF62" s="207">
        <v>9207028.110663451</v>
      </c>
      <c r="CG62" s="207">
        <v>2861279.171952254</v>
      </c>
      <c r="CH62" s="207">
        <v>0</v>
      </c>
      <c r="CI62" s="207">
        <v>-3258770.6498636156</v>
      </c>
      <c r="CJ62" s="207">
        <v>-2808596</v>
      </c>
      <c r="CK62" s="207">
        <v>0</v>
      </c>
      <c r="CL62" s="207">
        <v>0</v>
      </c>
      <c r="CM62" s="207">
        <v>-1867812.4690819997</v>
      </c>
      <c r="CN62" s="207">
        <v>28272231.781876564</v>
      </c>
      <c r="CO62" s="207">
        <v>26404419.312794566</v>
      </c>
      <c r="CP62" s="207">
        <v>32738</v>
      </c>
    </row>
    <row r="63" spans="1:94" ht="9.75">
      <c r="A63" s="175">
        <v>204</v>
      </c>
      <c r="B63" s="175" t="s">
        <v>120</v>
      </c>
      <c r="C63" s="207">
        <v>3048</v>
      </c>
      <c r="D63" s="207">
        <v>11130244.209999999</v>
      </c>
      <c r="E63" s="207">
        <v>7110337.114382548</v>
      </c>
      <c r="F63" s="207">
        <v>1025949.4515953884</v>
      </c>
      <c r="G63" s="207">
        <v>19266530.775977936</v>
      </c>
      <c r="H63" s="207">
        <v>3524.51</v>
      </c>
      <c r="I63" s="207">
        <v>10742706.48</v>
      </c>
      <c r="J63" s="207">
        <v>8523824.295977935</v>
      </c>
      <c r="K63" s="207">
        <v>254432.90321061137</v>
      </c>
      <c r="L63" s="207">
        <v>906862.8953037474</v>
      </c>
      <c r="M63" s="207">
        <v>0</v>
      </c>
      <c r="N63" s="207">
        <v>9685120.094492294</v>
      </c>
      <c r="O63" s="207">
        <v>3278765.0419831863</v>
      </c>
      <c r="P63" s="207">
        <v>12963885.136475481</v>
      </c>
      <c r="Q63" s="207">
        <v>122</v>
      </c>
      <c r="R63" s="207">
        <v>23</v>
      </c>
      <c r="S63" s="207">
        <v>157</v>
      </c>
      <c r="T63" s="207">
        <v>98</v>
      </c>
      <c r="U63" s="207">
        <v>94</v>
      </c>
      <c r="V63" s="207">
        <v>1533</v>
      </c>
      <c r="W63" s="207">
        <v>527</v>
      </c>
      <c r="X63" s="207">
        <v>350</v>
      </c>
      <c r="Y63" s="207">
        <v>144</v>
      </c>
      <c r="Z63" s="207">
        <v>2</v>
      </c>
      <c r="AA63" s="207">
        <v>0</v>
      </c>
      <c r="AB63" s="207">
        <v>2987</v>
      </c>
      <c r="AC63" s="207">
        <v>59</v>
      </c>
      <c r="AD63" s="207">
        <v>1021</v>
      </c>
      <c r="AE63" s="207">
        <v>2.0582755562489528</v>
      </c>
      <c r="AF63" s="207">
        <v>7110337.114382548</v>
      </c>
      <c r="AG63" s="207">
        <v>38150187.276681446</v>
      </c>
      <c r="AH63" s="207">
        <v>7690486.365386486</v>
      </c>
      <c r="AI63" s="207">
        <v>4252923.782317258</v>
      </c>
      <c r="AJ63" s="207">
        <v>167</v>
      </c>
      <c r="AK63" s="207">
        <v>1180</v>
      </c>
      <c r="AL63" s="207">
        <v>1.2230908863291436</v>
      </c>
      <c r="AM63" s="207">
        <v>59</v>
      </c>
      <c r="AN63" s="207">
        <v>0.01935695538057743</v>
      </c>
      <c r="AO63" s="207">
        <v>0.014416243918126837</v>
      </c>
      <c r="AP63" s="207">
        <v>0</v>
      </c>
      <c r="AQ63" s="207">
        <v>2</v>
      </c>
      <c r="AR63" s="207">
        <v>0</v>
      </c>
      <c r="AS63" s="207">
        <v>0</v>
      </c>
      <c r="AT63" s="207">
        <v>0</v>
      </c>
      <c r="AU63" s="207">
        <v>674.02</v>
      </c>
      <c r="AV63" s="207">
        <v>4.522121005311416</v>
      </c>
      <c r="AW63" s="207">
        <v>4.010470285779113</v>
      </c>
      <c r="AX63" s="207">
        <v>145</v>
      </c>
      <c r="AY63" s="207">
        <v>792</v>
      </c>
      <c r="AZ63" s="207">
        <v>0.1830808080808081</v>
      </c>
      <c r="BA63" s="207">
        <v>0.1218969719965736</v>
      </c>
      <c r="BB63" s="207">
        <v>0.230133</v>
      </c>
      <c r="BC63" s="207">
        <v>899</v>
      </c>
      <c r="BD63" s="207">
        <v>940</v>
      </c>
      <c r="BE63" s="207">
        <v>0.9563829787234043</v>
      </c>
      <c r="BF63" s="207">
        <v>0.5474760961323112</v>
      </c>
      <c r="BG63" s="207">
        <v>0</v>
      </c>
      <c r="BH63" s="207">
        <v>0</v>
      </c>
      <c r="BI63" s="207">
        <v>0</v>
      </c>
      <c r="BJ63" s="207">
        <v>-731.52</v>
      </c>
      <c r="BK63" s="207">
        <v>-12496.8</v>
      </c>
      <c r="BL63" s="207">
        <v>-853.44</v>
      </c>
      <c r="BM63" s="207">
        <v>-1188.72</v>
      </c>
      <c r="BN63" s="207">
        <v>-60.96</v>
      </c>
      <c r="BO63" s="207">
        <v>-75363</v>
      </c>
      <c r="BP63" s="207">
        <v>-133754.06570473046</v>
      </c>
      <c r="BQ63" s="207">
        <v>-276423.12</v>
      </c>
      <c r="BR63" s="207">
        <v>-95514.19307007454</v>
      </c>
      <c r="BS63" s="207">
        <v>355721</v>
      </c>
      <c r="BT63" s="207">
        <v>98791</v>
      </c>
      <c r="BU63" s="207">
        <v>249680.168300314</v>
      </c>
      <c r="BV63" s="207">
        <v>13431.18733569948</v>
      </c>
      <c r="BW63" s="207">
        <v>37694.39862510979</v>
      </c>
      <c r="BX63" s="207">
        <v>138561.89410991914</v>
      </c>
      <c r="BY63" s="207">
        <v>169510.2915271634</v>
      </c>
      <c r="BZ63" s="207">
        <v>257725.92299652047</v>
      </c>
      <c r="CA63" s="207">
        <v>73820.34447128476</v>
      </c>
      <c r="CB63" s="207">
        <v>151372.51474612678</v>
      </c>
      <c r="CC63" s="207">
        <v>274.32</v>
      </c>
      <c r="CD63" s="207">
        <v>-10263.528033585499</v>
      </c>
      <c r="CE63" s="207">
        <v>131734.56</v>
      </c>
      <c r="CF63" s="207">
        <v>1497176.8810084779</v>
      </c>
      <c r="CG63" s="207">
        <v>906862.8953037474</v>
      </c>
      <c r="CH63" s="207">
        <v>0</v>
      </c>
      <c r="CI63" s="207">
        <v>3278765.0419831863</v>
      </c>
      <c r="CJ63" s="207">
        <v>-516678</v>
      </c>
      <c r="CK63" s="207">
        <v>0</v>
      </c>
      <c r="CL63" s="207">
        <v>0</v>
      </c>
      <c r="CM63" s="207">
        <v>-1067511.4958000004</v>
      </c>
      <c r="CN63" s="207">
        <v>12447207.136475481</v>
      </c>
      <c r="CO63" s="207">
        <v>11379695.640675481</v>
      </c>
      <c r="CP63" s="207">
        <v>3154</v>
      </c>
    </row>
    <row r="64" spans="1:94" ht="9.75">
      <c r="A64" s="175">
        <v>205</v>
      </c>
      <c r="B64" s="175" t="s">
        <v>121</v>
      </c>
      <c r="C64" s="207">
        <v>37239</v>
      </c>
      <c r="D64" s="207">
        <v>123200951.82</v>
      </c>
      <c r="E64" s="207">
        <v>52366858.502335586</v>
      </c>
      <c r="F64" s="207">
        <v>7275856.721525139</v>
      </c>
      <c r="G64" s="207">
        <v>182843667.0438607</v>
      </c>
      <c r="H64" s="207">
        <v>3524.51</v>
      </c>
      <c r="I64" s="207">
        <v>131249227.89000002</v>
      </c>
      <c r="J64" s="207">
        <v>51594439.15386069</v>
      </c>
      <c r="K64" s="207">
        <v>2395419.0452769995</v>
      </c>
      <c r="L64" s="207">
        <v>8905593.422780821</v>
      </c>
      <c r="M64" s="207">
        <v>0</v>
      </c>
      <c r="N64" s="207">
        <v>62895451.62191851</v>
      </c>
      <c r="O64" s="207">
        <v>15747298.00740954</v>
      </c>
      <c r="P64" s="207">
        <v>78642749.62932804</v>
      </c>
      <c r="Q64" s="207">
        <v>2266</v>
      </c>
      <c r="R64" s="207">
        <v>418</v>
      </c>
      <c r="S64" s="207">
        <v>2555</v>
      </c>
      <c r="T64" s="207">
        <v>1118</v>
      </c>
      <c r="U64" s="207">
        <v>1245</v>
      </c>
      <c r="V64" s="207">
        <v>21474</v>
      </c>
      <c r="W64" s="207">
        <v>4600</v>
      </c>
      <c r="X64" s="207">
        <v>2546</v>
      </c>
      <c r="Y64" s="207">
        <v>1017</v>
      </c>
      <c r="Z64" s="207">
        <v>39</v>
      </c>
      <c r="AA64" s="207">
        <v>2</v>
      </c>
      <c r="AB64" s="207">
        <v>35919</v>
      </c>
      <c r="AC64" s="207">
        <v>1279</v>
      </c>
      <c r="AD64" s="207">
        <v>8163</v>
      </c>
      <c r="AE64" s="207">
        <v>1.2407571837697233</v>
      </c>
      <c r="AF64" s="207">
        <v>52366858.502335586</v>
      </c>
      <c r="AG64" s="207">
        <v>8764131.677640388</v>
      </c>
      <c r="AH64" s="207">
        <v>2114337.1526504485</v>
      </c>
      <c r="AI64" s="207">
        <v>1170447.5115200856</v>
      </c>
      <c r="AJ64" s="207">
        <v>2115</v>
      </c>
      <c r="AK64" s="207">
        <v>17359</v>
      </c>
      <c r="AL64" s="207">
        <v>1.0529552997277445</v>
      </c>
      <c r="AM64" s="207">
        <v>1279</v>
      </c>
      <c r="AN64" s="207">
        <v>0.034345712827949196</v>
      </c>
      <c r="AO64" s="207">
        <v>0.029405001365498604</v>
      </c>
      <c r="AP64" s="207">
        <v>0</v>
      </c>
      <c r="AQ64" s="207">
        <v>39</v>
      </c>
      <c r="AR64" s="207">
        <v>2</v>
      </c>
      <c r="AS64" s="207">
        <v>0</v>
      </c>
      <c r="AT64" s="207">
        <v>0</v>
      </c>
      <c r="AU64" s="207">
        <v>1834.73</v>
      </c>
      <c r="AV64" s="207">
        <v>20.296719408305307</v>
      </c>
      <c r="AW64" s="207">
        <v>0.8935351351942087</v>
      </c>
      <c r="AX64" s="207">
        <v>982</v>
      </c>
      <c r="AY64" s="207">
        <v>10597</v>
      </c>
      <c r="AZ64" s="207">
        <v>0.09266773615174106</v>
      </c>
      <c r="BA64" s="207">
        <v>0.03148390006750657</v>
      </c>
      <c r="BB64" s="207">
        <v>0.109183</v>
      </c>
      <c r="BC64" s="207">
        <v>15558</v>
      </c>
      <c r="BD64" s="207">
        <v>14742</v>
      </c>
      <c r="BE64" s="207">
        <v>1.0553520553520555</v>
      </c>
      <c r="BF64" s="207">
        <v>0.6464451727609624</v>
      </c>
      <c r="BG64" s="207">
        <v>0</v>
      </c>
      <c r="BH64" s="207">
        <v>2</v>
      </c>
      <c r="BI64" s="207">
        <v>0</v>
      </c>
      <c r="BJ64" s="207">
        <v>-8937.359999999999</v>
      </c>
      <c r="BK64" s="207">
        <v>-152679.9</v>
      </c>
      <c r="BL64" s="207">
        <v>-10426.920000000002</v>
      </c>
      <c r="BM64" s="207">
        <v>-14523.210000000001</v>
      </c>
      <c r="BN64" s="207">
        <v>-744.78</v>
      </c>
      <c r="BO64" s="207">
        <v>1371592</v>
      </c>
      <c r="BP64" s="207">
        <v>-1905269.367138158</v>
      </c>
      <c r="BQ64" s="207">
        <v>-3377204.9099999997</v>
      </c>
      <c r="BR64" s="207">
        <v>-536331.1401641965</v>
      </c>
      <c r="BS64" s="207">
        <v>2592766</v>
      </c>
      <c r="BT64" s="207">
        <v>851137</v>
      </c>
      <c r="BU64" s="207">
        <v>1854193.7933830146</v>
      </c>
      <c r="BV64" s="207">
        <v>75734.94462794969</v>
      </c>
      <c r="BW64" s="207">
        <v>347880.491883763</v>
      </c>
      <c r="BX64" s="207">
        <v>1027227.4196650238</v>
      </c>
      <c r="BY64" s="207">
        <v>1791204.8751561167</v>
      </c>
      <c r="BZ64" s="207">
        <v>2813546.3021177156</v>
      </c>
      <c r="CA64" s="207">
        <v>835976.783384323</v>
      </c>
      <c r="CB64" s="207">
        <v>1533689.289289748</v>
      </c>
      <c r="CC64" s="207">
        <v>3351.5099999999998</v>
      </c>
      <c r="CD64" s="207">
        <v>217453.75057552074</v>
      </c>
      <c r="CE64" s="207">
        <v>1609469.5799999998</v>
      </c>
      <c r="CF64" s="207">
        <v>16388892.599918978</v>
      </c>
      <c r="CG64" s="207">
        <v>8905593.422780821</v>
      </c>
      <c r="CH64" s="207">
        <v>0</v>
      </c>
      <c r="CI64" s="207">
        <v>15747298.00740954</v>
      </c>
      <c r="CJ64" s="207">
        <v>25360682</v>
      </c>
      <c r="CK64" s="207">
        <v>0</v>
      </c>
      <c r="CL64" s="207">
        <v>0</v>
      </c>
      <c r="CM64" s="207">
        <v>-95398.85717999999</v>
      </c>
      <c r="CN64" s="207">
        <v>104003431.62932804</v>
      </c>
      <c r="CO64" s="207">
        <v>103908032.77214804</v>
      </c>
      <c r="CP64" s="207">
        <v>37521</v>
      </c>
    </row>
    <row r="65" spans="1:94" ht="9.75">
      <c r="A65" s="175">
        <v>208</v>
      </c>
      <c r="B65" s="175" t="s">
        <v>122</v>
      </c>
      <c r="C65" s="207">
        <v>12516</v>
      </c>
      <c r="D65" s="207">
        <v>45730104.28</v>
      </c>
      <c r="E65" s="207">
        <v>14647819.810139315</v>
      </c>
      <c r="F65" s="207">
        <v>2188455.6441303045</v>
      </c>
      <c r="G65" s="207">
        <v>62566379.73426962</v>
      </c>
      <c r="H65" s="207">
        <v>3524.51</v>
      </c>
      <c r="I65" s="207">
        <v>44112767.160000004</v>
      </c>
      <c r="J65" s="207">
        <v>18453612.574269615</v>
      </c>
      <c r="K65" s="207">
        <v>403659.03565765254</v>
      </c>
      <c r="L65" s="207">
        <v>4128958.3131448533</v>
      </c>
      <c r="M65" s="207">
        <v>0</v>
      </c>
      <c r="N65" s="207">
        <v>22986229.923072122</v>
      </c>
      <c r="O65" s="207">
        <v>9847508.988944342</v>
      </c>
      <c r="P65" s="207">
        <v>32833738.912016466</v>
      </c>
      <c r="Q65" s="207">
        <v>852</v>
      </c>
      <c r="R65" s="207">
        <v>163</v>
      </c>
      <c r="S65" s="207">
        <v>991</v>
      </c>
      <c r="T65" s="207">
        <v>499</v>
      </c>
      <c r="U65" s="207">
        <v>448</v>
      </c>
      <c r="V65" s="207">
        <v>6545</v>
      </c>
      <c r="W65" s="207">
        <v>1730</v>
      </c>
      <c r="X65" s="207">
        <v>903</v>
      </c>
      <c r="Y65" s="207">
        <v>385</v>
      </c>
      <c r="Z65" s="207">
        <v>49</v>
      </c>
      <c r="AA65" s="207">
        <v>1</v>
      </c>
      <c r="AB65" s="207">
        <v>12190</v>
      </c>
      <c r="AC65" s="207">
        <v>276</v>
      </c>
      <c r="AD65" s="207">
        <v>3018</v>
      </c>
      <c r="AE65" s="207">
        <v>1.032608561658832</v>
      </c>
      <c r="AF65" s="207">
        <v>14647819.810139315</v>
      </c>
      <c r="AG65" s="207">
        <v>64575763.68623057</v>
      </c>
      <c r="AH65" s="207">
        <v>17167235.093347456</v>
      </c>
      <c r="AI65" s="207">
        <v>6736774.226611791</v>
      </c>
      <c r="AJ65" s="207">
        <v>482</v>
      </c>
      <c r="AK65" s="207">
        <v>5601</v>
      </c>
      <c r="AL65" s="207">
        <v>0.7437136145583111</v>
      </c>
      <c r="AM65" s="207">
        <v>276</v>
      </c>
      <c r="AN65" s="207">
        <v>0.02205177372962608</v>
      </c>
      <c r="AO65" s="207">
        <v>0.017111062267175486</v>
      </c>
      <c r="AP65" s="207">
        <v>0</v>
      </c>
      <c r="AQ65" s="207">
        <v>49</v>
      </c>
      <c r="AR65" s="207">
        <v>1</v>
      </c>
      <c r="AS65" s="207">
        <v>0</v>
      </c>
      <c r="AT65" s="207">
        <v>0</v>
      </c>
      <c r="AU65" s="207">
        <v>922.98</v>
      </c>
      <c r="AV65" s="207">
        <v>13.560423844503672</v>
      </c>
      <c r="AW65" s="207">
        <v>1.337408928250413</v>
      </c>
      <c r="AX65" s="207">
        <v>447</v>
      </c>
      <c r="AY65" s="207">
        <v>3538</v>
      </c>
      <c r="AZ65" s="207">
        <v>0.1263425664217072</v>
      </c>
      <c r="BA65" s="207">
        <v>0.06515873033747269</v>
      </c>
      <c r="BB65" s="207">
        <v>0</v>
      </c>
      <c r="BC65" s="207">
        <v>4503</v>
      </c>
      <c r="BD65" s="207">
        <v>4930</v>
      </c>
      <c r="BE65" s="207">
        <v>0.9133874239350913</v>
      </c>
      <c r="BF65" s="207">
        <v>0.5044805413439982</v>
      </c>
      <c r="BG65" s="207">
        <v>0</v>
      </c>
      <c r="BH65" s="207">
        <v>1</v>
      </c>
      <c r="BI65" s="207">
        <v>0</v>
      </c>
      <c r="BJ65" s="207">
        <v>-3003.8399999999997</v>
      </c>
      <c r="BK65" s="207">
        <v>-51315.6</v>
      </c>
      <c r="BL65" s="207">
        <v>-3504.4800000000005</v>
      </c>
      <c r="BM65" s="207">
        <v>-4881.24</v>
      </c>
      <c r="BN65" s="207">
        <v>-250.32</v>
      </c>
      <c r="BO65" s="207">
        <v>27931</v>
      </c>
      <c r="BP65" s="207">
        <v>-171433.08139095514</v>
      </c>
      <c r="BQ65" s="207">
        <v>-1135076.04</v>
      </c>
      <c r="BR65" s="207">
        <v>174079.73907664046</v>
      </c>
      <c r="BS65" s="207">
        <v>1129537</v>
      </c>
      <c r="BT65" s="207">
        <v>361572</v>
      </c>
      <c r="BU65" s="207">
        <v>874686.7781186404</v>
      </c>
      <c r="BV65" s="207">
        <v>40153.21745856467</v>
      </c>
      <c r="BW65" s="207">
        <v>-24432.856551359495</v>
      </c>
      <c r="BX65" s="207">
        <v>371268.24533248646</v>
      </c>
      <c r="BY65" s="207">
        <v>697889.440491932</v>
      </c>
      <c r="BZ65" s="207">
        <v>1075183.5111417584</v>
      </c>
      <c r="CA65" s="207">
        <v>341540.5014360135</v>
      </c>
      <c r="CB65" s="207">
        <v>582309.9376593543</v>
      </c>
      <c r="CC65" s="207">
        <v>1126.44</v>
      </c>
      <c r="CD65" s="207">
        <v>-18623.43962822322</v>
      </c>
      <c r="CE65" s="207">
        <v>540941.52</v>
      </c>
      <c r="CF65" s="207">
        <v>6175163.0345358085</v>
      </c>
      <c r="CG65" s="207">
        <v>4128958.3131448533</v>
      </c>
      <c r="CH65" s="207">
        <v>0</v>
      </c>
      <c r="CI65" s="207">
        <v>9847508.988944342</v>
      </c>
      <c r="CJ65" s="207">
        <v>-1012178</v>
      </c>
      <c r="CK65" s="207">
        <v>0</v>
      </c>
      <c r="CL65" s="207">
        <v>0</v>
      </c>
      <c r="CM65" s="207">
        <v>-19932.513399999996</v>
      </c>
      <c r="CN65" s="207">
        <v>31821560.912016466</v>
      </c>
      <c r="CO65" s="207">
        <v>31801628.398616467</v>
      </c>
      <c r="CP65" s="207">
        <v>12586</v>
      </c>
    </row>
    <row r="66" spans="1:94" ht="9.75">
      <c r="A66" s="175">
        <v>211</v>
      </c>
      <c r="B66" s="175" t="s">
        <v>123</v>
      </c>
      <c r="C66" s="207">
        <v>31437</v>
      </c>
      <c r="D66" s="207">
        <v>109256647.66</v>
      </c>
      <c r="E66" s="207">
        <v>30683025.668273877</v>
      </c>
      <c r="F66" s="207">
        <v>4146642.737561655</v>
      </c>
      <c r="G66" s="207">
        <v>144086316.0658355</v>
      </c>
      <c r="H66" s="207">
        <v>3524.51</v>
      </c>
      <c r="I66" s="207">
        <v>110800020.87</v>
      </c>
      <c r="J66" s="207">
        <v>33286295.1958355</v>
      </c>
      <c r="K66" s="207">
        <v>460416.57076330634</v>
      </c>
      <c r="L66" s="207">
        <v>5695962.952080703</v>
      </c>
      <c r="M66" s="207">
        <v>0</v>
      </c>
      <c r="N66" s="207">
        <v>39442674.71867951</v>
      </c>
      <c r="O66" s="207">
        <v>3091806.924269428</v>
      </c>
      <c r="P66" s="207">
        <v>42534481.64294894</v>
      </c>
      <c r="Q66" s="207">
        <v>2295</v>
      </c>
      <c r="R66" s="207">
        <v>413</v>
      </c>
      <c r="S66" s="207">
        <v>2697</v>
      </c>
      <c r="T66" s="207">
        <v>1270</v>
      </c>
      <c r="U66" s="207">
        <v>1101</v>
      </c>
      <c r="V66" s="207">
        <v>17538</v>
      </c>
      <c r="W66" s="207">
        <v>3565</v>
      </c>
      <c r="X66" s="207">
        <v>1919</v>
      </c>
      <c r="Y66" s="207">
        <v>639</v>
      </c>
      <c r="Z66" s="207">
        <v>73</v>
      </c>
      <c r="AA66" s="207">
        <v>1</v>
      </c>
      <c r="AB66" s="207">
        <v>30686</v>
      </c>
      <c r="AC66" s="207">
        <v>677</v>
      </c>
      <c r="AD66" s="207">
        <v>6123</v>
      </c>
      <c r="AE66" s="207">
        <v>0.8611630267331468</v>
      </c>
      <c r="AF66" s="207">
        <v>30683025.668273877</v>
      </c>
      <c r="AG66" s="207">
        <v>18554092.078449767</v>
      </c>
      <c r="AH66" s="207">
        <v>4067074.8333314196</v>
      </c>
      <c r="AI66" s="207">
        <v>1804812.1933363155</v>
      </c>
      <c r="AJ66" s="207">
        <v>1486</v>
      </c>
      <c r="AK66" s="207">
        <v>14904</v>
      </c>
      <c r="AL66" s="207">
        <v>0.8616685338503456</v>
      </c>
      <c r="AM66" s="207">
        <v>677</v>
      </c>
      <c r="AN66" s="207">
        <v>0.02153513375958266</v>
      </c>
      <c r="AO66" s="207">
        <v>0.016594422297132067</v>
      </c>
      <c r="AP66" s="207">
        <v>0</v>
      </c>
      <c r="AQ66" s="207">
        <v>73</v>
      </c>
      <c r="AR66" s="207">
        <v>1</v>
      </c>
      <c r="AS66" s="207">
        <v>0</v>
      </c>
      <c r="AT66" s="207">
        <v>0</v>
      </c>
      <c r="AU66" s="207">
        <v>658.08</v>
      </c>
      <c r="AV66" s="207">
        <v>47.770787746170676</v>
      </c>
      <c r="AW66" s="207">
        <v>0.3796427225957306</v>
      </c>
      <c r="AX66" s="207">
        <v>924</v>
      </c>
      <c r="AY66" s="207">
        <v>10707</v>
      </c>
      <c r="AZ66" s="207">
        <v>0.08629868310451107</v>
      </c>
      <c r="BA66" s="207">
        <v>0.025114847020276575</v>
      </c>
      <c r="BB66" s="207">
        <v>0</v>
      </c>
      <c r="BC66" s="207">
        <v>8419</v>
      </c>
      <c r="BD66" s="207">
        <v>13196</v>
      </c>
      <c r="BE66" s="207">
        <v>0.6379963625341012</v>
      </c>
      <c r="BF66" s="207">
        <v>0.2290894799430081</v>
      </c>
      <c r="BG66" s="207">
        <v>0</v>
      </c>
      <c r="BH66" s="207">
        <v>1</v>
      </c>
      <c r="BI66" s="207">
        <v>0</v>
      </c>
      <c r="BJ66" s="207">
        <v>-7544.88</v>
      </c>
      <c r="BK66" s="207">
        <v>-128891.69999999998</v>
      </c>
      <c r="BL66" s="207">
        <v>-8802.36</v>
      </c>
      <c r="BM66" s="207">
        <v>-12260.43</v>
      </c>
      <c r="BN66" s="207">
        <v>-628.74</v>
      </c>
      <c r="BO66" s="207">
        <v>273558</v>
      </c>
      <c r="BP66" s="207">
        <v>-1154864.4119930258</v>
      </c>
      <c r="BQ66" s="207">
        <v>-2851021.53</v>
      </c>
      <c r="BR66" s="207">
        <v>-235774.60303405012</v>
      </c>
      <c r="BS66" s="207">
        <v>2052330</v>
      </c>
      <c r="BT66" s="207">
        <v>652472</v>
      </c>
      <c r="BU66" s="207">
        <v>1279438.3668590477</v>
      </c>
      <c r="BV66" s="207">
        <v>18609.676418183368</v>
      </c>
      <c r="BW66" s="207">
        <v>58558.191724880795</v>
      </c>
      <c r="BX66" s="207">
        <v>669339.416188655</v>
      </c>
      <c r="BY66" s="207">
        <v>1323883.3820436788</v>
      </c>
      <c r="BZ66" s="207">
        <v>2274364.3120675283</v>
      </c>
      <c r="CA66" s="207">
        <v>569612.1484228717</v>
      </c>
      <c r="CB66" s="207">
        <v>1105365.9695999913</v>
      </c>
      <c r="CC66" s="207">
        <v>2829.33</v>
      </c>
      <c r="CD66" s="207">
        <v>156482.2637829409</v>
      </c>
      <c r="CE66" s="207">
        <v>1358707.14</v>
      </c>
      <c r="CF66" s="207">
        <v>11559775.594073728</v>
      </c>
      <c r="CG66" s="207">
        <v>5695962.952080703</v>
      </c>
      <c r="CH66" s="207">
        <v>0</v>
      </c>
      <c r="CI66" s="207">
        <v>3091806.924269428</v>
      </c>
      <c r="CJ66" s="207">
        <v>-3955398</v>
      </c>
      <c r="CK66" s="207">
        <v>0</v>
      </c>
      <c r="CL66" s="207">
        <v>0</v>
      </c>
      <c r="CM66" s="207">
        <v>-905882.5727380002</v>
      </c>
      <c r="CN66" s="207">
        <v>38579083.64294894</v>
      </c>
      <c r="CO66" s="207">
        <v>37673201.07021094</v>
      </c>
      <c r="CP66" s="207">
        <v>31190</v>
      </c>
    </row>
    <row r="67" spans="1:94" ht="9.75">
      <c r="A67" s="175">
        <v>213</v>
      </c>
      <c r="B67" s="175" t="s">
        <v>124</v>
      </c>
      <c r="C67" s="207">
        <v>5549</v>
      </c>
      <c r="D67" s="207">
        <v>20143475.53</v>
      </c>
      <c r="E67" s="207">
        <v>9829147.279407036</v>
      </c>
      <c r="F67" s="207">
        <v>1539082.4650796265</v>
      </c>
      <c r="G67" s="207">
        <v>31511705.274486665</v>
      </c>
      <c r="H67" s="207">
        <v>3524.51</v>
      </c>
      <c r="I67" s="207">
        <v>19557505.990000002</v>
      </c>
      <c r="J67" s="207">
        <v>11954199.284486663</v>
      </c>
      <c r="K67" s="207">
        <v>817554.2689861018</v>
      </c>
      <c r="L67" s="207">
        <v>2160719.8012821367</v>
      </c>
      <c r="M67" s="207">
        <v>0</v>
      </c>
      <c r="N67" s="207">
        <v>14932473.354754902</v>
      </c>
      <c r="O67" s="207">
        <v>3966576.3273025546</v>
      </c>
      <c r="P67" s="207">
        <v>18899049.682057455</v>
      </c>
      <c r="Q67" s="207">
        <v>235</v>
      </c>
      <c r="R67" s="207">
        <v>46</v>
      </c>
      <c r="S67" s="207">
        <v>300</v>
      </c>
      <c r="T67" s="207">
        <v>146</v>
      </c>
      <c r="U67" s="207">
        <v>136</v>
      </c>
      <c r="V67" s="207">
        <v>2710</v>
      </c>
      <c r="W67" s="207">
        <v>1060</v>
      </c>
      <c r="X67" s="207">
        <v>656</v>
      </c>
      <c r="Y67" s="207">
        <v>260</v>
      </c>
      <c r="Z67" s="207">
        <v>7</v>
      </c>
      <c r="AA67" s="207">
        <v>0</v>
      </c>
      <c r="AB67" s="207">
        <v>5461</v>
      </c>
      <c r="AC67" s="207">
        <v>81</v>
      </c>
      <c r="AD67" s="207">
        <v>1976</v>
      </c>
      <c r="AE67" s="207">
        <v>1.5628935719002768</v>
      </c>
      <c r="AF67" s="207">
        <v>9829147.279407036</v>
      </c>
      <c r="AG67" s="207">
        <v>37744266.38262985</v>
      </c>
      <c r="AH67" s="207">
        <v>9276026.395320723</v>
      </c>
      <c r="AI67" s="207">
        <v>4136772.5025480897</v>
      </c>
      <c r="AJ67" s="207">
        <v>268</v>
      </c>
      <c r="AK67" s="207">
        <v>2246</v>
      </c>
      <c r="AL67" s="207">
        <v>1.0312152059888995</v>
      </c>
      <c r="AM67" s="207">
        <v>81</v>
      </c>
      <c r="AN67" s="207">
        <v>0.014597224725175707</v>
      </c>
      <c r="AO67" s="207">
        <v>0.009656513262725114</v>
      </c>
      <c r="AP67" s="207">
        <v>0</v>
      </c>
      <c r="AQ67" s="207">
        <v>7</v>
      </c>
      <c r="AR67" s="207">
        <v>0</v>
      </c>
      <c r="AS67" s="207">
        <v>0</v>
      </c>
      <c r="AT67" s="207">
        <v>0</v>
      </c>
      <c r="AU67" s="207">
        <v>1068.84</v>
      </c>
      <c r="AV67" s="207">
        <v>5.191609595449273</v>
      </c>
      <c r="AW67" s="207">
        <v>3.493296556119328</v>
      </c>
      <c r="AX67" s="207">
        <v>201</v>
      </c>
      <c r="AY67" s="207">
        <v>1352</v>
      </c>
      <c r="AZ67" s="207">
        <v>0.14866863905325445</v>
      </c>
      <c r="BA67" s="207">
        <v>0.08748480296901995</v>
      </c>
      <c r="BB67" s="207">
        <v>0.554466</v>
      </c>
      <c r="BC67" s="207">
        <v>1658</v>
      </c>
      <c r="BD67" s="207">
        <v>1870</v>
      </c>
      <c r="BE67" s="207">
        <v>0.8866310160427807</v>
      </c>
      <c r="BF67" s="207">
        <v>0.4777241334516876</v>
      </c>
      <c r="BG67" s="207">
        <v>0</v>
      </c>
      <c r="BH67" s="207">
        <v>0</v>
      </c>
      <c r="BI67" s="207">
        <v>0</v>
      </c>
      <c r="BJ67" s="207">
        <v>-1331.76</v>
      </c>
      <c r="BK67" s="207">
        <v>-22750.899999999998</v>
      </c>
      <c r="BL67" s="207">
        <v>-1553.7200000000003</v>
      </c>
      <c r="BM67" s="207">
        <v>-2164.11</v>
      </c>
      <c r="BN67" s="207">
        <v>-110.98</v>
      </c>
      <c r="BO67" s="207">
        <v>138646</v>
      </c>
      <c r="BP67" s="207">
        <v>-199517.78903189523</v>
      </c>
      <c r="BQ67" s="207">
        <v>-503238.81</v>
      </c>
      <c r="BR67" s="207">
        <v>104150.07537831739</v>
      </c>
      <c r="BS67" s="207">
        <v>651314</v>
      </c>
      <c r="BT67" s="207">
        <v>187331</v>
      </c>
      <c r="BU67" s="207">
        <v>420197.3912115596</v>
      </c>
      <c r="BV67" s="207">
        <v>23328.6713788262</v>
      </c>
      <c r="BW67" s="207">
        <v>53778.54215605336</v>
      </c>
      <c r="BX67" s="207">
        <v>224519.7381976081</v>
      </c>
      <c r="BY67" s="207">
        <v>316250.0427699233</v>
      </c>
      <c r="BZ67" s="207">
        <v>487700.4287774703</v>
      </c>
      <c r="CA67" s="207">
        <v>147284.1095061954</v>
      </c>
      <c r="CB67" s="207">
        <v>262226.2418956169</v>
      </c>
      <c r="CC67" s="207">
        <v>499.40999999999997</v>
      </c>
      <c r="CD67" s="207">
        <v>-65631.13095753879</v>
      </c>
      <c r="CE67" s="207">
        <v>239827.78</v>
      </c>
      <c r="CF67" s="207">
        <v>3191422.3003140315</v>
      </c>
      <c r="CG67" s="207">
        <v>2160719.8012821367</v>
      </c>
      <c r="CH67" s="207">
        <v>0</v>
      </c>
      <c r="CI67" s="207">
        <v>3966576.3273025546</v>
      </c>
      <c r="CJ67" s="207">
        <v>-554974</v>
      </c>
      <c r="CK67" s="207">
        <v>0</v>
      </c>
      <c r="CL67" s="207">
        <v>0</v>
      </c>
      <c r="CM67" s="207">
        <v>-157427.25483999998</v>
      </c>
      <c r="CN67" s="207">
        <v>18344075.682057455</v>
      </c>
      <c r="CO67" s="207">
        <v>18186648.427217454</v>
      </c>
      <c r="CP67" s="207">
        <v>5603</v>
      </c>
    </row>
    <row r="68" spans="1:94" ht="9.75">
      <c r="A68" s="175">
        <v>214</v>
      </c>
      <c r="B68" s="175" t="s">
        <v>125</v>
      </c>
      <c r="C68" s="207">
        <v>11585</v>
      </c>
      <c r="D68" s="207">
        <v>38747292.88</v>
      </c>
      <c r="E68" s="207">
        <v>14239776.20200332</v>
      </c>
      <c r="F68" s="207">
        <v>2442010.1784432908</v>
      </c>
      <c r="G68" s="207">
        <v>55429079.260446616</v>
      </c>
      <c r="H68" s="207">
        <v>3524.51</v>
      </c>
      <c r="I68" s="207">
        <v>40831448.35</v>
      </c>
      <c r="J68" s="207">
        <v>14597630.910446614</v>
      </c>
      <c r="K68" s="207">
        <v>526870.1683682868</v>
      </c>
      <c r="L68" s="207">
        <v>4337962.387592667</v>
      </c>
      <c r="M68" s="207">
        <v>0</v>
      </c>
      <c r="N68" s="207">
        <v>19462463.466407567</v>
      </c>
      <c r="O68" s="207">
        <v>7287248.6283633</v>
      </c>
      <c r="P68" s="207">
        <v>26749712.094770867</v>
      </c>
      <c r="Q68" s="207">
        <v>688</v>
      </c>
      <c r="R68" s="207">
        <v>126</v>
      </c>
      <c r="S68" s="207">
        <v>695</v>
      </c>
      <c r="T68" s="207">
        <v>346</v>
      </c>
      <c r="U68" s="207">
        <v>407</v>
      </c>
      <c r="V68" s="207">
        <v>6416</v>
      </c>
      <c r="W68" s="207">
        <v>1664</v>
      </c>
      <c r="X68" s="207">
        <v>902</v>
      </c>
      <c r="Y68" s="207">
        <v>341</v>
      </c>
      <c r="Z68" s="207">
        <v>10</v>
      </c>
      <c r="AA68" s="207">
        <v>0</v>
      </c>
      <c r="AB68" s="207">
        <v>11213</v>
      </c>
      <c r="AC68" s="207">
        <v>362</v>
      </c>
      <c r="AD68" s="207">
        <v>2907</v>
      </c>
      <c r="AE68" s="207">
        <v>1.0845146247632054</v>
      </c>
      <c r="AF68" s="207">
        <v>14239776.20200332</v>
      </c>
      <c r="AG68" s="207">
        <v>12485538.178833831</v>
      </c>
      <c r="AH68" s="207">
        <v>3216317.0768062887</v>
      </c>
      <c r="AI68" s="207">
        <v>1188316.9391768812</v>
      </c>
      <c r="AJ68" s="207">
        <v>563</v>
      </c>
      <c r="AK68" s="207">
        <v>5283</v>
      </c>
      <c r="AL68" s="207">
        <v>0.9209839258721664</v>
      </c>
      <c r="AM68" s="207">
        <v>362</v>
      </c>
      <c r="AN68" s="207">
        <v>0.031247302546396204</v>
      </c>
      <c r="AO68" s="207">
        <v>0.02630659108394561</v>
      </c>
      <c r="AP68" s="207">
        <v>0</v>
      </c>
      <c r="AQ68" s="207">
        <v>10</v>
      </c>
      <c r="AR68" s="207">
        <v>0</v>
      </c>
      <c r="AS68" s="207">
        <v>0</v>
      </c>
      <c r="AT68" s="207">
        <v>0</v>
      </c>
      <c r="AU68" s="207">
        <v>689.61</v>
      </c>
      <c r="AV68" s="207">
        <v>16.79935035744841</v>
      </c>
      <c r="AW68" s="207">
        <v>1.079555550340554</v>
      </c>
      <c r="AX68" s="207">
        <v>515</v>
      </c>
      <c r="AY68" s="207">
        <v>3242</v>
      </c>
      <c r="AZ68" s="207">
        <v>0.15885256014805677</v>
      </c>
      <c r="BA68" s="207">
        <v>0.09766872406382227</v>
      </c>
      <c r="BB68" s="207">
        <v>0</v>
      </c>
      <c r="BC68" s="207">
        <v>4964</v>
      </c>
      <c r="BD68" s="207">
        <v>4431</v>
      </c>
      <c r="BE68" s="207">
        <v>1.1202888738433763</v>
      </c>
      <c r="BF68" s="207">
        <v>0.7113819912522832</v>
      </c>
      <c r="BG68" s="207">
        <v>0</v>
      </c>
      <c r="BH68" s="207">
        <v>0</v>
      </c>
      <c r="BI68" s="207">
        <v>0</v>
      </c>
      <c r="BJ68" s="207">
        <v>-2780.4</v>
      </c>
      <c r="BK68" s="207">
        <v>-47498.49999999999</v>
      </c>
      <c r="BL68" s="207">
        <v>-3243.8</v>
      </c>
      <c r="BM68" s="207">
        <v>-4518.150000000001</v>
      </c>
      <c r="BN68" s="207">
        <v>-231.70000000000002</v>
      </c>
      <c r="BO68" s="207">
        <v>376644</v>
      </c>
      <c r="BP68" s="207">
        <v>-427017.9923220484</v>
      </c>
      <c r="BQ68" s="207">
        <v>-1050643.65</v>
      </c>
      <c r="BR68" s="207">
        <v>366490.2791329548</v>
      </c>
      <c r="BS68" s="207">
        <v>1057264</v>
      </c>
      <c r="BT68" s="207">
        <v>346030</v>
      </c>
      <c r="BU68" s="207">
        <v>864422.5563986355</v>
      </c>
      <c r="BV68" s="207">
        <v>42245.25755368333</v>
      </c>
      <c r="BW68" s="207">
        <v>88537.4090538738</v>
      </c>
      <c r="BX68" s="207">
        <v>399714.71127646166</v>
      </c>
      <c r="BY68" s="207">
        <v>641321.649444843</v>
      </c>
      <c r="BZ68" s="207">
        <v>977715.8377379086</v>
      </c>
      <c r="CA68" s="207">
        <v>303463.1997737731</v>
      </c>
      <c r="CB68" s="207">
        <v>541499.894606079</v>
      </c>
      <c r="CC68" s="207">
        <v>1042.6499999999999</v>
      </c>
      <c r="CD68" s="207">
        <v>-6797.615063499135</v>
      </c>
      <c r="CE68" s="207">
        <v>500703.7</v>
      </c>
      <c r="CF68" s="207">
        <v>6500297.529914715</v>
      </c>
      <c r="CG68" s="207">
        <v>4337962.387592667</v>
      </c>
      <c r="CH68" s="207">
        <v>0</v>
      </c>
      <c r="CI68" s="207">
        <v>7287248.6283633</v>
      </c>
      <c r="CJ68" s="207">
        <v>623129</v>
      </c>
      <c r="CK68" s="207">
        <v>0</v>
      </c>
      <c r="CL68" s="207">
        <v>0</v>
      </c>
      <c r="CM68" s="207">
        <v>307765.92710000003</v>
      </c>
      <c r="CN68" s="207">
        <v>27372841.094770867</v>
      </c>
      <c r="CO68" s="207">
        <v>27680607.021870866</v>
      </c>
      <c r="CP68" s="207">
        <v>11637</v>
      </c>
    </row>
    <row r="69" spans="1:94" ht="9.75">
      <c r="A69" s="175">
        <v>216</v>
      </c>
      <c r="B69" s="175" t="s">
        <v>126</v>
      </c>
      <c r="C69" s="207">
        <v>1408</v>
      </c>
      <c r="D69" s="207">
        <v>5440727.61</v>
      </c>
      <c r="E69" s="207">
        <v>2567164.0850302083</v>
      </c>
      <c r="F69" s="207">
        <v>557252.1962550944</v>
      </c>
      <c r="G69" s="207">
        <v>8565143.891285304</v>
      </c>
      <c r="H69" s="207">
        <v>3524.51</v>
      </c>
      <c r="I69" s="207">
        <v>4962510.08</v>
      </c>
      <c r="J69" s="207">
        <v>3602633.811285304</v>
      </c>
      <c r="K69" s="207">
        <v>322306.43092450144</v>
      </c>
      <c r="L69" s="207">
        <v>643535.4853779247</v>
      </c>
      <c r="M69" s="207">
        <v>0</v>
      </c>
      <c r="N69" s="207">
        <v>4568475.72758773</v>
      </c>
      <c r="O69" s="207">
        <v>1449244.4094121165</v>
      </c>
      <c r="P69" s="207">
        <v>6017720.136999846</v>
      </c>
      <c r="Q69" s="207">
        <v>52</v>
      </c>
      <c r="R69" s="207">
        <v>10</v>
      </c>
      <c r="S69" s="207">
        <v>91</v>
      </c>
      <c r="T69" s="207">
        <v>53</v>
      </c>
      <c r="U69" s="207">
        <v>49</v>
      </c>
      <c r="V69" s="207">
        <v>682</v>
      </c>
      <c r="W69" s="207">
        <v>250</v>
      </c>
      <c r="X69" s="207">
        <v>144</v>
      </c>
      <c r="Y69" s="207">
        <v>77</v>
      </c>
      <c r="Z69" s="207">
        <v>1</v>
      </c>
      <c r="AA69" s="207">
        <v>0</v>
      </c>
      <c r="AB69" s="207">
        <v>1385</v>
      </c>
      <c r="AC69" s="207">
        <v>22</v>
      </c>
      <c r="AD69" s="207">
        <v>471</v>
      </c>
      <c r="AE69" s="207">
        <v>1.6087155533977513</v>
      </c>
      <c r="AF69" s="207">
        <v>2567164.0850302083</v>
      </c>
      <c r="AG69" s="207">
        <v>18681627.361804213</v>
      </c>
      <c r="AH69" s="207">
        <v>3725494.72339977</v>
      </c>
      <c r="AI69" s="207">
        <v>2001375.8975610626</v>
      </c>
      <c r="AJ69" s="207">
        <v>82</v>
      </c>
      <c r="AK69" s="207">
        <v>577</v>
      </c>
      <c r="AL69" s="207">
        <v>1.2281808047116298</v>
      </c>
      <c r="AM69" s="207">
        <v>22</v>
      </c>
      <c r="AN69" s="207">
        <v>0.015625</v>
      </c>
      <c r="AO69" s="207">
        <v>0.010684288537549408</v>
      </c>
      <c r="AP69" s="207">
        <v>0</v>
      </c>
      <c r="AQ69" s="207">
        <v>1</v>
      </c>
      <c r="AR69" s="207">
        <v>0</v>
      </c>
      <c r="AS69" s="207">
        <v>0</v>
      </c>
      <c r="AT69" s="207">
        <v>0</v>
      </c>
      <c r="AU69" s="207">
        <v>445</v>
      </c>
      <c r="AV69" s="207">
        <v>3.1640449438202247</v>
      </c>
      <c r="AW69" s="207">
        <v>5.731850287373619</v>
      </c>
      <c r="AX69" s="207">
        <v>63</v>
      </c>
      <c r="AY69" s="207">
        <v>345</v>
      </c>
      <c r="AZ69" s="207">
        <v>0.1826086956521739</v>
      </c>
      <c r="BA69" s="207">
        <v>0.12142485956793941</v>
      </c>
      <c r="BB69" s="207">
        <v>0.94145</v>
      </c>
      <c r="BC69" s="207">
        <v>387</v>
      </c>
      <c r="BD69" s="207">
        <v>436</v>
      </c>
      <c r="BE69" s="207">
        <v>0.8876146788990825</v>
      </c>
      <c r="BF69" s="207">
        <v>0.47870779630798943</v>
      </c>
      <c r="BG69" s="207">
        <v>0</v>
      </c>
      <c r="BH69" s="207">
        <v>0</v>
      </c>
      <c r="BI69" s="207">
        <v>0</v>
      </c>
      <c r="BJ69" s="207">
        <v>-337.91999999999996</v>
      </c>
      <c r="BK69" s="207">
        <v>-5772.799999999999</v>
      </c>
      <c r="BL69" s="207">
        <v>-394.24</v>
      </c>
      <c r="BM69" s="207">
        <v>-549.12</v>
      </c>
      <c r="BN69" s="207">
        <v>-28.16</v>
      </c>
      <c r="BO69" s="207">
        <v>12874</v>
      </c>
      <c r="BP69" s="207">
        <v>-27348.391775342596</v>
      </c>
      <c r="BQ69" s="207">
        <v>-127691.51999999999</v>
      </c>
      <c r="BR69" s="207">
        <v>53822.27823724039</v>
      </c>
      <c r="BS69" s="207">
        <v>158615</v>
      </c>
      <c r="BT69" s="207">
        <v>47512</v>
      </c>
      <c r="BU69" s="207">
        <v>119051.56090819609</v>
      </c>
      <c r="BV69" s="207">
        <v>7616.3543238918255</v>
      </c>
      <c r="BW69" s="207">
        <v>21503.490366428287</v>
      </c>
      <c r="BX69" s="207">
        <v>69878.34002194715</v>
      </c>
      <c r="BY69" s="207">
        <v>85699.80887111144</v>
      </c>
      <c r="BZ69" s="207">
        <v>125186.9110305073</v>
      </c>
      <c r="CA69" s="207">
        <v>40962.804342577336</v>
      </c>
      <c r="CB69" s="207">
        <v>73882.99939650185</v>
      </c>
      <c r="CC69" s="207">
        <v>126.72</v>
      </c>
      <c r="CD69" s="207">
        <v>4202.1696548657055</v>
      </c>
      <c r="CE69" s="207">
        <v>60853.759999999995</v>
      </c>
      <c r="CF69" s="207">
        <v>881788.1971532673</v>
      </c>
      <c r="CG69" s="207">
        <v>643535.4853779247</v>
      </c>
      <c r="CH69" s="207">
        <v>0</v>
      </c>
      <c r="CI69" s="207">
        <v>1449244.4094121165</v>
      </c>
      <c r="CJ69" s="207">
        <v>-288354</v>
      </c>
      <c r="CK69" s="207">
        <v>0</v>
      </c>
      <c r="CL69" s="207">
        <v>0</v>
      </c>
      <c r="CM69" s="207">
        <v>-15774.406300000002</v>
      </c>
      <c r="CN69" s="207">
        <v>5729366.136999846</v>
      </c>
      <c r="CO69" s="207">
        <v>5713591.7306998465</v>
      </c>
      <c r="CP69" s="207">
        <v>1424</v>
      </c>
    </row>
    <row r="70" spans="1:94" ht="9.75">
      <c r="A70" s="175">
        <v>217</v>
      </c>
      <c r="B70" s="175" t="s">
        <v>127</v>
      </c>
      <c r="C70" s="207">
        <v>5520</v>
      </c>
      <c r="D70" s="207">
        <v>19627092.17</v>
      </c>
      <c r="E70" s="207">
        <v>6683387.833027726</v>
      </c>
      <c r="F70" s="207">
        <v>1077795.2406626372</v>
      </c>
      <c r="G70" s="207">
        <v>27388275.243690368</v>
      </c>
      <c r="H70" s="207">
        <v>3524.51</v>
      </c>
      <c r="I70" s="207">
        <v>19455295.200000003</v>
      </c>
      <c r="J70" s="207">
        <v>7932980.043690365</v>
      </c>
      <c r="K70" s="207">
        <v>205181.0234415192</v>
      </c>
      <c r="L70" s="207">
        <v>1593252.265792532</v>
      </c>
      <c r="M70" s="207">
        <v>0</v>
      </c>
      <c r="N70" s="207">
        <v>9731413.332924416</v>
      </c>
      <c r="O70" s="207">
        <v>4024883.157208625</v>
      </c>
      <c r="P70" s="207">
        <v>13756296.490133042</v>
      </c>
      <c r="Q70" s="207">
        <v>417</v>
      </c>
      <c r="R70" s="207">
        <v>65</v>
      </c>
      <c r="S70" s="207">
        <v>410</v>
      </c>
      <c r="T70" s="207">
        <v>204</v>
      </c>
      <c r="U70" s="207">
        <v>234</v>
      </c>
      <c r="V70" s="207">
        <v>2979</v>
      </c>
      <c r="W70" s="207">
        <v>703</v>
      </c>
      <c r="X70" s="207">
        <v>354</v>
      </c>
      <c r="Y70" s="207">
        <v>154</v>
      </c>
      <c r="Z70" s="207">
        <v>26</v>
      </c>
      <c r="AA70" s="207">
        <v>0</v>
      </c>
      <c r="AB70" s="207">
        <v>5401</v>
      </c>
      <c r="AC70" s="207">
        <v>93</v>
      </c>
      <c r="AD70" s="207">
        <v>1211</v>
      </c>
      <c r="AE70" s="207">
        <v>1.068281907412031</v>
      </c>
      <c r="AF70" s="207">
        <v>6683387.833027726</v>
      </c>
      <c r="AG70" s="207">
        <v>3294927.1851636246</v>
      </c>
      <c r="AH70" s="207">
        <v>812834.5087928302</v>
      </c>
      <c r="AI70" s="207">
        <v>348453.8393075064</v>
      </c>
      <c r="AJ70" s="207">
        <v>242</v>
      </c>
      <c r="AK70" s="207">
        <v>2505</v>
      </c>
      <c r="AL70" s="207">
        <v>0.8348950804980465</v>
      </c>
      <c r="AM70" s="207">
        <v>93</v>
      </c>
      <c r="AN70" s="207">
        <v>0.01684782608695652</v>
      </c>
      <c r="AO70" s="207">
        <v>0.01190711462450593</v>
      </c>
      <c r="AP70" s="207">
        <v>0</v>
      </c>
      <c r="AQ70" s="207">
        <v>26</v>
      </c>
      <c r="AR70" s="207">
        <v>0</v>
      </c>
      <c r="AS70" s="207">
        <v>0</v>
      </c>
      <c r="AT70" s="207">
        <v>0</v>
      </c>
      <c r="AU70" s="207">
        <v>468.33</v>
      </c>
      <c r="AV70" s="207">
        <v>11.786560758439562</v>
      </c>
      <c r="AW70" s="207">
        <v>1.5386873484288581</v>
      </c>
      <c r="AX70" s="207">
        <v>250</v>
      </c>
      <c r="AY70" s="207">
        <v>1527</v>
      </c>
      <c r="AZ70" s="207">
        <v>0.16371971185330714</v>
      </c>
      <c r="BA70" s="207">
        <v>0.10253587576907264</v>
      </c>
      <c r="BB70" s="207">
        <v>0</v>
      </c>
      <c r="BC70" s="207">
        <v>2151</v>
      </c>
      <c r="BD70" s="207">
        <v>2172</v>
      </c>
      <c r="BE70" s="207">
        <v>0.9903314917127072</v>
      </c>
      <c r="BF70" s="207">
        <v>0.5814246091216141</v>
      </c>
      <c r="BG70" s="207">
        <v>0</v>
      </c>
      <c r="BH70" s="207">
        <v>0</v>
      </c>
      <c r="BI70" s="207">
        <v>0</v>
      </c>
      <c r="BJ70" s="207">
        <v>-1324.8</v>
      </c>
      <c r="BK70" s="207">
        <v>-22631.999999999996</v>
      </c>
      <c r="BL70" s="207">
        <v>-1545.6000000000001</v>
      </c>
      <c r="BM70" s="207">
        <v>-2152.8</v>
      </c>
      <c r="BN70" s="207">
        <v>-110.4</v>
      </c>
      <c r="BO70" s="207">
        <v>-39125</v>
      </c>
      <c r="BP70" s="207">
        <v>-180833.81171982537</v>
      </c>
      <c r="BQ70" s="207">
        <v>-500608.8</v>
      </c>
      <c r="BR70" s="207">
        <v>-29314.746329082176</v>
      </c>
      <c r="BS70" s="207">
        <v>472563</v>
      </c>
      <c r="BT70" s="207">
        <v>155789</v>
      </c>
      <c r="BU70" s="207">
        <v>373453.802525867</v>
      </c>
      <c r="BV70" s="207">
        <v>18040.573836712447</v>
      </c>
      <c r="BW70" s="207">
        <v>72786.55766004905</v>
      </c>
      <c r="BX70" s="207">
        <v>176020.8346108859</v>
      </c>
      <c r="BY70" s="207">
        <v>301129.87290488865</v>
      </c>
      <c r="BZ70" s="207">
        <v>492919.3720727344</v>
      </c>
      <c r="CA70" s="207">
        <v>137422.61225023714</v>
      </c>
      <c r="CB70" s="207">
        <v>254096.82971160897</v>
      </c>
      <c r="CC70" s="207">
        <v>496.79999999999995</v>
      </c>
      <c r="CD70" s="207">
        <v>-23927.031731544248</v>
      </c>
      <c r="CE70" s="207">
        <v>238574.4</v>
      </c>
      <c r="CF70" s="207">
        <v>2600926.877512357</v>
      </c>
      <c r="CG70" s="207">
        <v>1593252.265792532</v>
      </c>
      <c r="CH70" s="207">
        <v>0</v>
      </c>
      <c r="CI70" s="207">
        <v>4024883.157208625</v>
      </c>
      <c r="CJ70" s="207">
        <v>-54108</v>
      </c>
      <c r="CK70" s="207">
        <v>0</v>
      </c>
      <c r="CL70" s="207">
        <v>0</v>
      </c>
      <c r="CM70" s="207">
        <v>-17160.441999999995</v>
      </c>
      <c r="CN70" s="207">
        <v>13702188.490133042</v>
      </c>
      <c r="CO70" s="207">
        <v>13685028.048133042</v>
      </c>
      <c r="CP70" s="207">
        <v>5578</v>
      </c>
    </row>
    <row r="71" spans="1:94" ht="9.75">
      <c r="A71" s="175">
        <v>218</v>
      </c>
      <c r="B71" s="175" t="s">
        <v>128</v>
      </c>
      <c r="C71" s="207">
        <v>1329</v>
      </c>
      <c r="D71" s="207">
        <v>5030794.720000001</v>
      </c>
      <c r="E71" s="207">
        <v>2574965.232632004</v>
      </c>
      <c r="F71" s="207">
        <v>274970.9574135331</v>
      </c>
      <c r="G71" s="207">
        <v>7880730.910045537</v>
      </c>
      <c r="H71" s="207">
        <v>3524.51</v>
      </c>
      <c r="I71" s="207">
        <v>4684073.79</v>
      </c>
      <c r="J71" s="207">
        <v>3196657.120045537</v>
      </c>
      <c r="K71" s="207">
        <v>48377.28558317167</v>
      </c>
      <c r="L71" s="207">
        <v>724609.003346514</v>
      </c>
      <c r="M71" s="207">
        <v>0</v>
      </c>
      <c r="N71" s="207">
        <v>3969643.4089752226</v>
      </c>
      <c r="O71" s="207">
        <v>1178707.7637601648</v>
      </c>
      <c r="P71" s="207">
        <v>5148351.172735387</v>
      </c>
      <c r="Q71" s="207">
        <v>65</v>
      </c>
      <c r="R71" s="207">
        <v>6</v>
      </c>
      <c r="S71" s="207">
        <v>57</v>
      </c>
      <c r="T71" s="207">
        <v>35</v>
      </c>
      <c r="U71" s="207">
        <v>33</v>
      </c>
      <c r="V71" s="207">
        <v>703</v>
      </c>
      <c r="W71" s="207">
        <v>195</v>
      </c>
      <c r="X71" s="207">
        <v>153</v>
      </c>
      <c r="Y71" s="207">
        <v>82</v>
      </c>
      <c r="Z71" s="207">
        <v>23</v>
      </c>
      <c r="AA71" s="207">
        <v>0</v>
      </c>
      <c r="AB71" s="207">
        <v>1296</v>
      </c>
      <c r="AC71" s="207">
        <v>10</v>
      </c>
      <c r="AD71" s="207">
        <v>430</v>
      </c>
      <c r="AE71" s="207">
        <v>1.7095219277841347</v>
      </c>
      <c r="AF71" s="207">
        <v>2574965.232632004</v>
      </c>
      <c r="AG71" s="207">
        <v>8766755.450396901</v>
      </c>
      <c r="AH71" s="207">
        <v>1604501.653800387</v>
      </c>
      <c r="AI71" s="207">
        <v>938144.9519817481</v>
      </c>
      <c r="AJ71" s="207">
        <v>48</v>
      </c>
      <c r="AK71" s="207">
        <v>617</v>
      </c>
      <c r="AL71" s="207">
        <v>0.6723266705003222</v>
      </c>
      <c r="AM71" s="207">
        <v>10</v>
      </c>
      <c r="AN71" s="207">
        <v>0.007524454477050414</v>
      </c>
      <c r="AO71" s="207">
        <v>0.002583743014599821</v>
      </c>
      <c r="AP71" s="207">
        <v>0</v>
      </c>
      <c r="AQ71" s="207">
        <v>23</v>
      </c>
      <c r="AR71" s="207">
        <v>0</v>
      </c>
      <c r="AS71" s="207">
        <v>0</v>
      </c>
      <c r="AT71" s="207">
        <v>0</v>
      </c>
      <c r="AU71" s="207">
        <v>185.76</v>
      </c>
      <c r="AV71" s="207">
        <v>7.154392764857882</v>
      </c>
      <c r="AW71" s="207">
        <v>2.534922601619183</v>
      </c>
      <c r="AX71" s="207">
        <v>58</v>
      </c>
      <c r="AY71" s="207">
        <v>326</v>
      </c>
      <c r="AZ71" s="207">
        <v>0.17791411042944785</v>
      </c>
      <c r="BA71" s="207">
        <v>0.11673027434521335</v>
      </c>
      <c r="BB71" s="207">
        <v>0.0557</v>
      </c>
      <c r="BC71" s="207">
        <v>426</v>
      </c>
      <c r="BD71" s="207">
        <v>536</v>
      </c>
      <c r="BE71" s="207">
        <v>0.7947761194029851</v>
      </c>
      <c r="BF71" s="207">
        <v>0.385869236811892</v>
      </c>
      <c r="BG71" s="207">
        <v>0</v>
      </c>
      <c r="BH71" s="207">
        <v>0</v>
      </c>
      <c r="BI71" s="207">
        <v>0</v>
      </c>
      <c r="BJ71" s="207">
        <v>-318.96</v>
      </c>
      <c r="BK71" s="207">
        <v>-5448.9</v>
      </c>
      <c r="BL71" s="207">
        <v>-372.12000000000006</v>
      </c>
      <c r="BM71" s="207">
        <v>-518.3100000000001</v>
      </c>
      <c r="BN71" s="207">
        <v>-26.580000000000002</v>
      </c>
      <c r="BO71" s="207">
        <v>-17238</v>
      </c>
      <c r="BP71" s="207">
        <v>-12468.297119876137</v>
      </c>
      <c r="BQ71" s="207">
        <v>-120527.01</v>
      </c>
      <c r="BR71" s="207">
        <v>87483.34700512048</v>
      </c>
      <c r="BS71" s="207">
        <v>162602</v>
      </c>
      <c r="BT71" s="207">
        <v>51113</v>
      </c>
      <c r="BU71" s="207">
        <v>118966.60017293353</v>
      </c>
      <c r="BV71" s="207">
        <v>8090.23369131995</v>
      </c>
      <c r="BW71" s="207">
        <v>21888.878572067195</v>
      </c>
      <c r="BX71" s="207">
        <v>65271.60570674855</v>
      </c>
      <c r="BY71" s="207">
        <v>96252.52713104039</v>
      </c>
      <c r="BZ71" s="207">
        <v>159066.5523161456</v>
      </c>
      <c r="CA71" s="207">
        <v>50378.74084016659</v>
      </c>
      <c r="CB71" s="207">
        <v>77954.38721156617</v>
      </c>
      <c r="CC71" s="207">
        <v>119.61</v>
      </c>
      <c r="CD71" s="207">
        <v>-3240.6521807183854</v>
      </c>
      <c r="CE71" s="207">
        <v>57439.38</v>
      </c>
      <c r="CF71" s="207">
        <v>936148.2104663901</v>
      </c>
      <c r="CG71" s="207">
        <v>724609.003346514</v>
      </c>
      <c r="CH71" s="207">
        <v>0</v>
      </c>
      <c r="CI71" s="207">
        <v>1178707.7637601648</v>
      </c>
      <c r="CJ71" s="207">
        <v>-300395</v>
      </c>
      <c r="CK71" s="207">
        <v>0</v>
      </c>
      <c r="CL71" s="207">
        <v>0</v>
      </c>
      <c r="CM71" s="207">
        <v>-428945.0483</v>
      </c>
      <c r="CN71" s="207">
        <v>4847956.172735387</v>
      </c>
      <c r="CO71" s="207">
        <v>4419011.124435388</v>
      </c>
      <c r="CP71" s="207">
        <v>1349</v>
      </c>
    </row>
    <row r="72" spans="1:94" ht="9.75">
      <c r="A72" s="175">
        <v>224</v>
      </c>
      <c r="B72" s="175" t="s">
        <v>129</v>
      </c>
      <c r="C72" s="207">
        <v>8900</v>
      </c>
      <c r="D72" s="207">
        <v>31158110.869999997</v>
      </c>
      <c r="E72" s="207">
        <v>10189970.889402505</v>
      </c>
      <c r="F72" s="207">
        <v>2335508.1138820695</v>
      </c>
      <c r="G72" s="207">
        <v>43683589.87328457</v>
      </c>
      <c r="H72" s="207">
        <v>3524.51</v>
      </c>
      <c r="I72" s="207">
        <v>31368139.000000004</v>
      </c>
      <c r="J72" s="207">
        <v>12315450.873284567</v>
      </c>
      <c r="K72" s="207">
        <v>223957.38446228698</v>
      </c>
      <c r="L72" s="207">
        <v>1850569.5149887768</v>
      </c>
      <c r="M72" s="207">
        <v>0</v>
      </c>
      <c r="N72" s="207">
        <v>14389977.772735631</v>
      </c>
      <c r="O72" s="207">
        <v>4356677.73738007</v>
      </c>
      <c r="P72" s="207">
        <v>18746655.5101157</v>
      </c>
      <c r="Q72" s="207">
        <v>493</v>
      </c>
      <c r="R72" s="207">
        <v>101</v>
      </c>
      <c r="S72" s="207">
        <v>643</v>
      </c>
      <c r="T72" s="207">
        <v>327</v>
      </c>
      <c r="U72" s="207">
        <v>308</v>
      </c>
      <c r="V72" s="207">
        <v>4843</v>
      </c>
      <c r="W72" s="207">
        <v>1289</v>
      </c>
      <c r="X72" s="207">
        <v>597</v>
      </c>
      <c r="Y72" s="207">
        <v>299</v>
      </c>
      <c r="Z72" s="207">
        <v>80</v>
      </c>
      <c r="AA72" s="207">
        <v>0</v>
      </c>
      <c r="AB72" s="207">
        <v>8305</v>
      </c>
      <c r="AC72" s="207">
        <v>515</v>
      </c>
      <c r="AD72" s="207">
        <v>2185</v>
      </c>
      <c r="AE72" s="207">
        <v>1.0102089779781256</v>
      </c>
      <c r="AF72" s="207">
        <v>10189970.889402505</v>
      </c>
      <c r="AG72" s="207">
        <v>2665985.6068086177</v>
      </c>
      <c r="AH72" s="207">
        <v>1026056.0343081123</v>
      </c>
      <c r="AI72" s="207">
        <v>178694.27656795204</v>
      </c>
      <c r="AJ72" s="207">
        <v>433</v>
      </c>
      <c r="AK72" s="207">
        <v>4145</v>
      </c>
      <c r="AL72" s="207">
        <v>0.9027918456852462</v>
      </c>
      <c r="AM72" s="207">
        <v>515</v>
      </c>
      <c r="AN72" s="207">
        <v>0.05786516853932584</v>
      </c>
      <c r="AO72" s="207">
        <v>0.05292445707687525</v>
      </c>
      <c r="AP72" s="207">
        <v>0</v>
      </c>
      <c r="AQ72" s="207">
        <v>80</v>
      </c>
      <c r="AR72" s="207">
        <v>0</v>
      </c>
      <c r="AS72" s="207">
        <v>0</v>
      </c>
      <c r="AT72" s="207">
        <v>0</v>
      </c>
      <c r="AU72" s="207">
        <v>242.36</v>
      </c>
      <c r="AV72" s="207">
        <v>36.7222313913187</v>
      </c>
      <c r="AW72" s="207">
        <v>0.49386519373619525</v>
      </c>
      <c r="AX72" s="207">
        <v>624</v>
      </c>
      <c r="AY72" s="207">
        <v>2801</v>
      </c>
      <c r="AZ72" s="207">
        <v>0.22277757943591575</v>
      </c>
      <c r="BA72" s="207">
        <v>0.16159374335168125</v>
      </c>
      <c r="BB72" s="207">
        <v>0</v>
      </c>
      <c r="BC72" s="207">
        <v>2865</v>
      </c>
      <c r="BD72" s="207">
        <v>3570</v>
      </c>
      <c r="BE72" s="207">
        <v>0.8025210084033614</v>
      </c>
      <c r="BF72" s="207">
        <v>0.3936141258122683</v>
      </c>
      <c r="BG72" s="207">
        <v>0</v>
      </c>
      <c r="BH72" s="207">
        <v>0</v>
      </c>
      <c r="BI72" s="207">
        <v>0</v>
      </c>
      <c r="BJ72" s="207">
        <v>-2136</v>
      </c>
      <c r="BK72" s="207">
        <v>-36490</v>
      </c>
      <c r="BL72" s="207">
        <v>-2492.0000000000005</v>
      </c>
      <c r="BM72" s="207">
        <v>-3471</v>
      </c>
      <c r="BN72" s="207">
        <v>-178</v>
      </c>
      <c r="BO72" s="207">
        <v>-176375</v>
      </c>
      <c r="BP72" s="207">
        <v>-403661.0143796872</v>
      </c>
      <c r="BQ72" s="207">
        <v>-807141</v>
      </c>
      <c r="BR72" s="207">
        <v>-10497.994075188413</v>
      </c>
      <c r="BS72" s="207">
        <v>685735</v>
      </c>
      <c r="BT72" s="207">
        <v>228313</v>
      </c>
      <c r="BU72" s="207">
        <v>466962.71765660605</v>
      </c>
      <c r="BV72" s="207">
        <v>11345.00072373815</v>
      </c>
      <c r="BW72" s="207">
        <v>67552.37743129855</v>
      </c>
      <c r="BX72" s="207">
        <v>178336.21752535802</v>
      </c>
      <c r="BY72" s="207">
        <v>429863.58683494903</v>
      </c>
      <c r="BZ72" s="207">
        <v>726820.3431030754</v>
      </c>
      <c r="CA72" s="207">
        <v>196777.54589011226</v>
      </c>
      <c r="CB72" s="207">
        <v>363343.8147733445</v>
      </c>
      <c r="CC72" s="207">
        <v>801</v>
      </c>
      <c r="CD72" s="207">
        <v>33725.91950516996</v>
      </c>
      <c r="CE72" s="207">
        <v>384658</v>
      </c>
      <c r="CF72" s="207">
        <v>3587361.529368464</v>
      </c>
      <c r="CG72" s="207">
        <v>1850569.5149887768</v>
      </c>
      <c r="CH72" s="207">
        <v>0</v>
      </c>
      <c r="CI72" s="207">
        <v>4356677.73738007</v>
      </c>
      <c r="CJ72" s="207">
        <v>-647269</v>
      </c>
      <c r="CK72" s="207">
        <v>0</v>
      </c>
      <c r="CL72" s="207">
        <v>0</v>
      </c>
      <c r="CM72" s="207">
        <v>58319.10212000008</v>
      </c>
      <c r="CN72" s="207">
        <v>18099386.5101157</v>
      </c>
      <c r="CO72" s="207">
        <v>18157705.612235703</v>
      </c>
      <c r="CP72" s="207">
        <v>8911</v>
      </c>
    </row>
    <row r="73" spans="1:94" ht="9.75">
      <c r="A73" s="175">
        <v>226</v>
      </c>
      <c r="B73" s="175" t="s">
        <v>130</v>
      </c>
      <c r="C73" s="207">
        <v>4146</v>
      </c>
      <c r="D73" s="207">
        <v>15109309.73</v>
      </c>
      <c r="E73" s="207">
        <v>6308011.359629249</v>
      </c>
      <c r="F73" s="207">
        <v>1232169.171962845</v>
      </c>
      <c r="G73" s="207">
        <v>22649490.261592094</v>
      </c>
      <c r="H73" s="207">
        <v>3524.51</v>
      </c>
      <c r="I73" s="207">
        <v>14612618.46</v>
      </c>
      <c r="J73" s="207">
        <v>8036871.801592093</v>
      </c>
      <c r="K73" s="207">
        <v>991163.1516002289</v>
      </c>
      <c r="L73" s="207">
        <v>1533516.245422603</v>
      </c>
      <c r="M73" s="207">
        <v>0</v>
      </c>
      <c r="N73" s="207">
        <v>10561551.198614925</v>
      </c>
      <c r="O73" s="207">
        <v>3990983.1158073735</v>
      </c>
      <c r="P73" s="207">
        <v>14552534.314422298</v>
      </c>
      <c r="Q73" s="207">
        <v>183</v>
      </c>
      <c r="R73" s="207">
        <v>40</v>
      </c>
      <c r="S73" s="207">
        <v>249</v>
      </c>
      <c r="T73" s="207">
        <v>150</v>
      </c>
      <c r="U73" s="207">
        <v>131</v>
      </c>
      <c r="V73" s="207">
        <v>2090</v>
      </c>
      <c r="W73" s="207">
        <v>704</v>
      </c>
      <c r="X73" s="207">
        <v>426</v>
      </c>
      <c r="Y73" s="207">
        <v>173</v>
      </c>
      <c r="Z73" s="207">
        <v>2</v>
      </c>
      <c r="AA73" s="207">
        <v>0</v>
      </c>
      <c r="AB73" s="207">
        <v>4100</v>
      </c>
      <c r="AC73" s="207">
        <v>44</v>
      </c>
      <c r="AD73" s="207">
        <v>1303</v>
      </c>
      <c r="AE73" s="207">
        <v>1.3424294039991602</v>
      </c>
      <c r="AF73" s="207">
        <v>6308011.359629249</v>
      </c>
      <c r="AG73" s="207">
        <v>12848880.887140522</v>
      </c>
      <c r="AH73" s="207">
        <v>3076465.4264955395</v>
      </c>
      <c r="AI73" s="207">
        <v>1277664.0774608569</v>
      </c>
      <c r="AJ73" s="207">
        <v>257</v>
      </c>
      <c r="AK73" s="207">
        <v>1766</v>
      </c>
      <c r="AL73" s="207">
        <v>1.2576699676123726</v>
      </c>
      <c r="AM73" s="207">
        <v>44</v>
      </c>
      <c r="AN73" s="207">
        <v>0.010612638687891944</v>
      </c>
      <c r="AO73" s="207">
        <v>0.005671927225441351</v>
      </c>
      <c r="AP73" s="207">
        <v>0</v>
      </c>
      <c r="AQ73" s="207">
        <v>2</v>
      </c>
      <c r="AR73" s="207">
        <v>0</v>
      </c>
      <c r="AS73" s="207">
        <v>0</v>
      </c>
      <c r="AT73" s="207">
        <v>0</v>
      </c>
      <c r="AU73" s="207">
        <v>887.06</v>
      </c>
      <c r="AV73" s="207">
        <v>4.673866480283183</v>
      </c>
      <c r="AW73" s="207">
        <v>3.88026316049152</v>
      </c>
      <c r="AX73" s="207">
        <v>142</v>
      </c>
      <c r="AY73" s="207">
        <v>1094</v>
      </c>
      <c r="AZ73" s="207">
        <v>0.12979890310786105</v>
      </c>
      <c r="BA73" s="207">
        <v>0.06861506702362655</v>
      </c>
      <c r="BB73" s="207">
        <v>0.953816</v>
      </c>
      <c r="BC73" s="207">
        <v>1411</v>
      </c>
      <c r="BD73" s="207">
        <v>1403</v>
      </c>
      <c r="BE73" s="207">
        <v>1.0057020669992873</v>
      </c>
      <c r="BF73" s="207">
        <v>0.5967951844081942</v>
      </c>
      <c r="BG73" s="207">
        <v>0</v>
      </c>
      <c r="BH73" s="207">
        <v>0</v>
      </c>
      <c r="BI73" s="207">
        <v>0</v>
      </c>
      <c r="BJ73" s="207">
        <v>-995.04</v>
      </c>
      <c r="BK73" s="207">
        <v>-16998.6</v>
      </c>
      <c r="BL73" s="207">
        <v>-1160.88</v>
      </c>
      <c r="BM73" s="207">
        <v>-1616.94</v>
      </c>
      <c r="BN73" s="207">
        <v>-82.92</v>
      </c>
      <c r="BO73" s="207">
        <v>77843</v>
      </c>
      <c r="BP73" s="207">
        <v>-135636.2760150949</v>
      </c>
      <c r="BQ73" s="207">
        <v>-376000.74</v>
      </c>
      <c r="BR73" s="207">
        <v>29320.945028565824</v>
      </c>
      <c r="BS73" s="207">
        <v>418140</v>
      </c>
      <c r="BT73" s="207">
        <v>130108</v>
      </c>
      <c r="BU73" s="207">
        <v>326875.1375349644</v>
      </c>
      <c r="BV73" s="207">
        <v>18659.542831763487</v>
      </c>
      <c r="BW73" s="207">
        <v>35891.78501852707</v>
      </c>
      <c r="BX73" s="207">
        <v>158948.51525087937</v>
      </c>
      <c r="BY73" s="207">
        <v>230569.23956807284</v>
      </c>
      <c r="BZ73" s="207">
        <v>370414.3147754081</v>
      </c>
      <c r="CA73" s="207">
        <v>114099.50544567108</v>
      </c>
      <c r="CB73" s="207">
        <v>203734.1396641163</v>
      </c>
      <c r="CC73" s="207">
        <v>373.14</v>
      </c>
      <c r="CD73" s="207">
        <v>-3985.5236802705986</v>
      </c>
      <c r="CE73" s="207">
        <v>179190.12</v>
      </c>
      <c r="CF73" s="207">
        <v>2290181.861437698</v>
      </c>
      <c r="CG73" s="207">
        <v>1533516.245422603</v>
      </c>
      <c r="CH73" s="207">
        <v>0</v>
      </c>
      <c r="CI73" s="207">
        <v>3990983.1158073735</v>
      </c>
      <c r="CJ73" s="207">
        <v>75286</v>
      </c>
      <c r="CK73" s="207">
        <v>0</v>
      </c>
      <c r="CL73" s="207">
        <v>0</v>
      </c>
      <c r="CM73" s="207">
        <v>182098.69030000002</v>
      </c>
      <c r="CN73" s="207">
        <v>14627820.314422298</v>
      </c>
      <c r="CO73" s="207">
        <v>14809919.004722299</v>
      </c>
      <c r="CP73" s="207">
        <v>4232</v>
      </c>
    </row>
    <row r="74" spans="1:94" ht="9.75">
      <c r="A74" s="175">
        <v>230</v>
      </c>
      <c r="B74" s="175" t="s">
        <v>131</v>
      </c>
      <c r="C74" s="207">
        <v>2403</v>
      </c>
      <c r="D74" s="207">
        <v>8656845.139999999</v>
      </c>
      <c r="E74" s="207">
        <v>3068155.090211342</v>
      </c>
      <c r="F74" s="207">
        <v>801753.0171825197</v>
      </c>
      <c r="G74" s="207">
        <v>12526753.24739386</v>
      </c>
      <c r="H74" s="207">
        <v>3524.51</v>
      </c>
      <c r="I74" s="207">
        <v>8469397.530000001</v>
      </c>
      <c r="J74" s="207">
        <v>4057355.7173938584</v>
      </c>
      <c r="K74" s="207">
        <v>357493.0245827781</v>
      </c>
      <c r="L74" s="207">
        <v>1275175.1669736619</v>
      </c>
      <c r="M74" s="207">
        <v>0</v>
      </c>
      <c r="N74" s="207">
        <v>5690023.908950298</v>
      </c>
      <c r="O74" s="207">
        <v>2588499.133708739</v>
      </c>
      <c r="P74" s="207">
        <v>8278523.042659037</v>
      </c>
      <c r="Q74" s="207">
        <v>121</v>
      </c>
      <c r="R74" s="207">
        <v>9</v>
      </c>
      <c r="S74" s="207">
        <v>124</v>
      </c>
      <c r="T74" s="207">
        <v>71</v>
      </c>
      <c r="U74" s="207">
        <v>71</v>
      </c>
      <c r="V74" s="207">
        <v>1225</v>
      </c>
      <c r="W74" s="207">
        <v>422</v>
      </c>
      <c r="X74" s="207">
        <v>248</v>
      </c>
      <c r="Y74" s="207">
        <v>112</v>
      </c>
      <c r="Z74" s="207">
        <v>2</v>
      </c>
      <c r="AA74" s="207">
        <v>0</v>
      </c>
      <c r="AB74" s="207">
        <v>2344</v>
      </c>
      <c r="AC74" s="207">
        <v>57</v>
      </c>
      <c r="AD74" s="207">
        <v>782</v>
      </c>
      <c r="AE74" s="207">
        <v>1.1265535101643394</v>
      </c>
      <c r="AF74" s="207">
        <v>3068155.090211342</v>
      </c>
      <c r="AG74" s="207">
        <v>8093143.3105544625</v>
      </c>
      <c r="AH74" s="207">
        <v>1628958.2788685646</v>
      </c>
      <c r="AI74" s="207">
        <v>741581.2477570008</v>
      </c>
      <c r="AJ74" s="207">
        <v>128</v>
      </c>
      <c r="AK74" s="207">
        <v>1052</v>
      </c>
      <c r="AL74" s="207">
        <v>1.0515223211627347</v>
      </c>
      <c r="AM74" s="207">
        <v>57</v>
      </c>
      <c r="AN74" s="207">
        <v>0.02372034956304619</v>
      </c>
      <c r="AO74" s="207">
        <v>0.0187796381005956</v>
      </c>
      <c r="AP74" s="207">
        <v>0</v>
      </c>
      <c r="AQ74" s="207">
        <v>2</v>
      </c>
      <c r="AR74" s="207">
        <v>0</v>
      </c>
      <c r="AS74" s="207">
        <v>0</v>
      </c>
      <c r="AT74" s="207">
        <v>0</v>
      </c>
      <c r="AU74" s="207">
        <v>502.16</v>
      </c>
      <c r="AV74" s="207">
        <v>4.785327385693803</v>
      </c>
      <c r="AW74" s="207">
        <v>3.7898832114847183</v>
      </c>
      <c r="AX74" s="207">
        <v>135</v>
      </c>
      <c r="AY74" s="207">
        <v>629</v>
      </c>
      <c r="AZ74" s="207">
        <v>0.21462639109697934</v>
      </c>
      <c r="BA74" s="207">
        <v>0.15344255501274484</v>
      </c>
      <c r="BB74" s="207">
        <v>0.5636</v>
      </c>
      <c r="BC74" s="207">
        <v>770</v>
      </c>
      <c r="BD74" s="207">
        <v>876</v>
      </c>
      <c r="BE74" s="207">
        <v>0.8789954337899544</v>
      </c>
      <c r="BF74" s="207">
        <v>0.4700885511988613</v>
      </c>
      <c r="BG74" s="207">
        <v>0</v>
      </c>
      <c r="BH74" s="207">
        <v>0</v>
      </c>
      <c r="BI74" s="207">
        <v>0</v>
      </c>
      <c r="BJ74" s="207">
        <v>-576.72</v>
      </c>
      <c r="BK74" s="207">
        <v>-9852.3</v>
      </c>
      <c r="BL74" s="207">
        <v>-672.84</v>
      </c>
      <c r="BM74" s="207">
        <v>-937.1700000000001</v>
      </c>
      <c r="BN74" s="207">
        <v>-48.06</v>
      </c>
      <c r="BO74" s="207">
        <v>139899</v>
      </c>
      <c r="BP74" s="207">
        <v>-32791.449292427154</v>
      </c>
      <c r="BQ74" s="207">
        <v>-217928.07</v>
      </c>
      <c r="BR74" s="207">
        <v>9185.336451798677</v>
      </c>
      <c r="BS74" s="207">
        <v>291060</v>
      </c>
      <c r="BT74" s="207">
        <v>92413</v>
      </c>
      <c r="BU74" s="207">
        <v>256894.05377211169</v>
      </c>
      <c r="BV74" s="207">
        <v>15394.886270220215</v>
      </c>
      <c r="BW74" s="207">
        <v>35647.9445174762</v>
      </c>
      <c r="BX74" s="207">
        <v>106520.14217974393</v>
      </c>
      <c r="BY74" s="207">
        <v>169559.83785104705</v>
      </c>
      <c r="BZ74" s="207">
        <v>240230.03207086163</v>
      </c>
      <c r="CA74" s="207">
        <v>84367.24290657333</v>
      </c>
      <c r="CB74" s="207">
        <v>135286.7709038614</v>
      </c>
      <c r="CC74" s="207">
        <v>216.26999999999998</v>
      </c>
      <c r="CD74" s="207">
        <v>-12620.190657605053</v>
      </c>
      <c r="CE74" s="207">
        <v>103857.66</v>
      </c>
      <c r="CF74" s="207">
        <v>1667911.9862660891</v>
      </c>
      <c r="CG74" s="207">
        <v>1275175.1669736619</v>
      </c>
      <c r="CH74" s="207">
        <v>0</v>
      </c>
      <c r="CI74" s="207">
        <v>2588499.133708739</v>
      </c>
      <c r="CJ74" s="207">
        <v>-428161</v>
      </c>
      <c r="CK74" s="207">
        <v>0</v>
      </c>
      <c r="CL74" s="207">
        <v>0</v>
      </c>
      <c r="CM74" s="207">
        <v>22440.578</v>
      </c>
      <c r="CN74" s="207">
        <v>7850362.042659037</v>
      </c>
      <c r="CO74" s="207">
        <v>7872802.620659037</v>
      </c>
      <c r="CP74" s="207">
        <v>2449</v>
      </c>
    </row>
    <row r="75" spans="1:94" ht="9.75">
      <c r="A75" s="175">
        <v>231</v>
      </c>
      <c r="B75" s="175" t="s">
        <v>132</v>
      </c>
      <c r="C75" s="207">
        <v>1274</v>
      </c>
      <c r="D75" s="207">
        <v>4243584.91</v>
      </c>
      <c r="E75" s="207">
        <v>1548579.4600859515</v>
      </c>
      <c r="F75" s="207">
        <v>420870.4840917122</v>
      </c>
      <c r="G75" s="207">
        <v>6213034.854177664</v>
      </c>
      <c r="H75" s="207">
        <v>3524.51</v>
      </c>
      <c r="I75" s="207">
        <v>4490225.74</v>
      </c>
      <c r="J75" s="207">
        <v>1722809.1141776638</v>
      </c>
      <c r="K75" s="207">
        <v>147165.82338190393</v>
      </c>
      <c r="L75" s="207">
        <v>398917.48394028883</v>
      </c>
      <c r="M75" s="207">
        <v>0</v>
      </c>
      <c r="N75" s="207">
        <v>2268892.4214998567</v>
      </c>
      <c r="O75" s="207">
        <v>-278981.06667239324</v>
      </c>
      <c r="P75" s="207">
        <v>1989911.3548274636</v>
      </c>
      <c r="Q75" s="207">
        <v>53</v>
      </c>
      <c r="R75" s="207">
        <v>10</v>
      </c>
      <c r="S75" s="207">
        <v>54</v>
      </c>
      <c r="T75" s="207">
        <v>31</v>
      </c>
      <c r="U75" s="207">
        <v>31</v>
      </c>
      <c r="V75" s="207">
        <v>604</v>
      </c>
      <c r="W75" s="207">
        <v>306</v>
      </c>
      <c r="X75" s="207">
        <v>140</v>
      </c>
      <c r="Y75" s="207">
        <v>45</v>
      </c>
      <c r="Z75" s="207">
        <v>381</v>
      </c>
      <c r="AA75" s="207">
        <v>0</v>
      </c>
      <c r="AB75" s="207">
        <v>812</v>
      </c>
      <c r="AC75" s="207">
        <v>81</v>
      </c>
      <c r="AD75" s="207">
        <v>491</v>
      </c>
      <c r="AE75" s="207">
        <v>1.072487783225578</v>
      </c>
      <c r="AF75" s="207">
        <v>1548579.4600859515</v>
      </c>
      <c r="AG75" s="207">
        <v>4347790.731418686</v>
      </c>
      <c r="AH75" s="207">
        <v>962012.1822704005</v>
      </c>
      <c r="AI75" s="207">
        <v>348453.83930750645</v>
      </c>
      <c r="AJ75" s="207">
        <v>54</v>
      </c>
      <c r="AK75" s="207">
        <v>545</v>
      </c>
      <c r="AL75" s="207">
        <v>0.856291284699149</v>
      </c>
      <c r="AM75" s="207">
        <v>81</v>
      </c>
      <c r="AN75" s="207">
        <v>0.06357927786499215</v>
      </c>
      <c r="AO75" s="207">
        <v>0.05863856640254156</v>
      </c>
      <c r="AP75" s="207">
        <v>1</v>
      </c>
      <c r="AQ75" s="207">
        <v>381</v>
      </c>
      <c r="AR75" s="207">
        <v>0</v>
      </c>
      <c r="AS75" s="207">
        <v>0</v>
      </c>
      <c r="AT75" s="207">
        <v>0</v>
      </c>
      <c r="AU75" s="207">
        <v>10.63</v>
      </c>
      <c r="AV75" s="207">
        <v>119.8494825964252</v>
      </c>
      <c r="AW75" s="207">
        <v>0.15132173729584333</v>
      </c>
      <c r="AX75" s="207">
        <v>48</v>
      </c>
      <c r="AY75" s="207">
        <v>281</v>
      </c>
      <c r="AZ75" s="207">
        <v>0.1708185053380783</v>
      </c>
      <c r="BA75" s="207">
        <v>0.1096346692538438</v>
      </c>
      <c r="BB75" s="207">
        <v>0.360033</v>
      </c>
      <c r="BC75" s="207">
        <v>453</v>
      </c>
      <c r="BD75" s="207">
        <v>440</v>
      </c>
      <c r="BE75" s="207">
        <v>1.0295454545454545</v>
      </c>
      <c r="BF75" s="207">
        <v>0.6206385719543615</v>
      </c>
      <c r="BG75" s="207">
        <v>0</v>
      </c>
      <c r="BH75" s="207">
        <v>0</v>
      </c>
      <c r="BI75" s="207">
        <v>0</v>
      </c>
      <c r="BJ75" s="207">
        <v>-305.76</v>
      </c>
      <c r="BK75" s="207">
        <v>-5223.4</v>
      </c>
      <c r="BL75" s="207">
        <v>-356.72</v>
      </c>
      <c r="BM75" s="207">
        <v>-496.86</v>
      </c>
      <c r="BN75" s="207">
        <v>-25.48</v>
      </c>
      <c r="BO75" s="207">
        <v>23962</v>
      </c>
      <c r="BP75" s="207">
        <v>-3825.3703787026607</v>
      </c>
      <c r="BQ75" s="207">
        <v>-115539.06</v>
      </c>
      <c r="BR75" s="207">
        <v>10795.96809515229</v>
      </c>
      <c r="BS75" s="207">
        <v>96307</v>
      </c>
      <c r="BT75" s="207">
        <v>37918</v>
      </c>
      <c r="BU75" s="207">
        <v>84599.72105985375</v>
      </c>
      <c r="BV75" s="207">
        <v>4667.110441196863</v>
      </c>
      <c r="BW75" s="207">
        <v>14013.607726811122</v>
      </c>
      <c r="BX75" s="207">
        <v>34434.394086437955</v>
      </c>
      <c r="BY75" s="207">
        <v>64977.746840366635</v>
      </c>
      <c r="BZ75" s="207">
        <v>108592.87659227524</v>
      </c>
      <c r="CA75" s="207">
        <v>32056.051184232758</v>
      </c>
      <c r="CB75" s="207">
        <v>55307.081604828636</v>
      </c>
      <c r="CC75" s="207">
        <v>114.66</v>
      </c>
      <c r="CD75" s="207">
        <v>-29233.183312163666</v>
      </c>
      <c r="CE75" s="207">
        <v>55062.28</v>
      </c>
      <c r="CF75" s="207">
        <v>593575.3143189915</v>
      </c>
      <c r="CG75" s="207">
        <v>398917.48394028883</v>
      </c>
      <c r="CH75" s="207">
        <v>0</v>
      </c>
      <c r="CI75" s="207">
        <v>-278981.06667239324</v>
      </c>
      <c r="CJ75" s="207">
        <v>-197582</v>
      </c>
      <c r="CK75" s="207">
        <v>0</v>
      </c>
      <c r="CL75" s="207">
        <v>0</v>
      </c>
      <c r="CM75" s="207">
        <v>-315422.1243</v>
      </c>
      <c r="CN75" s="207">
        <v>1792329.3548274636</v>
      </c>
      <c r="CO75" s="207">
        <v>1476907.2305274636</v>
      </c>
      <c r="CP75" s="207">
        <v>1296</v>
      </c>
    </row>
    <row r="76" spans="1:94" ht="9.75">
      <c r="A76" s="175">
        <v>232</v>
      </c>
      <c r="B76" s="175" t="s">
        <v>133</v>
      </c>
      <c r="C76" s="207">
        <v>13610</v>
      </c>
      <c r="D76" s="207">
        <v>47677940.970000006</v>
      </c>
      <c r="E76" s="207">
        <v>20971257.833026983</v>
      </c>
      <c r="F76" s="207">
        <v>2812030.2363294754</v>
      </c>
      <c r="G76" s="207">
        <v>71461229.03935647</v>
      </c>
      <c r="H76" s="207">
        <v>3524.51</v>
      </c>
      <c r="I76" s="207">
        <v>47968581.1</v>
      </c>
      <c r="J76" s="207">
        <v>23492647.93935647</v>
      </c>
      <c r="K76" s="207">
        <v>530958.9484073478</v>
      </c>
      <c r="L76" s="207">
        <v>4759858.735420891</v>
      </c>
      <c r="M76" s="207">
        <v>0</v>
      </c>
      <c r="N76" s="207">
        <v>28783465.623184707</v>
      </c>
      <c r="O76" s="207">
        <v>10589298.210188102</v>
      </c>
      <c r="P76" s="207">
        <v>39372763.83337281</v>
      </c>
      <c r="Q76" s="207">
        <v>785</v>
      </c>
      <c r="R76" s="207">
        <v>156</v>
      </c>
      <c r="S76" s="207">
        <v>883</v>
      </c>
      <c r="T76" s="207">
        <v>504</v>
      </c>
      <c r="U76" s="207">
        <v>462</v>
      </c>
      <c r="V76" s="207">
        <v>7371</v>
      </c>
      <c r="W76" s="207">
        <v>2030</v>
      </c>
      <c r="X76" s="207">
        <v>952</v>
      </c>
      <c r="Y76" s="207">
        <v>467</v>
      </c>
      <c r="Z76" s="207">
        <v>38</v>
      </c>
      <c r="AA76" s="207">
        <v>0</v>
      </c>
      <c r="AB76" s="207">
        <v>13267</v>
      </c>
      <c r="AC76" s="207">
        <v>305</v>
      </c>
      <c r="AD76" s="207">
        <v>3449</v>
      </c>
      <c r="AE76" s="207">
        <v>1.3595483018394405</v>
      </c>
      <c r="AF76" s="207">
        <v>20971257.833026983</v>
      </c>
      <c r="AG76" s="207">
        <v>2283512.6059987606</v>
      </c>
      <c r="AH76" s="207">
        <v>611376.9295128743</v>
      </c>
      <c r="AI76" s="207">
        <v>160824.84891115682</v>
      </c>
      <c r="AJ76" s="207">
        <v>592</v>
      </c>
      <c r="AK76" s="207">
        <v>6171</v>
      </c>
      <c r="AL76" s="207">
        <v>0.8290685227057666</v>
      </c>
      <c r="AM76" s="207">
        <v>305</v>
      </c>
      <c r="AN76" s="207">
        <v>0.022409992652461425</v>
      </c>
      <c r="AO76" s="207">
        <v>0.017469281190010833</v>
      </c>
      <c r="AP76" s="207">
        <v>0</v>
      </c>
      <c r="AQ76" s="207">
        <v>38</v>
      </c>
      <c r="AR76" s="207">
        <v>0</v>
      </c>
      <c r="AS76" s="207">
        <v>0</v>
      </c>
      <c r="AT76" s="207">
        <v>0</v>
      </c>
      <c r="AU76" s="207">
        <v>1298.98</v>
      </c>
      <c r="AV76" s="207">
        <v>10.477451538899752</v>
      </c>
      <c r="AW76" s="207">
        <v>1.7309392320418657</v>
      </c>
      <c r="AX76" s="207">
        <v>578</v>
      </c>
      <c r="AY76" s="207">
        <v>3904</v>
      </c>
      <c r="AZ76" s="207">
        <v>0.14805327868852458</v>
      </c>
      <c r="BA76" s="207">
        <v>0.08686944260429008</v>
      </c>
      <c r="BB76" s="207">
        <v>0</v>
      </c>
      <c r="BC76" s="207">
        <v>5377</v>
      </c>
      <c r="BD76" s="207">
        <v>5276</v>
      </c>
      <c r="BE76" s="207">
        <v>1.0191432903714936</v>
      </c>
      <c r="BF76" s="207">
        <v>0.6102364077804006</v>
      </c>
      <c r="BG76" s="207">
        <v>0</v>
      </c>
      <c r="BH76" s="207">
        <v>0</v>
      </c>
      <c r="BI76" s="207">
        <v>0</v>
      </c>
      <c r="BJ76" s="207">
        <v>-3266.4</v>
      </c>
      <c r="BK76" s="207">
        <v>-55800.99999999999</v>
      </c>
      <c r="BL76" s="207">
        <v>-3810.8</v>
      </c>
      <c r="BM76" s="207">
        <v>-5307.900000000001</v>
      </c>
      <c r="BN76" s="207">
        <v>-272.2</v>
      </c>
      <c r="BO76" s="207">
        <v>-121273</v>
      </c>
      <c r="BP76" s="207">
        <v>-612573.3233510503</v>
      </c>
      <c r="BQ76" s="207">
        <v>-1234290.9</v>
      </c>
      <c r="BR76" s="207">
        <v>220633.7152224183</v>
      </c>
      <c r="BS76" s="207">
        <v>1348002</v>
      </c>
      <c r="BT76" s="207">
        <v>442548</v>
      </c>
      <c r="BU76" s="207">
        <v>1109041.4400691977</v>
      </c>
      <c r="BV76" s="207">
        <v>52325.6392268162</v>
      </c>
      <c r="BW76" s="207">
        <v>142064.68655123145</v>
      </c>
      <c r="BX76" s="207">
        <v>519039.0985858991</v>
      </c>
      <c r="BY76" s="207">
        <v>837154.959615151</v>
      </c>
      <c r="BZ76" s="207">
        <v>1257961.1728310033</v>
      </c>
      <c r="CA76" s="207">
        <v>390550.8166091616</v>
      </c>
      <c r="CB76" s="207">
        <v>682682.4474769958</v>
      </c>
      <c r="CC76" s="207">
        <v>1224.8999999999999</v>
      </c>
      <c r="CD76" s="207">
        <v>-59106.117415934874</v>
      </c>
      <c r="CE76" s="207">
        <v>588224.2</v>
      </c>
      <c r="CF76" s="207">
        <v>7411073.958771941</v>
      </c>
      <c r="CG76" s="207">
        <v>4759858.735420891</v>
      </c>
      <c r="CH76" s="207">
        <v>0</v>
      </c>
      <c r="CI76" s="207">
        <v>10589298.210188102</v>
      </c>
      <c r="CJ76" s="207">
        <v>-636890</v>
      </c>
      <c r="CK76" s="207">
        <v>0</v>
      </c>
      <c r="CL76" s="207">
        <v>0</v>
      </c>
      <c r="CM76" s="207">
        <v>-104414.68939999997</v>
      </c>
      <c r="CN76" s="207">
        <v>38735873.83337281</v>
      </c>
      <c r="CO76" s="207">
        <v>38631459.14397281</v>
      </c>
      <c r="CP76" s="207">
        <v>13772</v>
      </c>
    </row>
    <row r="77" spans="1:94" ht="9.75">
      <c r="A77" s="175">
        <v>233</v>
      </c>
      <c r="B77" s="175" t="s">
        <v>134</v>
      </c>
      <c r="C77" s="207">
        <v>16278</v>
      </c>
      <c r="D77" s="207">
        <v>61039366.86</v>
      </c>
      <c r="E77" s="207">
        <v>24619807.65821211</v>
      </c>
      <c r="F77" s="207">
        <v>2953816.362946719</v>
      </c>
      <c r="G77" s="207">
        <v>88612990.88115883</v>
      </c>
      <c r="H77" s="207">
        <v>3524.51</v>
      </c>
      <c r="I77" s="207">
        <v>57371973.78</v>
      </c>
      <c r="J77" s="207">
        <v>31241017.101158828</v>
      </c>
      <c r="K77" s="207">
        <v>680465.1044627832</v>
      </c>
      <c r="L77" s="207">
        <v>5347553.461131418</v>
      </c>
      <c r="M77" s="207">
        <v>0</v>
      </c>
      <c r="N77" s="207">
        <v>37269035.66675303</v>
      </c>
      <c r="O77" s="207">
        <v>12683906.406466236</v>
      </c>
      <c r="P77" s="207">
        <v>49952942.07321927</v>
      </c>
      <c r="Q77" s="207">
        <v>914</v>
      </c>
      <c r="R77" s="207">
        <v>191</v>
      </c>
      <c r="S77" s="207">
        <v>1158</v>
      </c>
      <c r="T77" s="207">
        <v>598</v>
      </c>
      <c r="U77" s="207">
        <v>580</v>
      </c>
      <c r="V77" s="207">
        <v>8402</v>
      </c>
      <c r="W77" s="207">
        <v>2357</v>
      </c>
      <c r="X77" s="207">
        <v>1380</v>
      </c>
      <c r="Y77" s="207">
        <v>698</v>
      </c>
      <c r="Z77" s="207">
        <v>106</v>
      </c>
      <c r="AA77" s="207">
        <v>0</v>
      </c>
      <c r="AB77" s="207">
        <v>15730</v>
      </c>
      <c r="AC77" s="207">
        <v>442</v>
      </c>
      <c r="AD77" s="207">
        <v>4435</v>
      </c>
      <c r="AE77" s="207">
        <v>1.334479475769834</v>
      </c>
      <c r="AF77" s="207">
        <v>24619807.65821211</v>
      </c>
      <c r="AG77" s="207">
        <v>25441030.591903463</v>
      </c>
      <c r="AH77" s="207">
        <v>7035652.48974772</v>
      </c>
      <c r="AI77" s="207">
        <v>3082476.270797172</v>
      </c>
      <c r="AJ77" s="207">
        <v>518</v>
      </c>
      <c r="AK77" s="207">
        <v>7259</v>
      </c>
      <c r="AL77" s="207">
        <v>0.6167046593077731</v>
      </c>
      <c r="AM77" s="207">
        <v>442</v>
      </c>
      <c r="AN77" s="207">
        <v>0.027153212925420812</v>
      </c>
      <c r="AO77" s="207">
        <v>0.02221250146297022</v>
      </c>
      <c r="AP77" s="207">
        <v>0</v>
      </c>
      <c r="AQ77" s="207">
        <v>106</v>
      </c>
      <c r="AR77" s="207">
        <v>0</v>
      </c>
      <c r="AS77" s="207">
        <v>0</v>
      </c>
      <c r="AT77" s="207">
        <v>0</v>
      </c>
      <c r="AU77" s="207">
        <v>1313.51</v>
      </c>
      <c r="AV77" s="207">
        <v>12.392749198711849</v>
      </c>
      <c r="AW77" s="207">
        <v>1.4634228152042414</v>
      </c>
      <c r="AX77" s="207">
        <v>603</v>
      </c>
      <c r="AY77" s="207">
        <v>4479</v>
      </c>
      <c r="AZ77" s="207">
        <v>0.1346282652377763</v>
      </c>
      <c r="BA77" s="207">
        <v>0.0734444291535418</v>
      </c>
      <c r="BB77" s="207">
        <v>0</v>
      </c>
      <c r="BC77" s="207">
        <v>6872</v>
      </c>
      <c r="BD77" s="207">
        <v>6466</v>
      </c>
      <c r="BE77" s="207">
        <v>1.0627899783482833</v>
      </c>
      <c r="BF77" s="207">
        <v>0.6538830957571902</v>
      </c>
      <c r="BG77" s="207">
        <v>0</v>
      </c>
      <c r="BH77" s="207">
        <v>0</v>
      </c>
      <c r="BI77" s="207">
        <v>0</v>
      </c>
      <c r="BJ77" s="207">
        <v>-3906.72</v>
      </c>
      <c r="BK77" s="207">
        <v>-66739.79999999999</v>
      </c>
      <c r="BL77" s="207">
        <v>-4557.84</v>
      </c>
      <c r="BM77" s="207">
        <v>-6348.42</v>
      </c>
      <c r="BN77" s="207">
        <v>-325.56</v>
      </c>
      <c r="BO77" s="207">
        <v>-503126</v>
      </c>
      <c r="BP77" s="207">
        <v>-402526.6012676174</v>
      </c>
      <c r="BQ77" s="207">
        <v>-1476251.82</v>
      </c>
      <c r="BR77" s="207">
        <v>55571.627510622144</v>
      </c>
      <c r="BS77" s="207">
        <v>1591871</v>
      </c>
      <c r="BT77" s="207">
        <v>502839</v>
      </c>
      <c r="BU77" s="207">
        <v>1326433.255680016</v>
      </c>
      <c r="BV77" s="207">
        <v>67143.61223950218</v>
      </c>
      <c r="BW77" s="207">
        <v>136521.67357738214</v>
      </c>
      <c r="BX77" s="207">
        <v>582007.1615354746</v>
      </c>
      <c r="BY77" s="207">
        <v>978436.1017883895</v>
      </c>
      <c r="BZ77" s="207">
        <v>1595489.3984866217</v>
      </c>
      <c r="CA77" s="207">
        <v>447314.7966168502</v>
      </c>
      <c r="CB77" s="207">
        <v>813149.6786126526</v>
      </c>
      <c r="CC77" s="207">
        <v>1465.02</v>
      </c>
      <c r="CD77" s="207">
        <v>-110289.80364847451</v>
      </c>
      <c r="CE77" s="207">
        <v>703535.16</v>
      </c>
      <c r="CF77" s="207">
        <v>8188361.682399036</v>
      </c>
      <c r="CG77" s="207">
        <v>5347553.461131418</v>
      </c>
      <c r="CH77" s="207">
        <v>0</v>
      </c>
      <c r="CI77" s="207">
        <v>12683906.406466236</v>
      </c>
      <c r="CJ77" s="207">
        <v>-459640</v>
      </c>
      <c r="CK77" s="207">
        <v>0</v>
      </c>
      <c r="CL77" s="207">
        <v>0</v>
      </c>
      <c r="CM77" s="207">
        <v>453959.69259999995</v>
      </c>
      <c r="CN77" s="207">
        <v>49493302.07321927</v>
      </c>
      <c r="CO77" s="207">
        <v>49947261.76581927</v>
      </c>
      <c r="CP77" s="207">
        <v>16599</v>
      </c>
    </row>
    <row r="78" spans="1:94" ht="9.75">
      <c r="A78" s="175">
        <v>235</v>
      </c>
      <c r="B78" s="175" t="s">
        <v>135</v>
      </c>
      <c r="C78" s="207">
        <v>9624</v>
      </c>
      <c r="D78" s="207">
        <v>34606669.34</v>
      </c>
      <c r="E78" s="207">
        <v>7386064.933225679</v>
      </c>
      <c r="F78" s="207">
        <v>2720026.3876507147</v>
      </c>
      <c r="G78" s="207">
        <v>44712760.66087639</v>
      </c>
      <c r="H78" s="207">
        <v>3524.51</v>
      </c>
      <c r="I78" s="207">
        <v>33919884.24</v>
      </c>
      <c r="J78" s="207">
        <v>10792876.420876391</v>
      </c>
      <c r="K78" s="207">
        <v>108809.38076707858</v>
      </c>
      <c r="L78" s="207">
        <v>-624875.3746900605</v>
      </c>
      <c r="M78" s="207">
        <v>0</v>
      </c>
      <c r="N78" s="207">
        <v>10276810.426953409</v>
      </c>
      <c r="O78" s="207">
        <v>-14312285.993686227</v>
      </c>
      <c r="P78" s="207">
        <v>-4035475.5667328183</v>
      </c>
      <c r="Q78" s="207">
        <v>505</v>
      </c>
      <c r="R78" s="207">
        <v>108</v>
      </c>
      <c r="S78" s="207">
        <v>813</v>
      </c>
      <c r="T78" s="207">
        <v>446</v>
      </c>
      <c r="U78" s="207">
        <v>433</v>
      </c>
      <c r="V78" s="207">
        <v>5255</v>
      </c>
      <c r="W78" s="207">
        <v>1080</v>
      </c>
      <c r="X78" s="207">
        <v>716</v>
      </c>
      <c r="Y78" s="207">
        <v>268</v>
      </c>
      <c r="Z78" s="207">
        <v>3250</v>
      </c>
      <c r="AA78" s="207">
        <v>3</v>
      </c>
      <c r="AB78" s="207">
        <v>5721</v>
      </c>
      <c r="AC78" s="207">
        <v>650</v>
      </c>
      <c r="AD78" s="207">
        <v>2064</v>
      </c>
      <c r="AE78" s="207">
        <v>0.6771514210826067</v>
      </c>
      <c r="AF78" s="207">
        <v>7386064.933225679</v>
      </c>
      <c r="AG78" s="207">
        <v>29654444.303412743</v>
      </c>
      <c r="AH78" s="207">
        <v>9246036.071858954</v>
      </c>
      <c r="AI78" s="207">
        <v>2984194.418684799</v>
      </c>
      <c r="AJ78" s="207">
        <v>278</v>
      </c>
      <c r="AK78" s="207">
        <v>4310</v>
      </c>
      <c r="AL78" s="207">
        <v>0.5574318662231162</v>
      </c>
      <c r="AM78" s="207">
        <v>650</v>
      </c>
      <c r="AN78" s="207">
        <v>0.06753948462177889</v>
      </c>
      <c r="AO78" s="207">
        <v>0.0625987731593283</v>
      </c>
      <c r="AP78" s="207">
        <v>1</v>
      </c>
      <c r="AQ78" s="207">
        <v>3250</v>
      </c>
      <c r="AR78" s="207">
        <v>3</v>
      </c>
      <c r="AS78" s="207">
        <v>0</v>
      </c>
      <c r="AT78" s="207">
        <v>0</v>
      </c>
      <c r="AU78" s="207">
        <v>5.89</v>
      </c>
      <c r="AV78" s="207">
        <v>1633.955857385399</v>
      </c>
      <c r="AW78" s="207">
        <v>0.01109934019240847</v>
      </c>
      <c r="AX78" s="207">
        <v>253</v>
      </c>
      <c r="AY78" s="207">
        <v>2965</v>
      </c>
      <c r="AZ78" s="207">
        <v>0.08532883642495784</v>
      </c>
      <c r="BA78" s="207">
        <v>0.024145000340723345</v>
      </c>
      <c r="BB78" s="207">
        <v>0</v>
      </c>
      <c r="BC78" s="207">
        <v>2336</v>
      </c>
      <c r="BD78" s="207">
        <v>3988</v>
      </c>
      <c r="BE78" s="207">
        <v>0.5857572718154463</v>
      </c>
      <c r="BF78" s="207">
        <v>0.17685038922435325</v>
      </c>
      <c r="BG78" s="207">
        <v>0</v>
      </c>
      <c r="BH78" s="207">
        <v>3</v>
      </c>
      <c r="BI78" s="207">
        <v>0</v>
      </c>
      <c r="BJ78" s="207">
        <v>-2309.7599999999998</v>
      </c>
      <c r="BK78" s="207">
        <v>-39458.399999999994</v>
      </c>
      <c r="BL78" s="207">
        <v>-2694.7200000000003</v>
      </c>
      <c r="BM78" s="207">
        <v>-3753.36</v>
      </c>
      <c r="BN78" s="207">
        <v>-192.48000000000002</v>
      </c>
      <c r="BO78" s="207">
        <v>-66218</v>
      </c>
      <c r="BP78" s="207">
        <v>-402078.2495629377</v>
      </c>
      <c r="BQ78" s="207">
        <v>-872800.5599999999</v>
      </c>
      <c r="BR78" s="207">
        <v>-383247.70536642754</v>
      </c>
      <c r="BS78" s="207">
        <v>400853</v>
      </c>
      <c r="BT78" s="207">
        <v>140968</v>
      </c>
      <c r="BU78" s="207">
        <v>243665.55433787196</v>
      </c>
      <c r="BV78" s="207">
        <v>-364.4745045378025</v>
      </c>
      <c r="BW78" s="207">
        <v>-473805.29871285387</v>
      </c>
      <c r="BX78" s="207">
        <v>-38842.97927835519</v>
      </c>
      <c r="BY78" s="207">
        <v>238687.31922770882</v>
      </c>
      <c r="BZ78" s="207">
        <v>389412.30320669874</v>
      </c>
      <c r="CA78" s="207">
        <v>143400.37083215994</v>
      </c>
      <c r="CB78" s="207">
        <v>228980.30962155422</v>
      </c>
      <c r="CC78" s="207">
        <v>866.16</v>
      </c>
      <c r="CD78" s="207">
        <v>-21522.004490942032</v>
      </c>
      <c r="CE78" s="207">
        <v>415949.27999999997</v>
      </c>
      <c r="CF78" s="207">
        <v>1218781.8348728772</v>
      </c>
      <c r="CG78" s="207">
        <v>-624875.3746900605</v>
      </c>
      <c r="CH78" s="207">
        <v>0</v>
      </c>
      <c r="CI78" s="207">
        <v>-14312285.993686227</v>
      </c>
      <c r="CJ78" s="207">
        <v>2171330</v>
      </c>
      <c r="CK78" s="207">
        <v>0</v>
      </c>
      <c r="CL78" s="207">
        <v>0</v>
      </c>
      <c r="CM78" s="207">
        <v>2858505.9062860003</v>
      </c>
      <c r="CN78" s="207">
        <v>-1864145.5667328183</v>
      </c>
      <c r="CO78" s="207">
        <v>994360.339553182</v>
      </c>
      <c r="CP78" s="207">
        <v>9397</v>
      </c>
    </row>
    <row r="79" spans="1:94" ht="9.75">
      <c r="A79" s="175">
        <v>236</v>
      </c>
      <c r="B79" s="175" t="s">
        <v>136</v>
      </c>
      <c r="C79" s="207">
        <v>4309</v>
      </c>
      <c r="D79" s="207">
        <v>15507477.36</v>
      </c>
      <c r="E79" s="207">
        <v>4863838.531129116</v>
      </c>
      <c r="F79" s="207">
        <v>703265.4830945965</v>
      </c>
      <c r="G79" s="207">
        <v>21074581.37422371</v>
      </c>
      <c r="H79" s="207">
        <v>3524.51</v>
      </c>
      <c r="I79" s="207">
        <v>15187113.590000002</v>
      </c>
      <c r="J79" s="207">
        <v>5887467.784223707</v>
      </c>
      <c r="K79" s="207">
        <v>231328.13765137905</v>
      </c>
      <c r="L79" s="207">
        <v>1490450.0416921817</v>
      </c>
      <c r="M79" s="207">
        <v>0</v>
      </c>
      <c r="N79" s="207">
        <v>7609245.963567268</v>
      </c>
      <c r="O79" s="207">
        <v>2823272.871354806</v>
      </c>
      <c r="P79" s="207">
        <v>10432518.834922073</v>
      </c>
      <c r="Q79" s="207">
        <v>326</v>
      </c>
      <c r="R79" s="207">
        <v>65</v>
      </c>
      <c r="S79" s="207">
        <v>311</v>
      </c>
      <c r="T79" s="207">
        <v>160</v>
      </c>
      <c r="U79" s="207">
        <v>147</v>
      </c>
      <c r="V79" s="207">
        <v>2343</v>
      </c>
      <c r="W79" s="207">
        <v>528</v>
      </c>
      <c r="X79" s="207">
        <v>301</v>
      </c>
      <c r="Y79" s="207">
        <v>128</v>
      </c>
      <c r="Z79" s="207">
        <v>90</v>
      </c>
      <c r="AA79" s="207">
        <v>1</v>
      </c>
      <c r="AB79" s="207">
        <v>4130</v>
      </c>
      <c r="AC79" s="207">
        <v>88</v>
      </c>
      <c r="AD79" s="207">
        <v>957</v>
      </c>
      <c r="AE79" s="207">
        <v>0.9959348784496412</v>
      </c>
      <c r="AF79" s="207">
        <v>4863838.531129116</v>
      </c>
      <c r="AG79" s="207">
        <v>9076493.484918673</v>
      </c>
      <c r="AH79" s="207">
        <v>2319625.753895198</v>
      </c>
      <c r="AI79" s="207">
        <v>804124.2445557843</v>
      </c>
      <c r="AJ79" s="207">
        <v>147</v>
      </c>
      <c r="AK79" s="207">
        <v>2072</v>
      </c>
      <c r="AL79" s="207">
        <v>0.6131289885749349</v>
      </c>
      <c r="AM79" s="207">
        <v>88</v>
      </c>
      <c r="AN79" s="207">
        <v>0.020422371779995358</v>
      </c>
      <c r="AO79" s="207">
        <v>0.015481660317544766</v>
      </c>
      <c r="AP79" s="207">
        <v>0</v>
      </c>
      <c r="AQ79" s="207">
        <v>90</v>
      </c>
      <c r="AR79" s="207">
        <v>1</v>
      </c>
      <c r="AS79" s="207">
        <v>0</v>
      </c>
      <c r="AT79" s="207">
        <v>0</v>
      </c>
      <c r="AU79" s="207">
        <v>353.97</v>
      </c>
      <c r="AV79" s="207">
        <v>12.173348023843827</v>
      </c>
      <c r="AW79" s="207">
        <v>1.4897981956136068</v>
      </c>
      <c r="AX79" s="207">
        <v>155</v>
      </c>
      <c r="AY79" s="207">
        <v>1303</v>
      </c>
      <c r="AZ79" s="207">
        <v>0.11895625479662318</v>
      </c>
      <c r="BA79" s="207">
        <v>0.05777241871238869</v>
      </c>
      <c r="BB79" s="207">
        <v>0.1026</v>
      </c>
      <c r="BC79" s="207">
        <v>1701</v>
      </c>
      <c r="BD79" s="207">
        <v>1868</v>
      </c>
      <c r="BE79" s="207">
        <v>0.9105995717344754</v>
      </c>
      <c r="BF79" s="207">
        <v>0.5016926891433823</v>
      </c>
      <c r="BG79" s="207">
        <v>0</v>
      </c>
      <c r="BH79" s="207">
        <v>1</v>
      </c>
      <c r="BI79" s="207">
        <v>0</v>
      </c>
      <c r="BJ79" s="207">
        <v>-1034.1599999999999</v>
      </c>
      <c r="BK79" s="207">
        <v>-17666.899999999998</v>
      </c>
      <c r="BL79" s="207">
        <v>-1206.5200000000002</v>
      </c>
      <c r="BM79" s="207">
        <v>-1680.51</v>
      </c>
      <c r="BN79" s="207">
        <v>-86.18</v>
      </c>
      <c r="BO79" s="207">
        <v>-23093</v>
      </c>
      <c r="BP79" s="207">
        <v>-18556.150428535126</v>
      </c>
      <c r="BQ79" s="207">
        <v>-390783.20999999996</v>
      </c>
      <c r="BR79" s="207">
        <v>2179.703014673665</v>
      </c>
      <c r="BS79" s="207">
        <v>368269</v>
      </c>
      <c r="BT79" s="207">
        <v>129763</v>
      </c>
      <c r="BU79" s="207">
        <v>323098.58050311817</v>
      </c>
      <c r="BV79" s="207">
        <v>16486.611000444092</v>
      </c>
      <c r="BW79" s="207">
        <v>25574.44655187277</v>
      </c>
      <c r="BX79" s="207">
        <v>131319.51174693956</v>
      </c>
      <c r="BY79" s="207">
        <v>267335.263164313</v>
      </c>
      <c r="BZ79" s="207">
        <v>419922.6771925664</v>
      </c>
      <c r="CA79" s="207">
        <v>132581.03671430607</v>
      </c>
      <c r="CB79" s="207">
        <v>210045.2528847184</v>
      </c>
      <c r="CC79" s="207">
        <v>387.81</v>
      </c>
      <c r="CD79" s="207">
        <v>-35653.57065223552</v>
      </c>
      <c r="CE79" s="207">
        <v>186234.97999999998</v>
      </c>
      <c r="CF79" s="207">
        <v>2154451.302120717</v>
      </c>
      <c r="CG79" s="207">
        <v>1490450.0416921817</v>
      </c>
      <c r="CH79" s="207">
        <v>0</v>
      </c>
      <c r="CI79" s="207">
        <v>2823272.871354806</v>
      </c>
      <c r="CJ79" s="207">
        <v>630374</v>
      </c>
      <c r="CK79" s="207">
        <v>0</v>
      </c>
      <c r="CL79" s="207">
        <v>0</v>
      </c>
      <c r="CM79" s="207">
        <v>97748.51770000003</v>
      </c>
      <c r="CN79" s="207">
        <v>11062892.834922073</v>
      </c>
      <c r="CO79" s="207">
        <v>11160641.352622073</v>
      </c>
      <c r="CP79" s="207">
        <v>4298</v>
      </c>
    </row>
    <row r="80" spans="1:94" ht="9.75">
      <c r="A80" s="175">
        <v>239</v>
      </c>
      <c r="B80" s="175" t="s">
        <v>137</v>
      </c>
      <c r="C80" s="207">
        <v>2309</v>
      </c>
      <c r="D80" s="207">
        <v>8050013.490000001</v>
      </c>
      <c r="E80" s="207">
        <v>4436282.958317609</v>
      </c>
      <c r="F80" s="207">
        <v>690092.3425215451</v>
      </c>
      <c r="G80" s="207">
        <v>13176388.790839154</v>
      </c>
      <c r="H80" s="207">
        <v>3524.51</v>
      </c>
      <c r="I80" s="207">
        <v>8138093.590000001</v>
      </c>
      <c r="J80" s="207">
        <v>5038295.2008391535</v>
      </c>
      <c r="K80" s="207">
        <v>886089.0939897064</v>
      </c>
      <c r="L80" s="207">
        <v>772709.7459911851</v>
      </c>
      <c r="M80" s="207">
        <v>0</v>
      </c>
      <c r="N80" s="207">
        <v>6697094.040820045</v>
      </c>
      <c r="O80" s="207">
        <v>1916190.9322553962</v>
      </c>
      <c r="P80" s="207">
        <v>8613284.973075442</v>
      </c>
      <c r="Q80" s="207">
        <v>105</v>
      </c>
      <c r="R80" s="207">
        <v>20</v>
      </c>
      <c r="S80" s="207">
        <v>108</v>
      </c>
      <c r="T80" s="207">
        <v>60</v>
      </c>
      <c r="U80" s="207">
        <v>73</v>
      </c>
      <c r="V80" s="207">
        <v>1179</v>
      </c>
      <c r="W80" s="207">
        <v>432</v>
      </c>
      <c r="X80" s="207">
        <v>231</v>
      </c>
      <c r="Y80" s="207">
        <v>101</v>
      </c>
      <c r="Z80" s="207">
        <v>3</v>
      </c>
      <c r="AA80" s="207">
        <v>0</v>
      </c>
      <c r="AB80" s="207">
        <v>2265</v>
      </c>
      <c r="AC80" s="207">
        <v>41</v>
      </c>
      <c r="AD80" s="207">
        <v>764</v>
      </c>
      <c r="AE80" s="207">
        <v>1.6952103416908444</v>
      </c>
      <c r="AF80" s="207">
        <v>4436282.958317609</v>
      </c>
      <c r="AG80" s="207">
        <v>6241789.3261723975</v>
      </c>
      <c r="AH80" s="207">
        <v>1465385.2501293453</v>
      </c>
      <c r="AI80" s="207">
        <v>562886.9711890488</v>
      </c>
      <c r="AJ80" s="207">
        <v>95</v>
      </c>
      <c r="AK80" s="207">
        <v>995</v>
      </c>
      <c r="AL80" s="207">
        <v>0.8251345852465742</v>
      </c>
      <c r="AM80" s="207">
        <v>41</v>
      </c>
      <c r="AN80" s="207">
        <v>0.017756604590731917</v>
      </c>
      <c r="AO80" s="207">
        <v>0.012815893128281325</v>
      </c>
      <c r="AP80" s="207">
        <v>0</v>
      </c>
      <c r="AQ80" s="207">
        <v>3</v>
      </c>
      <c r="AR80" s="207">
        <v>0</v>
      </c>
      <c r="AS80" s="207">
        <v>0</v>
      </c>
      <c r="AT80" s="207">
        <v>0</v>
      </c>
      <c r="AU80" s="207">
        <v>482.9</v>
      </c>
      <c r="AV80" s="207">
        <v>4.781528266721889</v>
      </c>
      <c r="AW80" s="207">
        <v>3.7928944280679806</v>
      </c>
      <c r="AX80" s="207">
        <v>113</v>
      </c>
      <c r="AY80" s="207">
        <v>550</v>
      </c>
      <c r="AZ80" s="207">
        <v>0.20545454545454545</v>
      </c>
      <c r="BA80" s="207">
        <v>0.14427070937031095</v>
      </c>
      <c r="BB80" s="207">
        <v>1.050299</v>
      </c>
      <c r="BC80" s="207">
        <v>1023</v>
      </c>
      <c r="BD80" s="207">
        <v>838</v>
      </c>
      <c r="BE80" s="207">
        <v>1.220763723150358</v>
      </c>
      <c r="BF80" s="207">
        <v>0.811856840559265</v>
      </c>
      <c r="BG80" s="207">
        <v>0</v>
      </c>
      <c r="BH80" s="207">
        <v>0</v>
      </c>
      <c r="BI80" s="207">
        <v>0</v>
      </c>
      <c r="BJ80" s="207">
        <v>-554.16</v>
      </c>
      <c r="BK80" s="207">
        <v>-9466.9</v>
      </c>
      <c r="BL80" s="207">
        <v>-646.5200000000001</v>
      </c>
      <c r="BM80" s="207">
        <v>-900.51</v>
      </c>
      <c r="BN80" s="207">
        <v>-46.18</v>
      </c>
      <c r="BO80" s="207">
        <v>21867</v>
      </c>
      <c r="BP80" s="207">
        <v>-55753.172084285834</v>
      </c>
      <c r="BQ80" s="207">
        <v>-209403.21</v>
      </c>
      <c r="BR80" s="207">
        <v>-73467.48825489823</v>
      </c>
      <c r="BS80" s="207">
        <v>226638</v>
      </c>
      <c r="BT80" s="207">
        <v>72396</v>
      </c>
      <c r="BU80" s="207">
        <v>170170.74847539567</v>
      </c>
      <c r="BV80" s="207">
        <v>10042.96654919932</v>
      </c>
      <c r="BW80" s="207">
        <v>29392.02557690102</v>
      </c>
      <c r="BX80" s="207">
        <v>99747.90671494628</v>
      </c>
      <c r="BY80" s="207">
        <v>133009.6078486712</v>
      </c>
      <c r="BZ80" s="207">
        <v>219225.60271605232</v>
      </c>
      <c r="CA80" s="207">
        <v>64395.621196392836</v>
      </c>
      <c r="CB80" s="207">
        <v>112596.59676961876</v>
      </c>
      <c r="CC80" s="207">
        <v>207.81</v>
      </c>
      <c r="CD80" s="207">
        <v>-11689.349516808481</v>
      </c>
      <c r="CE80" s="207">
        <v>99794.98</v>
      </c>
      <c r="CF80" s="207">
        <v>1174328.0280754708</v>
      </c>
      <c r="CG80" s="207">
        <v>772709.7459911851</v>
      </c>
      <c r="CH80" s="207">
        <v>0</v>
      </c>
      <c r="CI80" s="207">
        <v>1916190.9322553962</v>
      </c>
      <c r="CJ80" s="207">
        <v>-455318</v>
      </c>
      <c r="CK80" s="207">
        <v>0</v>
      </c>
      <c r="CL80" s="207">
        <v>0</v>
      </c>
      <c r="CM80" s="207">
        <v>58147.49770000001</v>
      </c>
      <c r="CN80" s="207">
        <v>8157966.973075442</v>
      </c>
      <c r="CO80" s="207">
        <v>8216114.470775442</v>
      </c>
      <c r="CP80" s="207">
        <v>2346</v>
      </c>
    </row>
    <row r="81" spans="1:94" ht="9.75">
      <c r="A81" s="175">
        <v>240</v>
      </c>
      <c r="B81" s="175" t="s">
        <v>138</v>
      </c>
      <c r="C81" s="207">
        <v>21256</v>
      </c>
      <c r="D81" s="207">
        <v>71870076.10000001</v>
      </c>
      <c r="E81" s="207">
        <v>31975729.308626257</v>
      </c>
      <c r="F81" s="207">
        <v>5242305.317919239</v>
      </c>
      <c r="G81" s="207">
        <v>109088110.7265455</v>
      </c>
      <c r="H81" s="207">
        <v>3524.51</v>
      </c>
      <c r="I81" s="207">
        <v>74916984.56</v>
      </c>
      <c r="J81" s="207">
        <v>34171126.166545495</v>
      </c>
      <c r="K81" s="207">
        <v>1148705.6090740203</v>
      </c>
      <c r="L81" s="207">
        <v>3832027.4864216642</v>
      </c>
      <c r="M81" s="207">
        <v>0</v>
      </c>
      <c r="N81" s="207">
        <v>39151859.26204118</v>
      </c>
      <c r="O81" s="207">
        <v>3991573.8805772862</v>
      </c>
      <c r="P81" s="207">
        <v>43143433.14261847</v>
      </c>
      <c r="Q81" s="207">
        <v>1146</v>
      </c>
      <c r="R81" s="207">
        <v>220</v>
      </c>
      <c r="S81" s="207">
        <v>1333</v>
      </c>
      <c r="T81" s="207">
        <v>581</v>
      </c>
      <c r="U81" s="207">
        <v>665</v>
      </c>
      <c r="V81" s="207">
        <v>11916</v>
      </c>
      <c r="W81" s="207">
        <v>2979</v>
      </c>
      <c r="X81" s="207">
        <v>1665</v>
      </c>
      <c r="Y81" s="207">
        <v>751</v>
      </c>
      <c r="Z81" s="207">
        <v>27</v>
      </c>
      <c r="AA81" s="207">
        <v>7</v>
      </c>
      <c r="AB81" s="207">
        <v>20240</v>
      </c>
      <c r="AC81" s="207">
        <v>982</v>
      </c>
      <c r="AD81" s="207">
        <v>5395</v>
      </c>
      <c r="AE81" s="207">
        <v>1.3272942241860506</v>
      </c>
      <c r="AF81" s="207">
        <v>31975729.308626257</v>
      </c>
      <c r="AG81" s="207">
        <v>5142494.965821106</v>
      </c>
      <c r="AH81" s="207">
        <v>1325610.9942017233</v>
      </c>
      <c r="AI81" s="207">
        <v>464605.11907667515</v>
      </c>
      <c r="AJ81" s="207">
        <v>1583</v>
      </c>
      <c r="AK81" s="207">
        <v>9125</v>
      </c>
      <c r="AL81" s="207">
        <v>1.499243960436165</v>
      </c>
      <c r="AM81" s="207">
        <v>982</v>
      </c>
      <c r="AN81" s="207">
        <v>0.046198720361309745</v>
      </c>
      <c r="AO81" s="207">
        <v>0.04125800889885915</v>
      </c>
      <c r="AP81" s="207">
        <v>0</v>
      </c>
      <c r="AQ81" s="207">
        <v>27</v>
      </c>
      <c r="AR81" s="207">
        <v>7</v>
      </c>
      <c r="AS81" s="207">
        <v>0</v>
      </c>
      <c r="AT81" s="207">
        <v>0</v>
      </c>
      <c r="AU81" s="207">
        <v>95.37</v>
      </c>
      <c r="AV81" s="207">
        <v>222.87931215266855</v>
      </c>
      <c r="AW81" s="207">
        <v>0.08137063842011619</v>
      </c>
      <c r="AX81" s="207">
        <v>851</v>
      </c>
      <c r="AY81" s="207">
        <v>5861</v>
      </c>
      <c r="AZ81" s="207">
        <v>0.14519706534721039</v>
      </c>
      <c r="BA81" s="207">
        <v>0.08401322926297589</v>
      </c>
      <c r="BB81" s="207">
        <v>0.0099</v>
      </c>
      <c r="BC81" s="207">
        <v>8875</v>
      </c>
      <c r="BD81" s="207">
        <v>7265</v>
      </c>
      <c r="BE81" s="207">
        <v>1.2216104611149345</v>
      </c>
      <c r="BF81" s="207">
        <v>0.8127035785238415</v>
      </c>
      <c r="BG81" s="207">
        <v>0</v>
      </c>
      <c r="BH81" s="207">
        <v>7</v>
      </c>
      <c r="BI81" s="207">
        <v>0</v>
      </c>
      <c r="BJ81" s="207">
        <v>-5101.44</v>
      </c>
      <c r="BK81" s="207">
        <v>-87149.59999999999</v>
      </c>
      <c r="BL81" s="207">
        <v>-5951.68</v>
      </c>
      <c r="BM81" s="207">
        <v>-8289.84</v>
      </c>
      <c r="BN81" s="207">
        <v>-425.12</v>
      </c>
      <c r="BO81" s="207">
        <v>232014</v>
      </c>
      <c r="BP81" s="207">
        <v>-1728516.9851398126</v>
      </c>
      <c r="BQ81" s="207">
        <v>-1927706.64</v>
      </c>
      <c r="BR81" s="207">
        <v>-426000.6102620363</v>
      </c>
      <c r="BS81" s="207">
        <v>1605369</v>
      </c>
      <c r="BT81" s="207">
        <v>494139</v>
      </c>
      <c r="BU81" s="207">
        <v>1234156.566630016</v>
      </c>
      <c r="BV81" s="207">
        <v>53563.42652370573</v>
      </c>
      <c r="BW81" s="207">
        <v>235749.92125511618</v>
      </c>
      <c r="BX81" s="207">
        <v>637343.6350922355</v>
      </c>
      <c r="BY81" s="207">
        <v>895758.6547334746</v>
      </c>
      <c r="BZ81" s="207">
        <v>1519158.180637742</v>
      </c>
      <c r="CA81" s="207">
        <v>410155.71480379323</v>
      </c>
      <c r="CB81" s="207">
        <v>830678.3206041255</v>
      </c>
      <c r="CC81" s="207">
        <v>1913.04</v>
      </c>
      <c r="CD81" s="207">
        <v>101797.54154330323</v>
      </c>
      <c r="CE81" s="207">
        <v>918684.32</v>
      </c>
      <c r="CF81" s="207">
        <v>8744480.711561477</v>
      </c>
      <c r="CG81" s="207">
        <v>3832027.4864216642</v>
      </c>
      <c r="CH81" s="207">
        <v>0</v>
      </c>
      <c r="CI81" s="207">
        <v>3991573.8805772862</v>
      </c>
      <c r="CJ81" s="207">
        <v>949060</v>
      </c>
      <c r="CK81" s="207">
        <v>0</v>
      </c>
      <c r="CL81" s="207">
        <v>0</v>
      </c>
      <c r="CM81" s="207">
        <v>-222491.73070000001</v>
      </c>
      <c r="CN81" s="207">
        <v>44092493.14261847</v>
      </c>
      <c r="CO81" s="207">
        <v>43870001.41191847</v>
      </c>
      <c r="CP81" s="207">
        <v>21602</v>
      </c>
    </row>
    <row r="82" spans="1:94" ht="9.75">
      <c r="A82" s="175">
        <v>320</v>
      </c>
      <c r="B82" s="175" t="s">
        <v>139</v>
      </c>
      <c r="C82" s="207">
        <v>7534</v>
      </c>
      <c r="D82" s="207">
        <v>26336747.19</v>
      </c>
      <c r="E82" s="207">
        <v>12011576.796307402</v>
      </c>
      <c r="F82" s="207">
        <v>3585774.3204585216</v>
      </c>
      <c r="G82" s="207">
        <v>41934098.30676593</v>
      </c>
      <c r="H82" s="207">
        <v>3524.51</v>
      </c>
      <c r="I82" s="207">
        <v>26553658.34</v>
      </c>
      <c r="J82" s="207">
        <v>15380439.966765929</v>
      </c>
      <c r="K82" s="207">
        <v>3462526.402980739</v>
      </c>
      <c r="L82" s="207">
        <v>2683266.5014024572</v>
      </c>
      <c r="M82" s="207">
        <v>0</v>
      </c>
      <c r="N82" s="207">
        <v>21526232.871149123</v>
      </c>
      <c r="O82" s="207">
        <v>4066386.589582682</v>
      </c>
      <c r="P82" s="207">
        <v>25592619.460731804</v>
      </c>
      <c r="Q82" s="207">
        <v>260</v>
      </c>
      <c r="R82" s="207">
        <v>47</v>
      </c>
      <c r="S82" s="207">
        <v>311</v>
      </c>
      <c r="T82" s="207">
        <v>190</v>
      </c>
      <c r="U82" s="207">
        <v>197</v>
      </c>
      <c r="V82" s="207">
        <v>3768</v>
      </c>
      <c r="W82" s="207">
        <v>1469</v>
      </c>
      <c r="X82" s="207">
        <v>943</v>
      </c>
      <c r="Y82" s="207">
        <v>349</v>
      </c>
      <c r="Z82" s="207">
        <v>2</v>
      </c>
      <c r="AA82" s="207">
        <v>1</v>
      </c>
      <c r="AB82" s="207">
        <v>7443</v>
      </c>
      <c r="AC82" s="207">
        <v>88</v>
      </c>
      <c r="AD82" s="207">
        <v>2761</v>
      </c>
      <c r="AE82" s="207">
        <v>1.4067039068819944</v>
      </c>
      <c r="AF82" s="207">
        <v>12011576.796307402</v>
      </c>
      <c r="AG82" s="207">
        <v>5814678.976188481</v>
      </c>
      <c r="AH82" s="207">
        <v>1602992.4633294076</v>
      </c>
      <c r="AI82" s="207">
        <v>661168.8233014224</v>
      </c>
      <c r="AJ82" s="207">
        <v>488</v>
      </c>
      <c r="AK82" s="207">
        <v>3097</v>
      </c>
      <c r="AL82" s="207">
        <v>1.3617672423646878</v>
      </c>
      <c r="AM82" s="207">
        <v>88</v>
      </c>
      <c r="AN82" s="207">
        <v>0.011680382267056012</v>
      </c>
      <c r="AO82" s="207">
        <v>0.006739670804605419</v>
      </c>
      <c r="AP82" s="207">
        <v>0</v>
      </c>
      <c r="AQ82" s="207">
        <v>2</v>
      </c>
      <c r="AR82" s="207">
        <v>1</v>
      </c>
      <c r="AS82" s="207">
        <v>0</v>
      </c>
      <c r="AT82" s="207">
        <v>0</v>
      </c>
      <c r="AU82" s="207">
        <v>3504.76</v>
      </c>
      <c r="AV82" s="207">
        <v>2.1496479074173407</v>
      </c>
      <c r="AW82" s="207">
        <v>8.436652280553236</v>
      </c>
      <c r="AX82" s="207">
        <v>197</v>
      </c>
      <c r="AY82" s="207">
        <v>1771</v>
      </c>
      <c r="AZ82" s="207">
        <v>0.11123658949745906</v>
      </c>
      <c r="BA82" s="207">
        <v>0.050052753413224564</v>
      </c>
      <c r="BB82" s="207">
        <v>1.350499</v>
      </c>
      <c r="BC82" s="207">
        <v>2238</v>
      </c>
      <c r="BD82" s="207">
        <v>2424</v>
      </c>
      <c r="BE82" s="207">
        <v>0.9232673267326733</v>
      </c>
      <c r="BF82" s="207">
        <v>0.5143604441415802</v>
      </c>
      <c r="BG82" s="207">
        <v>0</v>
      </c>
      <c r="BH82" s="207">
        <v>1</v>
      </c>
      <c r="BI82" s="207">
        <v>0</v>
      </c>
      <c r="BJ82" s="207">
        <v>-1808.1599999999999</v>
      </c>
      <c r="BK82" s="207">
        <v>-30889.399999999998</v>
      </c>
      <c r="BL82" s="207">
        <v>-2109.52</v>
      </c>
      <c r="BM82" s="207">
        <v>-2938.26</v>
      </c>
      <c r="BN82" s="207">
        <v>-150.68</v>
      </c>
      <c r="BO82" s="207">
        <v>102751</v>
      </c>
      <c r="BP82" s="207">
        <v>-147806.52848002227</v>
      </c>
      <c r="BQ82" s="207">
        <v>-683258.46</v>
      </c>
      <c r="BR82" s="207">
        <v>174912.97830431908</v>
      </c>
      <c r="BS82" s="207">
        <v>624747</v>
      </c>
      <c r="BT82" s="207">
        <v>198738</v>
      </c>
      <c r="BU82" s="207">
        <v>550889.8707620313</v>
      </c>
      <c r="BV82" s="207">
        <v>29937.85605730105</v>
      </c>
      <c r="BW82" s="207">
        <v>97572.5961422533</v>
      </c>
      <c r="BX82" s="207">
        <v>274827.84891011514</v>
      </c>
      <c r="BY82" s="207">
        <v>359242.98619109433</v>
      </c>
      <c r="BZ82" s="207">
        <v>642421.5521444445</v>
      </c>
      <c r="CA82" s="207">
        <v>183262.9981099569</v>
      </c>
      <c r="CB82" s="207">
        <v>335096.77977004676</v>
      </c>
      <c r="CC82" s="207">
        <v>678.06</v>
      </c>
      <c r="CD82" s="207">
        <v>58891.88349091692</v>
      </c>
      <c r="CE82" s="207">
        <v>325619.48</v>
      </c>
      <c r="CF82" s="207">
        <v>3959590.8898824793</v>
      </c>
      <c r="CG82" s="207">
        <v>2683266.5014024572</v>
      </c>
      <c r="CH82" s="207">
        <v>0</v>
      </c>
      <c r="CI82" s="207">
        <v>4066386.589582682</v>
      </c>
      <c r="CJ82" s="207">
        <v>-431478</v>
      </c>
      <c r="CK82" s="207">
        <v>0</v>
      </c>
      <c r="CL82" s="207">
        <v>0</v>
      </c>
      <c r="CM82" s="207">
        <v>-152490.32768000005</v>
      </c>
      <c r="CN82" s="207">
        <v>25161141.460731804</v>
      </c>
      <c r="CO82" s="207">
        <v>25008651.133051805</v>
      </c>
      <c r="CP82" s="207">
        <v>7661</v>
      </c>
    </row>
    <row r="83" spans="1:94" ht="9.75">
      <c r="A83" s="175">
        <v>241</v>
      </c>
      <c r="B83" s="175" t="s">
        <v>140</v>
      </c>
      <c r="C83" s="207">
        <v>8296</v>
      </c>
      <c r="D83" s="207">
        <v>28481890.169999998</v>
      </c>
      <c r="E83" s="207">
        <v>9374692.400263112</v>
      </c>
      <c r="F83" s="207">
        <v>1361716.0306087104</v>
      </c>
      <c r="G83" s="207">
        <v>39218298.600871824</v>
      </c>
      <c r="H83" s="207">
        <v>3524.51</v>
      </c>
      <c r="I83" s="207">
        <v>29239334.96</v>
      </c>
      <c r="J83" s="207">
        <v>9978963.640871823</v>
      </c>
      <c r="K83" s="207">
        <v>205801.63247675827</v>
      </c>
      <c r="L83" s="207">
        <v>1939137.5185858135</v>
      </c>
      <c r="M83" s="207">
        <v>0</v>
      </c>
      <c r="N83" s="207">
        <v>12123902.791934395</v>
      </c>
      <c r="O83" s="207">
        <v>1648765.676754282</v>
      </c>
      <c r="P83" s="207">
        <v>13772668.468688678</v>
      </c>
      <c r="Q83" s="207">
        <v>524</v>
      </c>
      <c r="R83" s="207">
        <v>107</v>
      </c>
      <c r="S83" s="207">
        <v>591</v>
      </c>
      <c r="T83" s="207">
        <v>322</v>
      </c>
      <c r="U83" s="207">
        <v>304</v>
      </c>
      <c r="V83" s="207">
        <v>4512</v>
      </c>
      <c r="W83" s="207">
        <v>1196</v>
      </c>
      <c r="X83" s="207">
        <v>528</v>
      </c>
      <c r="Y83" s="207">
        <v>212</v>
      </c>
      <c r="Z83" s="207">
        <v>9</v>
      </c>
      <c r="AA83" s="207">
        <v>1</v>
      </c>
      <c r="AB83" s="207">
        <v>8206</v>
      </c>
      <c r="AC83" s="207">
        <v>80</v>
      </c>
      <c r="AD83" s="207">
        <v>1936</v>
      </c>
      <c r="AE83" s="207">
        <v>0.9970491567024113</v>
      </c>
      <c r="AF83" s="207">
        <v>9374692.400263112</v>
      </c>
      <c r="AG83" s="207">
        <v>41087484.27143863</v>
      </c>
      <c r="AH83" s="207">
        <v>8870363.736159796</v>
      </c>
      <c r="AI83" s="207">
        <v>5566326.715091705</v>
      </c>
      <c r="AJ83" s="207">
        <v>455</v>
      </c>
      <c r="AK83" s="207">
        <v>3809</v>
      </c>
      <c r="AL83" s="207">
        <v>1.0323445996483547</v>
      </c>
      <c r="AM83" s="207">
        <v>80</v>
      </c>
      <c r="AN83" s="207">
        <v>0.009643201542912247</v>
      </c>
      <c r="AO83" s="207">
        <v>0.004702490080461654</v>
      </c>
      <c r="AP83" s="207">
        <v>0</v>
      </c>
      <c r="AQ83" s="207">
        <v>9</v>
      </c>
      <c r="AR83" s="207">
        <v>1</v>
      </c>
      <c r="AS83" s="207">
        <v>0</v>
      </c>
      <c r="AT83" s="207">
        <v>0</v>
      </c>
      <c r="AU83" s="207">
        <v>626.34</v>
      </c>
      <c r="AV83" s="207">
        <v>13.245202286298175</v>
      </c>
      <c r="AW83" s="207">
        <v>1.369237821249439</v>
      </c>
      <c r="AX83" s="207">
        <v>226</v>
      </c>
      <c r="AY83" s="207">
        <v>2477</v>
      </c>
      <c r="AZ83" s="207">
        <v>0.09123940250302785</v>
      </c>
      <c r="BA83" s="207">
        <v>0.03005556641879336</v>
      </c>
      <c r="BB83" s="207">
        <v>0.008983</v>
      </c>
      <c r="BC83" s="207">
        <v>2477</v>
      </c>
      <c r="BD83" s="207">
        <v>3228</v>
      </c>
      <c r="BE83" s="207">
        <v>0.7673482032218092</v>
      </c>
      <c r="BF83" s="207">
        <v>0.3584413206307161</v>
      </c>
      <c r="BG83" s="207">
        <v>0</v>
      </c>
      <c r="BH83" s="207">
        <v>1</v>
      </c>
      <c r="BI83" s="207">
        <v>0</v>
      </c>
      <c r="BJ83" s="207">
        <v>-1991.04</v>
      </c>
      <c r="BK83" s="207">
        <v>-34013.6</v>
      </c>
      <c r="BL83" s="207">
        <v>-2322.88</v>
      </c>
      <c r="BM83" s="207">
        <v>-3235.44</v>
      </c>
      <c r="BN83" s="207">
        <v>-165.92000000000002</v>
      </c>
      <c r="BO83" s="207">
        <v>199799</v>
      </c>
      <c r="BP83" s="207">
        <v>-188091.6020458531</v>
      </c>
      <c r="BQ83" s="207">
        <v>-752364.24</v>
      </c>
      <c r="BR83" s="207">
        <v>-51259.728174733</v>
      </c>
      <c r="BS83" s="207">
        <v>609472</v>
      </c>
      <c r="BT83" s="207">
        <v>182802</v>
      </c>
      <c r="BU83" s="207">
        <v>410209.6764106429</v>
      </c>
      <c r="BV83" s="207">
        <v>10390.550986583485</v>
      </c>
      <c r="BW83" s="207">
        <v>43911.34983994796</v>
      </c>
      <c r="BX83" s="207">
        <v>190401.23360594365</v>
      </c>
      <c r="BY83" s="207">
        <v>342087.0324152052</v>
      </c>
      <c r="BZ83" s="207">
        <v>603978.3826312033</v>
      </c>
      <c r="CA83" s="207">
        <v>150680.27355743415</v>
      </c>
      <c r="CB83" s="207">
        <v>289743.7860859026</v>
      </c>
      <c r="CC83" s="207">
        <v>746.64</v>
      </c>
      <c r="CD83" s="207">
        <v>28371.6432735361</v>
      </c>
      <c r="CE83" s="207">
        <v>358553.12</v>
      </c>
      <c r="CF83" s="207">
        <v>3369886.9606316667</v>
      </c>
      <c r="CG83" s="207">
        <v>1939137.5185858135</v>
      </c>
      <c r="CH83" s="207">
        <v>0</v>
      </c>
      <c r="CI83" s="207">
        <v>1648765.676754282</v>
      </c>
      <c r="CJ83" s="207">
        <v>-658211</v>
      </c>
      <c r="CK83" s="207">
        <v>0</v>
      </c>
      <c r="CL83" s="207">
        <v>0</v>
      </c>
      <c r="CM83" s="207">
        <v>-79320.84306000004</v>
      </c>
      <c r="CN83" s="207">
        <v>13114457.468688678</v>
      </c>
      <c r="CO83" s="207">
        <v>13035136.625628678</v>
      </c>
      <c r="CP83" s="207">
        <v>8316</v>
      </c>
    </row>
    <row r="84" spans="1:94" ht="9.75">
      <c r="A84" s="175">
        <v>322</v>
      </c>
      <c r="B84" s="175" t="s">
        <v>141</v>
      </c>
      <c r="C84" s="207">
        <v>6793</v>
      </c>
      <c r="D84" s="207">
        <v>24825859.05</v>
      </c>
      <c r="E84" s="207">
        <v>7580798.637928157</v>
      </c>
      <c r="F84" s="207">
        <v>5513319.842949919</v>
      </c>
      <c r="G84" s="207">
        <v>37919977.53087808</v>
      </c>
      <c r="H84" s="207">
        <v>3524.51</v>
      </c>
      <c r="I84" s="207">
        <v>23941996.43</v>
      </c>
      <c r="J84" s="207">
        <v>13977981.100878082</v>
      </c>
      <c r="K84" s="207">
        <v>680300.4824732944</v>
      </c>
      <c r="L84" s="207">
        <v>2386664.400531374</v>
      </c>
      <c r="M84" s="207">
        <v>0</v>
      </c>
      <c r="N84" s="207">
        <v>17044945.98388275</v>
      </c>
      <c r="O84" s="207">
        <v>4888040.328198138</v>
      </c>
      <c r="P84" s="207">
        <v>21932986.31208089</v>
      </c>
      <c r="Q84" s="207">
        <v>303</v>
      </c>
      <c r="R84" s="207">
        <v>65</v>
      </c>
      <c r="S84" s="207">
        <v>366</v>
      </c>
      <c r="T84" s="207">
        <v>220</v>
      </c>
      <c r="U84" s="207">
        <v>204</v>
      </c>
      <c r="V84" s="207">
        <v>3457</v>
      </c>
      <c r="W84" s="207">
        <v>1194</v>
      </c>
      <c r="X84" s="207">
        <v>656</v>
      </c>
      <c r="Y84" s="207">
        <v>328</v>
      </c>
      <c r="Z84" s="207">
        <v>4652</v>
      </c>
      <c r="AA84" s="207">
        <v>0</v>
      </c>
      <c r="AB84" s="207">
        <v>1903</v>
      </c>
      <c r="AC84" s="207">
        <v>238</v>
      </c>
      <c r="AD84" s="207">
        <v>2178</v>
      </c>
      <c r="AE84" s="207">
        <v>0.9846494295248245</v>
      </c>
      <c r="AF84" s="207">
        <v>7580798.637928157</v>
      </c>
      <c r="AG84" s="207">
        <v>16379881.195763374</v>
      </c>
      <c r="AH84" s="207">
        <v>3014046.8565034983</v>
      </c>
      <c r="AI84" s="207">
        <v>1626117.9167683637</v>
      </c>
      <c r="AJ84" s="207">
        <v>257</v>
      </c>
      <c r="AK84" s="207">
        <v>2930</v>
      </c>
      <c r="AL84" s="207">
        <v>0.7580358917417918</v>
      </c>
      <c r="AM84" s="207">
        <v>238</v>
      </c>
      <c r="AN84" s="207">
        <v>0.03503606653908435</v>
      </c>
      <c r="AO84" s="207">
        <v>0.03009535507663376</v>
      </c>
      <c r="AP84" s="207">
        <v>3</v>
      </c>
      <c r="AQ84" s="207">
        <v>4652</v>
      </c>
      <c r="AR84" s="207">
        <v>0</v>
      </c>
      <c r="AS84" s="207">
        <v>1</v>
      </c>
      <c r="AT84" s="207">
        <v>0</v>
      </c>
      <c r="AU84" s="207">
        <v>686.95</v>
      </c>
      <c r="AV84" s="207">
        <v>9.88863818327389</v>
      </c>
      <c r="AW84" s="207">
        <v>1.8340070274969513</v>
      </c>
      <c r="AX84" s="207">
        <v>363</v>
      </c>
      <c r="AY84" s="207">
        <v>1881</v>
      </c>
      <c r="AZ84" s="207">
        <v>0.19298245614035087</v>
      </c>
      <c r="BA84" s="207">
        <v>0.13179862005611637</v>
      </c>
      <c r="BB84" s="207">
        <v>0.330533</v>
      </c>
      <c r="BC84" s="207">
        <v>2262</v>
      </c>
      <c r="BD84" s="207">
        <v>2552</v>
      </c>
      <c r="BE84" s="207">
        <v>0.8863636363636364</v>
      </c>
      <c r="BF84" s="207">
        <v>0.47745675377254326</v>
      </c>
      <c r="BG84" s="207">
        <v>0</v>
      </c>
      <c r="BH84" s="207">
        <v>0</v>
      </c>
      <c r="BI84" s="207">
        <v>0</v>
      </c>
      <c r="BJ84" s="207">
        <v>-1630.32</v>
      </c>
      <c r="BK84" s="207">
        <v>-27851.3</v>
      </c>
      <c r="BL84" s="207">
        <v>-1902.0400000000002</v>
      </c>
      <c r="BM84" s="207">
        <v>-2649.27</v>
      </c>
      <c r="BN84" s="207">
        <v>-135.86</v>
      </c>
      <c r="BO84" s="207">
        <v>-166132</v>
      </c>
      <c r="BP84" s="207">
        <v>-176697.59413411832</v>
      </c>
      <c r="BQ84" s="207">
        <v>-616057.17</v>
      </c>
      <c r="BR84" s="207">
        <v>440505.1809879467</v>
      </c>
      <c r="BS84" s="207">
        <v>618448</v>
      </c>
      <c r="BT84" s="207">
        <v>210429</v>
      </c>
      <c r="BU84" s="207">
        <v>506104.77098058606</v>
      </c>
      <c r="BV84" s="207">
        <v>23784.463471682662</v>
      </c>
      <c r="BW84" s="207">
        <v>39674.23806238849</v>
      </c>
      <c r="BX84" s="207">
        <v>215753.55380291198</v>
      </c>
      <c r="BY84" s="207">
        <v>259976.03473993632</v>
      </c>
      <c r="BZ84" s="207">
        <v>608328.9476458203</v>
      </c>
      <c r="CA84" s="207">
        <v>197346.3451692307</v>
      </c>
      <c r="CB84" s="207">
        <v>324896.3452087443</v>
      </c>
      <c r="CC84" s="207">
        <v>611.37</v>
      </c>
      <c r="CD84" s="207">
        <v>7565.754596244784</v>
      </c>
      <c r="CE84" s="207">
        <v>293593.46</v>
      </c>
      <c r="CF84" s="207">
        <v>3580885.4646654925</v>
      </c>
      <c r="CG84" s="207">
        <v>2386664.400531374</v>
      </c>
      <c r="CH84" s="207">
        <v>0</v>
      </c>
      <c r="CI84" s="207">
        <v>4888040.328198138</v>
      </c>
      <c r="CJ84" s="207">
        <v>-399552</v>
      </c>
      <c r="CK84" s="207">
        <v>0</v>
      </c>
      <c r="CL84" s="207">
        <v>0</v>
      </c>
      <c r="CM84" s="207">
        <v>67334.93434</v>
      </c>
      <c r="CN84" s="207">
        <v>21533434.31208089</v>
      </c>
      <c r="CO84" s="207">
        <v>21600769.24642089</v>
      </c>
      <c r="CP84" s="207">
        <v>6872</v>
      </c>
    </row>
    <row r="85" spans="1:94" ht="9.75">
      <c r="A85" s="175">
        <v>244</v>
      </c>
      <c r="B85" s="175" t="s">
        <v>142</v>
      </c>
      <c r="C85" s="207">
        <v>17535</v>
      </c>
      <c r="D85" s="207">
        <v>63125990.61999999</v>
      </c>
      <c r="E85" s="207">
        <v>17162833.687069666</v>
      </c>
      <c r="F85" s="207">
        <v>1751059.934122857</v>
      </c>
      <c r="G85" s="207">
        <v>82039884.24119252</v>
      </c>
      <c r="H85" s="207">
        <v>3524.51</v>
      </c>
      <c r="I85" s="207">
        <v>61802282.85</v>
      </c>
      <c r="J85" s="207">
        <v>20237601.39119252</v>
      </c>
      <c r="K85" s="207">
        <v>441454.70660127484</v>
      </c>
      <c r="L85" s="207">
        <v>2272671.5684732376</v>
      </c>
      <c r="M85" s="207">
        <v>0</v>
      </c>
      <c r="N85" s="207">
        <v>22951727.66626703</v>
      </c>
      <c r="O85" s="207">
        <v>2203888.491836762</v>
      </c>
      <c r="P85" s="207">
        <v>25155616.158103794</v>
      </c>
      <c r="Q85" s="207">
        <v>1563</v>
      </c>
      <c r="R85" s="207">
        <v>292</v>
      </c>
      <c r="S85" s="207">
        <v>1856</v>
      </c>
      <c r="T85" s="207">
        <v>823</v>
      </c>
      <c r="U85" s="207">
        <v>727</v>
      </c>
      <c r="V85" s="207">
        <v>9635</v>
      </c>
      <c r="W85" s="207">
        <v>1603</v>
      </c>
      <c r="X85" s="207">
        <v>834</v>
      </c>
      <c r="Y85" s="207">
        <v>202</v>
      </c>
      <c r="Z85" s="207">
        <v>29</v>
      </c>
      <c r="AA85" s="207">
        <v>7</v>
      </c>
      <c r="AB85" s="207">
        <v>17288</v>
      </c>
      <c r="AC85" s="207">
        <v>211</v>
      </c>
      <c r="AD85" s="207">
        <v>2639</v>
      </c>
      <c r="AE85" s="207">
        <v>0.863597767668945</v>
      </c>
      <c r="AF85" s="207">
        <v>17162833.687069666</v>
      </c>
      <c r="AG85" s="207">
        <v>11309357.313022764</v>
      </c>
      <c r="AH85" s="207">
        <v>2613879.1985445996</v>
      </c>
      <c r="AI85" s="207">
        <v>1259794.6498040617</v>
      </c>
      <c r="AJ85" s="207">
        <v>865</v>
      </c>
      <c r="AK85" s="207">
        <v>8110</v>
      </c>
      <c r="AL85" s="207">
        <v>0.9217635267143816</v>
      </c>
      <c r="AM85" s="207">
        <v>211</v>
      </c>
      <c r="AN85" s="207">
        <v>0.012033076703735386</v>
      </c>
      <c r="AO85" s="207">
        <v>0.007092365241284793</v>
      </c>
      <c r="AP85" s="207">
        <v>0</v>
      </c>
      <c r="AQ85" s="207">
        <v>29</v>
      </c>
      <c r="AR85" s="207">
        <v>7</v>
      </c>
      <c r="AS85" s="207">
        <v>0</v>
      </c>
      <c r="AT85" s="207">
        <v>0</v>
      </c>
      <c r="AU85" s="207">
        <v>110.1</v>
      </c>
      <c r="AV85" s="207">
        <v>159.26430517711174</v>
      </c>
      <c r="AW85" s="207">
        <v>0.11387254601921527</v>
      </c>
      <c r="AX85" s="207">
        <v>375</v>
      </c>
      <c r="AY85" s="207">
        <v>5936</v>
      </c>
      <c r="AZ85" s="207">
        <v>0.06317385444743935</v>
      </c>
      <c r="BA85" s="207">
        <v>0.001990018363204858</v>
      </c>
      <c r="BB85" s="207">
        <v>0</v>
      </c>
      <c r="BC85" s="207">
        <v>5753</v>
      </c>
      <c r="BD85" s="207">
        <v>7167</v>
      </c>
      <c r="BE85" s="207">
        <v>0.8027068508441468</v>
      </c>
      <c r="BF85" s="207">
        <v>0.39379996825305374</v>
      </c>
      <c r="BG85" s="207">
        <v>0</v>
      </c>
      <c r="BH85" s="207">
        <v>7</v>
      </c>
      <c r="BI85" s="207">
        <v>0</v>
      </c>
      <c r="BJ85" s="207">
        <v>-4208.4</v>
      </c>
      <c r="BK85" s="207">
        <v>-71893.5</v>
      </c>
      <c r="BL85" s="207">
        <v>-4909.8</v>
      </c>
      <c r="BM85" s="207">
        <v>-6838.650000000001</v>
      </c>
      <c r="BN85" s="207">
        <v>-350.7</v>
      </c>
      <c r="BO85" s="207">
        <v>263490</v>
      </c>
      <c r="BP85" s="207">
        <v>-619322.5554598619</v>
      </c>
      <c r="BQ85" s="207">
        <v>-1590249.15</v>
      </c>
      <c r="BR85" s="207">
        <v>-424852.51182803884</v>
      </c>
      <c r="BS85" s="207">
        <v>919994</v>
      </c>
      <c r="BT85" s="207">
        <v>296488</v>
      </c>
      <c r="BU85" s="207">
        <v>624369.9919575528</v>
      </c>
      <c r="BV85" s="207">
        <v>3533.460709059112</v>
      </c>
      <c r="BW85" s="207">
        <v>-19829.64682387213</v>
      </c>
      <c r="BX85" s="207">
        <v>344264.08235237317</v>
      </c>
      <c r="BY85" s="207">
        <v>711241.7854187968</v>
      </c>
      <c r="BZ85" s="207">
        <v>1092587.5394141623</v>
      </c>
      <c r="CA85" s="207">
        <v>278912.67665120785</v>
      </c>
      <c r="CB85" s="207">
        <v>571050.6286957175</v>
      </c>
      <c r="CC85" s="207">
        <v>1578.1499999999999</v>
      </c>
      <c r="CD85" s="207">
        <v>97870.91738614051</v>
      </c>
      <c r="CE85" s="207">
        <v>757862.7</v>
      </c>
      <c r="CF85" s="207">
        <v>5518561.7739331</v>
      </c>
      <c r="CG85" s="207">
        <v>2272671.5684732376</v>
      </c>
      <c r="CH85" s="207">
        <v>0</v>
      </c>
      <c r="CI85" s="207">
        <v>2203888.491836762</v>
      </c>
      <c r="CJ85" s="207">
        <v>-552138</v>
      </c>
      <c r="CK85" s="207">
        <v>0</v>
      </c>
      <c r="CL85" s="207">
        <v>0</v>
      </c>
      <c r="CM85" s="207">
        <v>-126473.777574</v>
      </c>
      <c r="CN85" s="207">
        <v>24603478.158103794</v>
      </c>
      <c r="CO85" s="207">
        <v>24477004.380529795</v>
      </c>
      <c r="CP85" s="207">
        <v>17297</v>
      </c>
    </row>
    <row r="86" spans="1:94" ht="9.75">
      <c r="A86" s="175">
        <v>245</v>
      </c>
      <c r="B86" s="175" t="s">
        <v>143</v>
      </c>
      <c r="C86" s="207">
        <v>35554</v>
      </c>
      <c r="D86" s="207">
        <v>109960787.03000002</v>
      </c>
      <c r="E86" s="207">
        <v>35233348.55738331</v>
      </c>
      <c r="F86" s="207">
        <v>10882364.518656576</v>
      </c>
      <c r="G86" s="207">
        <v>156076500.1060399</v>
      </c>
      <c r="H86" s="207">
        <v>3524.51</v>
      </c>
      <c r="I86" s="207">
        <v>125310428.54</v>
      </c>
      <c r="J86" s="207">
        <v>30766071.566039905</v>
      </c>
      <c r="K86" s="207">
        <v>765655.0506075755</v>
      </c>
      <c r="L86" s="207">
        <v>1149241.5986904409</v>
      </c>
      <c r="M86" s="207">
        <v>0</v>
      </c>
      <c r="N86" s="207">
        <v>32680968.215337925</v>
      </c>
      <c r="O86" s="207">
        <v>-5872063.497968262</v>
      </c>
      <c r="P86" s="207">
        <v>26808904.71736966</v>
      </c>
      <c r="Q86" s="207">
        <v>2252</v>
      </c>
      <c r="R86" s="207">
        <v>432</v>
      </c>
      <c r="S86" s="207">
        <v>2513</v>
      </c>
      <c r="T86" s="207">
        <v>1174</v>
      </c>
      <c r="U86" s="207">
        <v>1171</v>
      </c>
      <c r="V86" s="207">
        <v>21327</v>
      </c>
      <c r="W86" s="207">
        <v>4287</v>
      </c>
      <c r="X86" s="207">
        <v>1847</v>
      </c>
      <c r="Y86" s="207">
        <v>551</v>
      </c>
      <c r="Z86" s="207">
        <v>465</v>
      </c>
      <c r="AA86" s="207">
        <v>0</v>
      </c>
      <c r="AB86" s="207">
        <v>31554</v>
      </c>
      <c r="AC86" s="207">
        <v>3535</v>
      </c>
      <c r="AD86" s="207">
        <v>6685</v>
      </c>
      <c r="AE86" s="207">
        <v>0.8743669618990828</v>
      </c>
      <c r="AF86" s="207">
        <v>35233348.55738331</v>
      </c>
      <c r="AG86" s="207">
        <v>21270626.826212935</v>
      </c>
      <c r="AH86" s="207">
        <v>3918516.314918867</v>
      </c>
      <c r="AI86" s="207">
        <v>2465981.016637738</v>
      </c>
      <c r="AJ86" s="207">
        <v>1775</v>
      </c>
      <c r="AK86" s="207">
        <v>18224</v>
      </c>
      <c r="AL86" s="207">
        <v>0.8417418438199518</v>
      </c>
      <c r="AM86" s="207">
        <v>3535</v>
      </c>
      <c r="AN86" s="207">
        <v>0.09942622489733925</v>
      </c>
      <c r="AO86" s="207">
        <v>0.09448551343488866</v>
      </c>
      <c r="AP86" s="207">
        <v>0</v>
      </c>
      <c r="AQ86" s="207">
        <v>465</v>
      </c>
      <c r="AR86" s="207">
        <v>0</v>
      </c>
      <c r="AS86" s="207">
        <v>0</v>
      </c>
      <c r="AT86" s="207">
        <v>0</v>
      </c>
      <c r="AU86" s="207">
        <v>30.63</v>
      </c>
      <c r="AV86" s="207">
        <v>1160.7574273587986</v>
      </c>
      <c r="AW86" s="207">
        <v>0.015624136010712842</v>
      </c>
      <c r="AX86" s="207">
        <v>2270</v>
      </c>
      <c r="AY86" s="207">
        <v>11805</v>
      </c>
      <c r="AZ86" s="207">
        <v>0.19229140194832697</v>
      </c>
      <c r="BA86" s="207">
        <v>0.13110756586409247</v>
      </c>
      <c r="BB86" s="207">
        <v>0</v>
      </c>
      <c r="BC86" s="207">
        <v>11959</v>
      </c>
      <c r="BD86" s="207">
        <v>16036</v>
      </c>
      <c r="BE86" s="207">
        <v>0.7457595410326765</v>
      </c>
      <c r="BF86" s="207">
        <v>0.3368526584415834</v>
      </c>
      <c r="BG86" s="207">
        <v>0</v>
      </c>
      <c r="BH86" s="207">
        <v>0</v>
      </c>
      <c r="BI86" s="207">
        <v>0</v>
      </c>
      <c r="BJ86" s="207">
        <v>-8532.96</v>
      </c>
      <c r="BK86" s="207">
        <v>-145771.4</v>
      </c>
      <c r="BL86" s="207">
        <v>-9955.12</v>
      </c>
      <c r="BM86" s="207">
        <v>-13866.060000000001</v>
      </c>
      <c r="BN86" s="207">
        <v>-711.08</v>
      </c>
      <c r="BO86" s="207">
        <v>-804283</v>
      </c>
      <c r="BP86" s="207">
        <v>-4315713.004659334</v>
      </c>
      <c r="BQ86" s="207">
        <v>-3224392.26</v>
      </c>
      <c r="BR86" s="207">
        <v>-443347.1452234015</v>
      </c>
      <c r="BS86" s="207">
        <v>1849095</v>
      </c>
      <c r="BT86" s="207">
        <v>688975</v>
      </c>
      <c r="BU86" s="207">
        <v>1471577.4084279276</v>
      </c>
      <c r="BV86" s="207">
        <v>31452.156286973168</v>
      </c>
      <c r="BW86" s="207">
        <v>-7625.718145323078</v>
      </c>
      <c r="BX86" s="207">
        <v>604880.6672849297</v>
      </c>
      <c r="BY86" s="207">
        <v>1576612.466004551</v>
      </c>
      <c r="BZ86" s="207">
        <v>2363461.9138938366</v>
      </c>
      <c r="CA86" s="207">
        <v>782339.1932122004</v>
      </c>
      <c r="CB86" s="207">
        <v>1291310.6468326058</v>
      </c>
      <c r="CC86" s="207">
        <v>3199.8599999999997</v>
      </c>
      <c r="CD86" s="207">
        <v>-153704.06522452366</v>
      </c>
      <c r="CE86" s="207">
        <v>1536643.88</v>
      </c>
      <c r="CF86" s="207">
        <v>10790588.263349775</v>
      </c>
      <c r="CG86" s="207">
        <v>1149241.5986904409</v>
      </c>
      <c r="CH86" s="207">
        <v>0</v>
      </c>
      <c r="CI86" s="207">
        <v>-5872063.497968262</v>
      </c>
      <c r="CJ86" s="207">
        <v>-3549865</v>
      </c>
      <c r="CK86" s="207">
        <v>0</v>
      </c>
      <c r="CL86" s="207">
        <v>0</v>
      </c>
      <c r="CM86" s="207">
        <v>-1226786.7982400004</v>
      </c>
      <c r="CN86" s="207">
        <v>23259039.71736966</v>
      </c>
      <c r="CO86" s="207">
        <v>22032252.919129662</v>
      </c>
      <c r="CP86" s="207">
        <v>35511</v>
      </c>
    </row>
    <row r="87" spans="1:94" ht="9.75">
      <c r="A87" s="175">
        <v>249</v>
      </c>
      <c r="B87" s="175" t="s">
        <v>144</v>
      </c>
      <c r="C87" s="207">
        <v>9919</v>
      </c>
      <c r="D87" s="207">
        <v>35709508.24</v>
      </c>
      <c r="E87" s="207">
        <v>14409379.844506992</v>
      </c>
      <c r="F87" s="207">
        <v>2416693.187766441</v>
      </c>
      <c r="G87" s="207">
        <v>52535581.272273436</v>
      </c>
      <c r="H87" s="207">
        <v>3524.51</v>
      </c>
      <c r="I87" s="207">
        <v>34959614.690000005</v>
      </c>
      <c r="J87" s="207">
        <v>17575966.58227343</v>
      </c>
      <c r="K87" s="207">
        <v>509653.1803743957</v>
      </c>
      <c r="L87" s="207">
        <v>3545792.84485884</v>
      </c>
      <c r="M87" s="207">
        <v>0</v>
      </c>
      <c r="N87" s="207">
        <v>21631412.607506666</v>
      </c>
      <c r="O87" s="207">
        <v>5719340.2557798335</v>
      </c>
      <c r="P87" s="207">
        <v>27350752.8632865</v>
      </c>
      <c r="Q87" s="207">
        <v>508</v>
      </c>
      <c r="R87" s="207">
        <v>111</v>
      </c>
      <c r="S87" s="207">
        <v>557</v>
      </c>
      <c r="T87" s="207">
        <v>318</v>
      </c>
      <c r="U87" s="207">
        <v>257</v>
      </c>
      <c r="V87" s="207">
        <v>5020</v>
      </c>
      <c r="W87" s="207">
        <v>1767</v>
      </c>
      <c r="X87" s="207">
        <v>969</v>
      </c>
      <c r="Y87" s="207">
        <v>412</v>
      </c>
      <c r="Z87" s="207">
        <v>13</v>
      </c>
      <c r="AA87" s="207">
        <v>0</v>
      </c>
      <c r="AB87" s="207">
        <v>9708</v>
      </c>
      <c r="AC87" s="207">
        <v>198</v>
      </c>
      <c r="AD87" s="207">
        <v>3148</v>
      </c>
      <c r="AE87" s="207">
        <v>1.2817569673565132</v>
      </c>
      <c r="AF87" s="207">
        <v>14409379.844506992</v>
      </c>
      <c r="AG87" s="207">
        <v>45010555.93943628</v>
      </c>
      <c r="AH87" s="207">
        <v>9601779.35390287</v>
      </c>
      <c r="AI87" s="207">
        <v>5021309.171559452</v>
      </c>
      <c r="AJ87" s="207">
        <v>511</v>
      </c>
      <c r="AK87" s="207">
        <v>4072</v>
      </c>
      <c r="AL87" s="207">
        <v>1.0845195796600517</v>
      </c>
      <c r="AM87" s="207">
        <v>198</v>
      </c>
      <c r="AN87" s="207">
        <v>0.019961689686460327</v>
      </c>
      <c r="AO87" s="207">
        <v>0.015020978224009735</v>
      </c>
      <c r="AP87" s="207">
        <v>0</v>
      </c>
      <c r="AQ87" s="207">
        <v>13</v>
      </c>
      <c r="AR87" s="207">
        <v>0</v>
      </c>
      <c r="AS87" s="207">
        <v>0</v>
      </c>
      <c r="AT87" s="207">
        <v>0</v>
      </c>
      <c r="AU87" s="207">
        <v>1257.98</v>
      </c>
      <c r="AV87" s="207">
        <v>7.884863034388464</v>
      </c>
      <c r="AW87" s="207">
        <v>2.3000820485280102</v>
      </c>
      <c r="AX87" s="207">
        <v>362</v>
      </c>
      <c r="AY87" s="207">
        <v>2562</v>
      </c>
      <c r="AZ87" s="207">
        <v>0.141295862607338</v>
      </c>
      <c r="BA87" s="207">
        <v>0.08011202652310351</v>
      </c>
      <c r="BB87" s="207">
        <v>0.0792</v>
      </c>
      <c r="BC87" s="207">
        <v>3249</v>
      </c>
      <c r="BD87" s="207">
        <v>3414</v>
      </c>
      <c r="BE87" s="207">
        <v>0.9516695957820738</v>
      </c>
      <c r="BF87" s="207">
        <v>0.5427627131909807</v>
      </c>
      <c r="BG87" s="207">
        <v>0</v>
      </c>
      <c r="BH87" s="207">
        <v>0</v>
      </c>
      <c r="BI87" s="207">
        <v>0</v>
      </c>
      <c r="BJ87" s="207">
        <v>-2380.56</v>
      </c>
      <c r="BK87" s="207">
        <v>-40667.899999999994</v>
      </c>
      <c r="BL87" s="207">
        <v>-2777.32</v>
      </c>
      <c r="BM87" s="207">
        <v>-3868.4100000000003</v>
      </c>
      <c r="BN87" s="207">
        <v>-198.38</v>
      </c>
      <c r="BO87" s="207">
        <v>189982</v>
      </c>
      <c r="BP87" s="207">
        <v>-507674.31829540135</v>
      </c>
      <c r="BQ87" s="207">
        <v>-899554.11</v>
      </c>
      <c r="BR87" s="207">
        <v>817469.7983167842</v>
      </c>
      <c r="BS87" s="207">
        <v>840543</v>
      </c>
      <c r="BT87" s="207">
        <v>275658</v>
      </c>
      <c r="BU87" s="207">
        <v>616042.5769579562</v>
      </c>
      <c r="BV87" s="207">
        <v>27456.298720062765</v>
      </c>
      <c r="BW87" s="207">
        <v>-5142.00613193496</v>
      </c>
      <c r="BX87" s="207">
        <v>332187.6762118307</v>
      </c>
      <c r="BY87" s="207">
        <v>495814.7213768481</v>
      </c>
      <c r="BZ87" s="207">
        <v>841513.2411016648</v>
      </c>
      <c r="CA87" s="207">
        <v>232149.0422632222</v>
      </c>
      <c r="CB87" s="207">
        <v>434604.91427646816</v>
      </c>
      <c r="CC87" s="207">
        <v>892.7099999999999</v>
      </c>
      <c r="CD87" s="207">
        <v>11363.020061339732</v>
      </c>
      <c r="CE87" s="207">
        <v>428699.18</v>
      </c>
      <c r="CF87" s="207">
        <v>5539234.173154241</v>
      </c>
      <c r="CG87" s="207">
        <v>3545792.84485884</v>
      </c>
      <c r="CH87" s="207">
        <v>0</v>
      </c>
      <c r="CI87" s="207">
        <v>5719340.2557798335</v>
      </c>
      <c r="CJ87" s="207">
        <v>165450</v>
      </c>
      <c r="CK87" s="207">
        <v>0</v>
      </c>
      <c r="CL87" s="207">
        <v>0</v>
      </c>
      <c r="CM87" s="207">
        <v>112268.89170000002</v>
      </c>
      <c r="CN87" s="207">
        <v>27516202.8632865</v>
      </c>
      <c r="CO87" s="207">
        <v>27628471.7549865</v>
      </c>
      <c r="CP87" s="207">
        <v>9992</v>
      </c>
    </row>
    <row r="88" spans="1:94" ht="9.75">
      <c r="A88" s="175">
        <v>250</v>
      </c>
      <c r="B88" s="175" t="s">
        <v>145</v>
      </c>
      <c r="C88" s="207">
        <v>1967</v>
      </c>
      <c r="D88" s="207">
        <v>7286500.01</v>
      </c>
      <c r="E88" s="207">
        <v>3129631.4805641356</v>
      </c>
      <c r="F88" s="207">
        <v>563034.3596090904</v>
      </c>
      <c r="G88" s="207">
        <v>10979165.850173226</v>
      </c>
      <c r="H88" s="207">
        <v>3524.51</v>
      </c>
      <c r="I88" s="207">
        <v>6932711.170000001</v>
      </c>
      <c r="J88" s="207">
        <v>4046454.680173225</v>
      </c>
      <c r="K88" s="207">
        <v>282464.42842556</v>
      </c>
      <c r="L88" s="207">
        <v>948626.723399013</v>
      </c>
      <c r="M88" s="207">
        <v>0</v>
      </c>
      <c r="N88" s="207">
        <v>5277545.831997798</v>
      </c>
      <c r="O88" s="207">
        <v>1937368.4064465717</v>
      </c>
      <c r="P88" s="207">
        <v>7214914.238444369</v>
      </c>
      <c r="Q88" s="207">
        <v>97</v>
      </c>
      <c r="R88" s="207">
        <v>26</v>
      </c>
      <c r="S88" s="207">
        <v>97</v>
      </c>
      <c r="T88" s="207">
        <v>68</v>
      </c>
      <c r="U88" s="207">
        <v>50</v>
      </c>
      <c r="V88" s="207">
        <v>1035</v>
      </c>
      <c r="W88" s="207">
        <v>311</v>
      </c>
      <c r="X88" s="207">
        <v>184</v>
      </c>
      <c r="Y88" s="207">
        <v>99</v>
      </c>
      <c r="Z88" s="207">
        <v>0</v>
      </c>
      <c r="AA88" s="207">
        <v>0</v>
      </c>
      <c r="AB88" s="207">
        <v>1940</v>
      </c>
      <c r="AC88" s="207">
        <v>27</v>
      </c>
      <c r="AD88" s="207">
        <v>594</v>
      </c>
      <c r="AE88" s="207">
        <v>1.403838436132956</v>
      </c>
      <c r="AF88" s="207">
        <v>3129631.4805641356</v>
      </c>
      <c r="AG88" s="207">
        <v>18988409.50043574</v>
      </c>
      <c r="AH88" s="207">
        <v>4863811.310433805</v>
      </c>
      <c r="AI88" s="207">
        <v>1885224.617791894</v>
      </c>
      <c r="AJ88" s="207">
        <v>103</v>
      </c>
      <c r="AK88" s="207">
        <v>870</v>
      </c>
      <c r="AL88" s="207">
        <v>1.0231569022261968</v>
      </c>
      <c r="AM88" s="207">
        <v>27</v>
      </c>
      <c r="AN88" s="207">
        <v>0.013726487036095577</v>
      </c>
      <c r="AO88" s="207">
        <v>0.008785775573644985</v>
      </c>
      <c r="AP88" s="207">
        <v>0</v>
      </c>
      <c r="AQ88" s="207">
        <v>0</v>
      </c>
      <c r="AR88" s="207">
        <v>0</v>
      </c>
      <c r="AS88" s="207">
        <v>0</v>
      </c>
      <c r="AT88" s="207">
        <v>0</v>
      </c>
      <c r="AU88" s="207">
        <v>357.11</v>
      </c>
      <c r="AV88" s="207">
        <v>5.508106745820616</v>
      </c>
      <c r="AW88" s="207">
        <v>3.2925708882203346</v>
      </c>
      <c r="AX88" s="207">
        <v>101</v>
      </c>
      <c r="AY88" s="207">
        <v>512</v>
      </c>
      <c r="AZ88" s="207">
        <v>0.197265625</v>
      </c>
      <c r="BA88" s="207">
        <v>0.1360817889157655</v>
      </c>
      <c r="BB88" s="207">
        <v>0.529932</v>
      </c>
      <c r="BC88" s="207">
        <v>650</v>
      </c>
      <c r="BD88" s="207">
        <v>715</v>
      </c>
      <c r="BE88" s="207">
        <v>0.9090909090909091</v>
      </c>
      <c r="BF88" s="207">
        <v>0.500184026499816</v>
      </c>
      <c r="BG88" s="207">
        <v>0</v>
      </c>
      <c r="BH88" s="207">
        <v>0</v>
      </c>
      <c r="BI88" s="207">
        <v>0</v>
      </c>
      <c r="BJ88" s="207">
        <v>-472.08</v>
      </c>
      <c r="BK88" s="207">
        <v>-8064.699999999999</v>
      </c>
      <c r="BL88" s="207">
        <v>-550.7600000000001</v>
      </c>
      <c r="BM88" s="207">
        <v>-767.13</v>
      </c>
      <c r="BN88" s="207">
        <v>-39.34</v>
      </c>
      <c r="BO88" s="207">
        <v>-6236</v>
      </c>
      <c r="BP88" s="207">
        <v>706.5987087098038</v>
      </c>
      <c r="BQ88" s="207">
        <v>-178387.22999999998</v>
      </c>
      <c r="BR88" s="207">
        <v>82427.22236314509</v>
      </c>
      <c r="BS88" s="207">
        <v>219048</v>
      </c>
      <c r="BT88" s="207">
        <v>68340</v>
      </c>
      <c r="BU88" s="207">
        <v>185745.72702158507</v>
      </c>
      <c r="BV88" s="207">
        <v>10832.417464142347</v>
      </c>
      <c r="BW88" s="207">
        <v>24966.191205261683</v>
      </c>
      <c r="BX88" s="207">
        <v>84210.02610541235</v>
      </c>
      <c r="BY88" s="207">
        <v>132963.3328811662</v>
      </c>
      <c r="BZ88" s="207">
        <v>193905.06881895455</v>
      </c>
      <c r="CA88" s="207">
        <v>61753.68627254177</v>
      </c>
      <c r="CB88" s="207">
        <v>108331.3907709797</v>
      </c>
      <c r="CC88" s="207">
        <v>177.03</v>
      </c>
      <c r="CD88" s="207">
        <v>-8920.778212885716</v>
      </c>
      <c r="CE88" s="207">
        <v>85013.73999999999</v>
      </c>
      <c r="CF88" s="207">
        <v>1242557.0546903033</v>
      </c>
      <c r="CG88" s="207">
        <v>948626.723399013</v>
      </c>
      <c r="CH88" s="207">
        <v>0</v>
      </c>
      <c r="CI88" s="207">
        <v>1937368.4064465717</v>
      </c>
      <c r="CJ88" s="207">
        <v>-335696</v>
      </c>
      <c r="CK88" s="207">
        <v>0</v>
      </c>
      <c r="CL88" s="207">
        <v>0</v>
      </c>
      <c r="CM88" s="207">
        <v>-10494.270300000004</v>
      </c>
      <c r="CN88" s="207">
        <v>6879218.238444369</v>
      </c>
      <c r="CO88" s="207">
        <v>6868723.968144369</v>
      </c>
      <c r="CP88" s="207">
        <v>1994</v>
      </c>
    </row>
    <row r="89" spans="1:94" ht="9.75">
      <c r="A89" s="175">
        <v>256</v>
      </c>
      <c r="B89" s="175" t="s">
        <v>146</v>
      </c>
      <c r="C89" s="207">
        <v>1656</v>
      </c>
      <c r="D89" s="207">
        <v>6092101.220000001</v>
      </c>
      <c r="E89" s="207">
        <v>2338022.8716705786</v>
      </c>
      <c r="F89" s="207">
        <v>608583.3960462743</v>
      </c>
      <c r="G89" s="207">
        <v>9038707.487716854</v>
      </c>
      <c r="H89" s="207">
        <v>3524.51</v>
      </c>
      <c r="I89" s="207">
        <v>5836588.5600000005</v>
      </c>
      <c r="J89" s="207">
        <v>3202118.927716853</v>
      </c>
      <c r="K89" s="207">
        <v>723408.5705873378</v>
      </c>
      <c r="L89" s="207">
        <v>750825.9749465006</v>
      </c>
      <c r="M89" s="207">
        <v>0</v>
      </c>
      <c r="N89" s="207">
        <v>4676353.473250692</v>
      </c>
      <c r="O89" s="207">
        <v>1723659.6640761618</v>
      </c>
      <c r="P89" s="207">
        <v>6400013.137326853</v>
      </c>
      <c r="Q89" s="207">
        <v>124</v>
      </c>
      <c r="R89" s="207">
        <v>13</v>
      </c>
      <c r="S89" s="207">
        <v>108</v>
      </c>
      <c r="T89" s="207">
        <v>58</v>
      </c>
      <c r="U89" s="207">
        <v>57</v>
      </c>
      <c r="V89" s="207">
        <v>804</v>
      </c>
      <c r="W89" s="207">
        <v>282</v>
      </c>
      <c r="X89" s="207">
        <v>156</v>
      </c>
      <c r="Y89" s="207">
        <v>54</v>
      </c>
      <c r="Z89" s="207">
        <v>1</v>
      </c>
      <c r="AA89" s="207">
        <v>0</v>
      </c>
      <c r="AB89" s="207">
        <v>1643</v>
      </c>
      <c r="AC89" s="207">
        <v>12</v>
      </c>
      <c r="AD89" s="207">
        <v>492</v>
      </c>
      <c r="AE89" s="207">
        <v>1.2457093095701737</v>
      </c>
      <c r="AF89" s="207">
        <v>2338022.8716705786</v>
      </c>
      <c r="AG89" s="207">
        <v>3972757.2888045055</v>
      </c>
      <c r="AH89" s="207">
        <v>1140522.3269531582</v>
      </c>
      <c r="AI89" s="207">
        <v>348453.83930750645</v>
      </c>
      <c r="AJ89" s="207">
        <v>117</v>
      </c>
      <c r="AK89" s="207">
        <v>676</v>
      </c>
      <c r="AL89" s="207">
        <v>1.4957652248751159</v>
      </c>
      <c r="AM89" s="207">
        <v>12</v>
      </c>
      <c r="AN89" s="207">
        <v>0.007246376811594203</v>
      </c>
      <c r="AO89" s="207">
        <v>0.00230566534914361</v>
      </c>
      <c r="AP89" s="207">
        <v>0</v>
      </c>
      <c r="AQ89" s="207">
        <v>1</v>
      </c>
      <c r="AR89" s="207">
        <v>0</v>
      </c>
      <c r="AS89" s="207">
        <v>0</v>
      </c>
      <c r="AT89" s="207">
        <v>0</v>
      </c>
      <c r="AU89" s="207">
        <v>460.18</v>
      </c>
      <c r="AV89" s="207">
        <v>3.5985918553609455</v>
      </c>
      <c r="AW89" s="207">
        <v>5.039702375105816</v>
      </c>
      <c r="AX89" s="207">
        <v>60</v>
      </c>
      <c r="AY89" s="207">
        <v>378</v>
      </c>
      <c r="AZ89" s="207">
        <v>0.15873015873015872</v>
      </c>
      <c r="BA89" s="207">
        <v>0.09754632264592422</v>
      </c>
      <c r="BB89" s="207">
        <v>1.286416</v>
      </c>
      <c r="BC89" s="207">
        <v>481</v>
      </c>
      <c r="BD89" s="207">
        <v>544</v>
      </c>
      <c r="BE89" s="207">
        <v>0.8841911764705882</v>
      </c>
      <c r="BF89" s="207">
        <v>0.4752842938794951</v>
      </c>
      <c r="BG89" s="207">
        <v>0</v>
      </c>
      <c r="BH89" s="207">
        <v>0</v>
      </c>
      <c r="BI89" s="207">
        <v>0</v>
      </c>
      <c r="BJ89" s="207">
        <v>-397.44</v>
      </c>
      <c r="BK89" s="207">
        <v>-6789.599999999999</v>
      </c>
      <c r="BL89" s="207">
        <v>-463.68000000000006</v>
      </c>
      <c r="BM89" s="207">
        <v>-645.84</v>
      </c>
      <c r="BN89" s="207">
        <v>-33.12</v>
      </c>
      <c r="BO89" s="207">
        <v>96914</v>
      </c>
      <c r="BP89" s="207">
        <v>-4569.811601654626</v>
      </c>
      <c r="BQ89" s="207">
        <v>-150182.63999999998</v>
      </c>
      <c r="BR89" s="207">
        <v>7985.68745491188</v>
      </c>
      <c r="BS89" s="207">
        <v>175069</v>
      </c>
      <c r="BT89" s="207">
        <v>57344</v>
      </c>
      <c r="BU89" s="207">
        <v>155676.28894759898</v>
      </c>
      <c r="BV89" s="207">
        <v>8712.868785601755</v>
      </c>
      <c r="BW89" s="207">
        <v>29015.687809191466</v>
      </c>
      <c r="BX89" s="207">
        <v>73844.99649878072</v>
      </c>
      <c r="BY89" s="207">
        <v>86849.92761042874</v>
      </c>
      <c r="BZ89" s="207">
        <v>141637.73046884115</v>
      </c>
      <c r="CA89" s="207">
        <v>38890.7408488016</v>
      </c>
      <c r="CB89" s="207">
        <v>73585.13520879087</v>
      </c>
      <c r="CC89" s="207">
        <v>149.04</v>
      </c>
      <c r="CD89" s="207">
        <v>-13799.397084791897</v>
      </c>
      <c r="CE89" s="207">
        <v>71572.31999999999</v>
      </c>
      <c r="CF89" s="207">
        <v>1003448.0265481552</v>
      </c>
      <c r="CG89" s="207">
        <v>750825.9749465006</v>
      </c>
      <c r="CH89" s="207">
        <v>0</v>
      </c>
      <c r="CI89" s="207">
        <v>1723659.6640761618</v>
      </c>
      <c r="CJ89" s="207">
        <v>132582</v>
      </c>
      <c r="CK89" s="207">
        <v>0</v>
      </c>
      <c r="CL89" s="207">
        <v>0</v>
      </c>
      <c r="CM89" s="207">
        <v>133455.4374</v>
      </c>
      <c r="CN89" s="207">
        <v>6532595.137326853</v>
      </c>
      <c r="CO89" s="207">
        <v>6666050.5747268535</v>
      </c>
      <c r="CP89" s="207">
        <v>1699</v>
      </c>
    </row>
    <row r="90" spans="1:94" ht="9.75">
      <c r="A90" s="175">
        <v>257</v>
      </c>
      <c r="B90" s="175" t="s">
        <v>147</v>
      </c>
      <c r="C90" s="207">
        <v>39170</v>
      </c>
      <c r="D90" s="207">
        <v>129616510.66000001</v>
      </c>
      <c r="E90" s="207">
        <v>31181646.252383653</v>
      </c>
      <c r="F90" s="207">
        <v>11945976.426484082</v>
      </c>
      <c r="G90" s="207">
        <v>172744133.33886775</v>
      </c>
      <c r="H90" s="207">
        <v>3524.51</v>
      </c>
      <c r="I90" s="207">
        <v>138055056.70000002</v>
      </c>
      <c r="J90" s="207">
        <v>34689076.638867736</v>
      </c>
      <c r="K90" s="207">
        <v>480040.6194775292</v>
      </c>
      <c r="L90" s="207">
        <v>2354287.9573754165</v>
      </c>
      <c r="M90" s="207">
        <v>0</v>
      </c>
      <c r="N90" s="207">
        <v>37523405.21572068</v>
      </c>
      <c r="O90" s="207">
        <v>-12385162.81562716</v>
      </c>
      <c r="P90" s="207">
        <v>25138242.400093526</v>
      </c>
      <c r="Q90" s="207">
        <v>2737</v>
      </c>
      <c r="R90" s="207">
        <v>556</v>
      </c>
      <c r="S90" s="207">
        <v>3608</v>
      </c>
      <c r="T90" s="207">
        <v>1732</v>
      </c>
      <c r="U90" s="207">
        <v>1599</v>
      </c>
      <c r="V90" s="207">
        <v>22849</v>
      </c>
      <c r="W90" s="207">
        <v>3962</v>
      </c>
      <c r="X90" s="207">
        <v>1683</v>
      </c>
      <c r="Y90" s="207">
        <v>444</v>
      </c>
      <c r="Z90" s="207">
        <v>6519</v>
      </c>
      <c r="AA90" s="207">
        <v>7</v>
      </c>
      <c r="AB90" s="207">
        <v>29692</v>
      </c>
      <c r="AC90" s="207">
        <v>2952</v>
      </c>
      <c r="AD90" s="207">
        <v>6089</v>
      </c>
      <c r="AE90" s="207">
        <v>0.7023826187595662</v>
      </c>
      <c r="AF90" s="207">
        <v>31181646.252383653</v>
      </c>
      <c r="AG90" s="207">
        <v>3163638.910397963</v>
      </c>
      <c r="AH90" s="207">
        <v>755562.6652787436</v>
      </c>
      <c r="AI90" s="207">
        <v>294845.5563371208</v>
      </c>
      <c r="AJ90" s="207">
        <v>1728</v>
      </c>
      <c r="AK90" s="207">
        <v>19691</v>
      </c>
      <c r="AL90" s="207">
        <v>0.7584033317329316</v>
      </c>
      <c r="AM90" s="207">
        <v>2952</v>
      </c>
      <c r="AN90" s="207">
        <v>0.07536379882563186</v>
      </c>
      <c r="AO90" s="207">
        <v>0.07042308736318127</v>
      </c>
      <c r="AP90" s="207">
        <v>1</v>
      </c>
      <c r="AQ90" s="207">
        <v>6519</v>
      </c>
      <c r="AR90" s="207">
        <v>7</v>
      </c>
      <c r="AS90" s="207">
        <v>3</v>
      </c>
      <c r="AT90" s="207">
        <v>686</v>
      </c>
      <c r="AU90" s="207">
        <v>366.23</v>
      </c>
      <c r="AV90" s="207">
        <v>106.95464598749419</v>
      </c>
      <c r="AW90" s="207">
        <v>0.16956562992709598</v>
      </c>
      <c r="AX90" s="207">
        <v>2010</v>
      </c>
      <c r="AY90" s="207">
        <v>14152</v>
      </c>
      <c r="AZ90" s="207">
        <v>0.14202939513849633</v>
      </c>
      <c r="BA90" s="207">
        <v>0.08084555905426183</v>
      </c>
      <c r="BB90" s="207">
        <v>0</v>
      </c>
      <c r="BC90" s="207">
        <v>10707</v>
      </c>
      <c r="BD90" s="207">
        <v>17827</v>
      </c>
      <c r="BE90" s="207">
        <v>0.6006058226285971</v>
      </c>
      <c r="BF90" s="207">
        <v>0.19169894003750398</v>
      </c>
      <c r="BG90" s="207">
        <v>0</v>
      </c>
      <c r="BH90" s="207">
        <v>7</v>
      </c>
      <c r="BI90" s="207">
        <v>0</v>
      </c>
      <c r="BJ90" s="207">
        <v>-9400.8</v>
      </c>
      <c r="BK90" s="207">
        <v>-160597</v>
      </c>
      <c r="BL90" s="207">
        <v>-10967.6</v>
      </c>
      <c r="BM90" s="207">
        <v>-15276.300000000001</v>
      </c>
      <c r="BN90" s="207">
        <v>-783.4</v>
      </c>
      <c r="BO90" s="207">
        <v>95527</v>
      </c>
      <c r="BP90" s="207">
        <v>-3136383.9773063436</v>
      </c>
      <c r="BQ90" s="207">
        <v>-3552327.3</v>
      </c>
      <c r="BR90" s="207">
        <v>-115756.35312727839</v>
      </c>
      <c r="BS90" s="207">
        <v>2071727</v>
      </c>
      <c r="BT90" s="207">
        <v>698246</v>
      </c>
      <c r="BU90" s="207">
        <v>1328514.603771267</v>
      </c>
      <c r="BV90" s="207">
        <v>-6999.652707042877</v>
      </c>
      <c r="BW90" s="207">
        <v>-330038.789723722</v>
      </c>
      <c r="BX90" s="207">
        <v>466855.0734799032</v>
      </c>
      <c r="BY90" s="207">
        <v>1443673.5638424095</v>
      </c>
      <c r="BZ90" s="207">
        <v>2195705.452450867</v>
      </c>
      <c r="CA90" s="207">
        <v>680587.7115293582</v>
      </c>
      <c r="CB90" s="207">
        <v>1222246.1061520812</v>
      </c>
      <c r="CC90" s="207">
        <v>3525.2999999999997</v>
      </c>
      <c r="CD90" s="207">
        <v>-88794.18098608329</v>
      </c>
      <c r="CE90" s="207">
        <v>1692927.4</v>
      </c>
      <c r="CF90" s="207">
        <v>11357946.234681759</v>
      </c>
      <c r="CG90" s="207">
        <v>2354287.9573754165</v>
      </c>
      <c r="CH90" s="207">
        <v>0</v>
      </c>
      <c r="CI90" s="207">
        <v>-12385162.81562716</v>
      </c>
      <c r="CJ90" s="207">
        <v>-2936101</v>
      </c>
      <c r="CK90" s="207">
        <v>0</v>
      </c>
      <c r="CL90" s="207">
        <v>0</v>
      </c>
      <c r="CM90" s="207">
        <v>-801054.7126960002</v>
      </c>
      <c r="CN90" s="207">
        <v>22202141.400093526</v>
      </c>
      <c r="CO90" s="207">
        <v>21401086.687397525</v>
      </c>
      <c r="CP90" s="207">
        <v>39033</v>
      </c>
    </row>
    <row r="91" spans="1:94" ht="9.75">
      <c r="A91" s="175">
        <v>260</v>
      </c>
      <c r="B91" s="175" t="s">
        <v>148</v>
      </c>
      <c r="C91" s="207">
        <v>10486</v>
      </c>
      <c r="D91" s="207">
        <v>36880518.02</v>
      </c>
      <c r="E91" s="207">
        <v>19601879.19663738</v>
      </c>
      <c r="F91" s="207">
        <v>3465402.484781703</v>
      </c>
      <c r="G91" s="207">
        <v>59947799.70141909</v>
      </c>
      <c r="H91" s="207">
        <v>3524.51</v>
      </c>
      <c r="I91" s="207">
        <v>36958011.86</v>
      </c>
      <c r="J91" s="207">
        <v>22989787.841419093</v>
      </c>
      <c r="K91" s="207">
        <v>1682650.752569218</v>
      </c>
      <c r="L91" s="207">
        <v>4253554.149415964</v>
      </c>
      <c r="M91" s="207">
        <v>0</v>
      </c>
      <c r="N91" s="207">
        <v>28925992.743404277</v>
      </c>
      <c r="O91" s="207">
        <v>9177999.809797285</v>
      </c>
      <c r="P91" s="207">
        <v>38103992.55320156</v>
      </c>
      <c r="Q91" s="207">
        <v>447</v>
      </c>
      <c r="R91" s="207">
        <v>95</v>
      </c>
      <c r="S91" s="207">
        <v>507</v>
      </c>
      <c r="T91" s="207">
        <v>298</v>
      </c>
      <c r="U91" s="207">
        <v>312</v>
      </c>
      <c r="V91" s="207">
        <v>5408</v>
      </c>
      <c r="W91" s="207">
        <v>1847</v>
      </c>
      <c r="X91" s="207">
        <v>1114</v>
      </c>
      <c r="Y91" s="207">
        <v>458</v>
      </c>
      <c r="Z91" s="207">
        <v>1</v>
      </c>
      <c r="AA91" s="207">
        <v>0</v>
      </c>
      <c r="AB91" s="207">
        <v>10010</v>
      </c>
      <c r="AC91" s="207">
        <v>475</v>
      </c>
      <c r="AD91" s="207">
        <v>3419</v>
      </c>
      <c r="AE91" s="207">
        <v>1.6493625987627476</v>
      </c>
      <c r="AF91" s="207">
        <v>19601879.19663738</v>
      </c>
      <c r="AG91" s="207">
        <v>38801812.865070574</v>
      </c>
      <c r="AH91" s="207">
        <v>7934394.7638116805</v>
      </c>
      <c r="AI91" s="207">
        <v>3716840.9526134017</v>
      </c>
      <c r="AJ91" s="207">
        <v>728</v>
      </c>
      <c r="AK91" s="207">
        <v>4474</v>
      </c>
      <c r="AL91" s="207">
        <v>1.4062407081128594</v>
      </c>
      <c r="AM91" s="207">
        <v>475</v>
      </c>
      <c r="AN91" s="207">
        <v>0.04529849322906733</v>
      </c>
      <c r="AO91" s="207">
        <v>0.04035778176661674</v>
      </c>
      <c r="AP91" s="207">
        <v>0</v>
      </c>
      <c r="AQ91" s="207">
        <v>1</v>
      </c>
      <c r="AR91" s="207">
        <v>0</v>
      </c>
      <c r="AS91" s="207">
        <v>3</v>
      </c>
      <c r="AT91" s="207">
        <v>409</v>
      </c>
      <c r="AU91" s="207">
        <v>1253.58</v>
      </c>
      <c r="AV91" s="207">
        <v>8.364843089391982</v>
      </c>
      <c r="AW91" s="207">
        <v>2.1681018671465893</v>
      </c>
      <c r="AX91" s="207">
        <v>398</v>
      </c>
      <c r="AY91" s="207">
        <v>2601</v>
      </c>
      <c r="AZ91" s="207">
        <v>0.15301806997308728</v>
      </c>
      <c r="BA91" s="207">
        <v>0.09183423388885278</v>
      </c>
      <c r="BB91" s="207">
        <v>0.581283</v>
      </c>
      <c r="BC91" s="207">
        <v>3529</v>
      </c>
      <c r="BD91" s="207">
        <v>3516</v>
      </c>
      <c r="BE91" s="207">
        <v>1.003697383390216</v>
      </c>
      <c r="BF91" s="207">
        <v>0.594790500799123</v>
      </c>
      <c r="BG91" s="207">
        <v>0</v>
      </c>
      <c r="BH91" s="207">
        <v>0</v>
      </c>
      <c r="BI91" s="207">
        <v>0</v>
      </c>
      <c r="BJ91" s="207">
        <v>-2516.64</v>
      </c>
      <c r="BK91" s="207">
        <v>-42992.6</v>
      </c>
      <c r="BL91" s="207">
        <v>-2936.0800000000004</v>
      </c>
      <c r="BM91" s="207">
        <v>-4089.54</v>
      </c>
      <c r="BN91" s="207">
        <v>-209.72</v>
      </c>
      <c r="BO91" s="207">
        <v>489326</v>
      </c>
      <c r="BP91" s="207">
        <v>-431079.98376852093</v>
      </c>
      <c r="BQ91" s="207">
        <v>-950975.34</v>
      </c>
      <c r="BR91" s="207">
        <v>-56715.47882780805</v>
      </c>
      <c r="BS91" s="207">
        <v>1158136</v>
      </c>
      <c r="BT91" s="207">
        <v>342783</v>
      </c>
      <c r="BU91" s="207">
        <v>900533.8584845748</v>
      </c>
      <c r="BV91" s="207">
        <v>48990.33472329932</v>
      </c>
      <c r="BW91" s="207">
        <v>122919.64991699434</v>
      </c>
      <c r="BX91" s="207">
        <v>445395.39128702896</v>
      </c>
      <c r="BY91" s="207">
        <v>568926.4470514387</v>
      </c>
      <c r="BZ91" s="207">
        <v>934562.5713683525</v>
      </c>
      <c r="CA91" s="207">
        <v>276798.53308393044</v>
      </c>
      <c r="CB91" s="207">
        <v>502502.5318486387</v>
      </c>
      <c r="CC91" s="207">
        <v>943.74</v>
      </c>
      <c r="CD91" s="207">
        <v>67024.57424803644</v>
      </c>
      <c r="CE91" s="207">
        <v>453204.92</v>
      </c>
      <c r="CF91" s="207">
        <v>6255332.073184486</v>
      </c>
      <c r="CG91" s="207">
        <v>4253554.149415964</v>
      </c>
      <c r="CH91" s="207">
        <v>0</v>
      </c>
      <c r="CI91" s="207">
        <v>9177999.809797285</v>
      </c>
      <c r="CJ91" s="207">
        <v>-1026056</v>
      </c>
      <c r="CK91" s="207">
        <v>0</v>
      </c>
      <c r="CL91" s="207">
        <v>0</v>
      </c>
      <c r="CM91" s="207">
        <v>174244.488</v>
      </c>
      <c r="CN91" s="207">
        <v>37077936.55320156</v>
      </c>
      <c r="CO91" s="207">
        <v>37252181.04120156</v>
      </c>
      <c r="CP91" s="207">
        <v>10719</v>
      </c>
    </row>
    <row r="92" spans="1:94" ht="9.75">
      <c r="A92" s="175">
        <v>261</v>
      </c>
      <c r="B92" s="175" t="s">
        <v>149</v>
      </c>
      <c r="C92" s="207">
        <v>6421</v>
      </c>
      <c r="D92" s="207">
        <v>20638611.549999997</v>
      </c>
      <c r="E92" s="207">
        <v>7226223.207780214</v>
      </c>
      <c r="F92" s="207">
        <v>6032278.254512213</v>
      </c>
      <c r="G92" s="207">
        <v>33897113.01229242</v>
      </c>
      <c r="H92" s="207">
        <v>3524.51</v>
      </c>
      <c r="I92" s="207">
        <v>22630878.71</v>
      </c>
      <c r="J92" s="207">
        <v>11266234.302292421</v>
      </c>
      <c r="K92" s="207">
        <v>6660812.985798309</v>
      </c>
      <c r="L92" s="207">
        <v>2277942.0574386264</v>
      </c>
      <c r="M92" s="207">
        <v>0</v>
      </c>
      <c r="N92" s="207">
        <v>20204989.345529355</v>
      </c>
      <c r="O92" s="207">
        <v>2412821.4393018396</v>
      </c>
      <c r="P92" s="207">
        <v>22617810.784831196</v>
      </c>
      <c r="Q92" s="207">
        <v>411</v>
      </c>
      <c r="R92" s="207">
        <v>66</v>
      </c>
      <c r="S92" s="207">
        <v>394</v>
      </c>
      <c r="T92" s="207">
        <v>208</v>
      </c>
      <c r="U92" s="207">
        <v>158</v>
      </c>
      <c r="V92" s="207">
        <v>3855</v>
      </c>
      <c r="W92" s="207">
        <v>753</v>
      </c>
      <c r="X92" s="207">
        <v>416</v>
      </c>
      <c r="Y92" s="207">
        <v>160</v>
      </c>
      <c r="Z92" s="207">
        <v>21</v>
      </c>
      <c r="AA92" s="207">
        <v>16</v>
      </c>
      <c r="AB92" s="207">
        <v>6173</v>
      </c>
      <c r="AC92" s="207">
        <v>211</v>
      </c>
      <c r="AD92" s="207">
        <v>1329</v>
      </c>
      <c r="AE92" s="207">
        <v>0.9929719705244805</v>
      </c>
      <c r="AF92" s="207">
        <v>7226223.207780214</v>
      </c>
      <c r="AG92" s="207">
        <v>23615150.451878913</v>
      </c>
      <c r="AH92" s="207">
        <v>7507022.980183592</v>
      </c>
      <c r="AI92" s="207">
        <v>2215809.0294426056</v>
      </c>
      <c r="AJ92" s="207">
        <v>404</v>
      </c>
      <c r="AK92" s="207">
        <v>3264</v>
      </c>
      <c r="AL92" s="207">
        <v>1.0696839543905377</v>
      </c>
      <c r="AM92" s="207">
        <v>211</v>
      </c>
      <c r="AN92" s="207">
        <v>0.032860925089549915</v>
      </c>
      <c r="AO92" s="207">
        <v>0.027920213627099323</v>
      </c>
      <c r="AP92" s="207">
        <v>0</v>
      </c>
      <c r="AQ92" s="207">
        <v>21</v>
      </c>
      <c r="AR92" s="207">
        <v>16</v>
      </c>
      <c r="AS92" s="207">
        <v>0</v>
      </c>
      <c r="AT92" s="207">
        <v>0</v>
      </c>
      <c r="AU92" s="207">
        <v>8094.58</v>
      </c>
      <c r="AV92" s="207">
        <v>0.7932468392430491</v>
      </c>
      <c r="AW92" s="207">
        <v>22.86278497851313</v>
      </c>
      <c r="AX92" s="207">
        <v>259</v>
      </c>
      <c r="AY92" s="207">
        <v>2076</v>
      </c>
      <c r="AZ92" s="207">
        <v>0.12475915221579961</v>
      </c>
      <c r="BA92" s="207">
        <v>0.06357531613156511</v>
      </c>
      <c r="BB92" s="207">
        <v>1.56535</v>
      </c>
      <c r="BC92" s="207">
        <v>3378</v>
      </c>
      <c r="BD92" s="207">
        <v>2906</v>
      </c>
      <c r="BE92" s="207">
        <v>1.1624225739848588</v>
      </c>
      <c r="BF92" s="207">
        <v>0.7535156913937657</v>
      </c>
      <c r="BG92" s="207">
        <v>0</v>
      </c>
      <c r="BH92" s="207">
        <v>16</v>
      </c>
      <c r="BI92" s="207">
        <v>0</v>
      </c>
      <c r="BJ92" s="207">
        <v>-1541.04</v>
      </c>
      <c r="BK92" s="207">
        <v>-26326.1</v>
      </c>
      <c r="BL92" s="207">
        <v>-1797.88</v>
      </c>
      <c r="BM92" s="207">
        <v>-2504.19</v>
      </c>
      <c r="BN92" s="207">
        <v>-128.42000000000002</v>
      </c>
      <c r="BO92" s="207">
        <v>76130</v>
      </c>
      <c r="BP92" s="207">
        <v>-102495.02422124654</v>
      </c>
      <c r="BQ92" s="207">
        <v>-582320.49</v>
      </c>
      <c r="BR92" s="207">
        <v>194464.53024873324</v>
      </c>
      <c r="BS92" s="207">
        <v>488612</v>
      </c>
      <c r="BT92" s="207">
        <v>183601</v>
      </c>
      <c r="BU92" s="207">
        <v>457147.0414309</v>
      </c>
      <c r="BV92" s="207">
        <v>22043.779874781118</v>
      </c>
      <c r="BW92" s="207">
        <v>46606.32555192929</v>
      </c>
      <c r="BX92" s="207">
        <v>166777.0942967512</v>
      </c>
      <c r="BY92" s="207">
        <v>428469.15121476783</v>
      </c>
      <c r="BZ92" s="207">
        <v>556199.9498196029</v>
      </c>
      <c r="CA92" s="207">
        <v>214044.87345109828</v>
      </c>
      <c r="CB92" s="207">
        <v>316851.00909643696</v>
      </c>
      <c r="CC92" s="207">
        <v>577.89</v>
      </c>
      <c r="CD92" s="207">
        <v>-86801.59332512844</v>
      </c>
      <c r="CE92" s="207">
        <v>277515.62</v>
      </c>
      <c r="CF92" s="207">
        <v>3342238.671659873</v>
      </c>
      <c r="CG92" s="207">
        <v>2277942.0574386264</v>
      </c>
      <c r="CH92" s="207">
        <v>0</v>
      </c>
      <c r="CI92" s="207">
        <v>2412821.4393018396</v>
      </c>
      <c r="CJ92" s="207">
        <v>186703</v>
      </c>
      <c r="CK92" s="207">
        <v>0</v>
      </c>
      <c r="CL92" s="207">
        <v>0</v>
      </c>
      <c r="CM92" s="207">
        <v>26334.678300000014</v>
      </c>
      <c r="CN92" s="207">
        <v>22804513.784831196</v>
      </c>
      <c r="CO92" s="207">
        <v>22830848.463131197</v>
      </c>
      <c r="CP92" s="207">
        <v>6383</v>
      </c>
    </row>
    <row r="93" spans="1:94" ht="9.75">
      <c r="A93" s="175">
        <v>263</v>
      </c>
      <c r="B93" s="175" t="s">
        <v>150</v>
      </c>
      <c r="C93" s="207">
        <v>8283</v>
      </c>
      <c r="D93" s="207">
        <v>29873652.979999997</v>
      </c>
      <c r="E93" s="207">
        <v>15194156.326442538</v>
      </c>
      <c r="F93" s="207">
        <v>2084572.9599541763</v>
      </c>
      <c r="G93" s="207">
        <v>47152382.266396716</v>
      </c>
      <c r="H93" s="207">
        <v>3524.51</v>
      </c>
      <c r="I93" s="207">
        <v>29193516.330000002</v>
      </c>
      <c r="J93" s="207">
        <v>17958865.936396714</v>
      </c>
      <c r="K93" s="207">
        <v>750278.6937761082</v>
      </c>
      <c r="L93" s="207">
        <v>3578767.684076458</v>
      </c>
      <c r="M93" s="207">
        <v>0</v>
      </c>
      <c r="N93" s="207">
        <v>22287912.31424928</v>
      </c>
      <c r="O93" s="207">
        <v>8215403.812983802</v>
      </c>
      <c r="P93" s="207">
        <v>30503316.12723308</v>
      </c>
      <c r="Q93" s="207">
        <v>449</v>
      </c>
      <c r="R93" s="207">
        <v>77</v>
      </c>
      <c r="S93" s="207">
        <v>514</v>
      </c>
      <c r="T93" s="207">
        <v>255</v>
      </c>
      <c r="U93" s="207">
        <v>257</v>
      </c>
      <c r="V93" s="207">
        <v>4366</v>
      </c>
      <c r="W93" s="207">
        <v>1273</v>
      </c>
      <c r="X93" s="207">
        <v>736</v>
      </c>
      <c r="Y93" s="207">
        <v>356</v>
      </c>
      <c r="Z93" s="207">
        <v>3</v>
      </c>
      <c r="AA93" s="207">
        <v>0</v>
      </c>
      <c r="AB93" s="207">
        <v>8195</v>
      </c>
      <c r="AC93" s="207">
        <v>85</v>
      </c>
      <c r="AD93" s="207">
        <v>2365</v>
      </c>
      <c r="AE93" s="207">
        <v>1.6185168168715605</v>
      </c>
      <c r="AF93" s="207">
        <v>15194156.326442538</v>
      </c>
      <c r="AG93" s="207">
        <v>9354746.246362314</v>
      </c>
      <c r="AH93" s="207">
        <v>2482502.2331862724</v>
      </c>
      <c r="AI93" s="207">
        <v>795189.5307273864</v>
      </c>
      <c r="AJ93" s="207">
        <v>474</v>
      </c>
      <c r="AK93" s="207">
        <v>3561</v>
      </c>
      <c r="AL93" s="207">
        <v>1.1503516884371385</v>
      </c>
      <c r="AM93" s="207">
        <v>85</v>
      </c>
      <c r="AN93" s="207">
        <v>0.010261982373536158</v>
      </c>
      <c r="AO93" s="207">
        <v>0.005321270911085565</v>
      </c>
      <c r="AP93" s="207">
        <v>0</v>
      </c>
      <c r="AQ93" s="207">
        <v>3</v>
      </c>
      <c r="AR93" s="207">
        <v>0</v>
      </c>
      <c r="AS93" s="207">
        <v>0</v>
      </c>
      <c r="AT93" s="207">
        <v>0</v>
      </c>
      <c r="AU93" s="207">
        <v>1328.14</v>
      </c>
      <c r="AV93" s="207">
        <v>6.236541328474408</v>
      </c>
      <c r="AW93" s="207">
        <v>2.907995147517994</v>
      </c>
      <c r="AX93" s="207">
        <v>293</v>
      </c>
      <c r="AY93" s="207">
        <v>2176</v>
      </c>
      <c r="AZ93" s="207">
        <v>0.13465073529411764</v>
      </c>
      <c r="BA93" s="207">
        <v>0.07346689920988314</v>
      </c>
      <c r="BB93" s="207">
        <v>0.293066</v>
      </c>
      <c r="BC93" s="207">
        <v>2559</v>
      </c>
      <c r="BD93" s="207">
        <v>2975</v>
      </c>
      <c r="BE93" s="207">
        <v>0.8601680672268908</v>
      </c>
      <c r="BF93" s="207">
        <v>0.4512611846357977</v>
      </c>
      <c r="BG93" s="207">
        <v>0</v>
      </c>
      <c r="BH93" s="207">
        <v>0</v>
      </c>
      <c r="BI93" s="207">
        <v>0</v>
      </c>
      <c r="BJ93" s="207">
        <v>-1987.9199999999998</v>
      </c>
      <c r="BK93" s="207">
        <v>-33960.299999999996</v>
      </c>
      <c r="BL93" s="207">
        <v>-2319.2400000000002</v>
      </c>
      <c r="BM93" s="207">
        <v>-3230.37</v>
      </c>
      <c r="BN93" s="207">
        <v>-165.66</v>
      </c>
      <c r="BO93" s="207">
        <v>232429</v>
      </c>
      <c r="BP93" s="207">
        <v>-223820.52706435887</v>
      </c>
      <c r="BQ93" s="207">
        <v>-751185.27</v>
      </c>
      <c r="BR93" s="207">
        <v>168045.4978406094</v>
      </c>
      <c r="BS93" s="207">
        <v>894473</v>
      </c>
      <c r="BT93" s="207">
        <v>268110</v>
      </c>
      <c r="BU93" s="207">
        <v>682456.22900401</v>
      </c>
      <c r="BV93" s="207">
        <v>33966.257956521804</v>
      </c>
      <c r="BW93" s="207">
        <v>110226.00985128019</v>
      </c>
      <c r="BX93" s="207">
        <v>363392.41017846076</v>
      </c>
      <c r="BY93" s="207">
        <v>470200.3889638611</v>
      </c>
      <c r="BZ93" s="207">
        <v>789309.2936602538</v>
      </c>
      <c r="CA93" s="207">
        <v>215961.5741476559</v>
      </c>
      <c r="CB93" s="207">
        <v>413121.78828615317</v>
      </c>
      <c r="CC93" s="207">
        <v>745.47</v>
      </c>
      <c r="CD93" s="207">
        <v>42870.60125201153</v>
      </c>
      <c r="CE93" s="207">
        <v>357991.26</v>
      </c>
      <c r="CF93" s="207">
        <v>5043298.781140817</v>
      </c>
      <c r="CG93" s="207">
        <v>3578767.684076458</v>
      </c>
      <c r="CH93" s="207">
        <v>0</v>
      </c>
      <c r="CI93" s="207">
        <v>8215403.812983802</v>
      </c>
      <c r="CJ93" s="207">
        <v>-531159</v>
      </c>
      <c r="CK93" s="207">
        <v>0</v>
      </c>
      <c r="CL93" s="207">
        <v>0</v>
      </c>
      <c r="CM93" s="207">
        <v>150470.67565999998</v>
      </c>
      <c r="CN93" s="207">
        <v>29972157.12723308</v>
      </c>
      <c r="CO93" s="207">
        <v>30122627.80289308</v>
      </c>
      <c r="CP93" s="207">
        <v>8444</v>
      </c>
    </row>
    <row r="94" spans="1:94" ht="9.75">
      <c r="A94" s="175">
        <v>265</v>
      </c>
      <c r="B94" s="175" t="s">
        <v>151</v>
      </c>
      <c r="C94" s="207">
        <v>1132</v>
      </c>
      <c r="D94" s="207">
        <v>4072886.6900000004</v>
      </c>
      <c r="E94" s="207">
        <v>2111975.350437402</v>
      </c>
      <c r="F94" s="207">
        <v>543447.8200007603</v>
      </c>
      <c r="G94" s="207">
        <v>6728309.860438162</v>
      </c>
      <c r="H94" s="207">
        <v>3524.51</v>
      </c>
      <c r="I94" s="207">
        <v>3989745.3200000003</v>
      </c>
      <c r="J94" s="207">
        <v>2738564.540438162</v>
      </c>
      <c r="K94" s="207">
        <v>443472.22375079105</v>
      </c>
      <c r="L94" s="207">
        <v>552022.3845445352</v>
      </c>
      <c r="M94" s="207">
        <v>47453.90477304251</v>
      </c>
      <c r="N94" s="207">
        <v>3781513.053506531</v>
      </c>
      <c r="O94" s="207">
        <v>1135875.394723359</v>
      </c>
      <c r="P94" s="207">
        <v>4917388.44822989</v>
      </c>
      <c r="Q94" s="207">
        <v>48</v>
      </c>
      <c r="R94" s="207">
        <v>8</v>
      </c>
      <c r="S94" s="207">
        <v>72</v>
      </c>
      <c r="T94" s="207">
        <v>28</v>
      </c>
      <c r="U94" s="207">
        <v>27</v>
      </c>
      <c r="V94" s="207">
        <v>538</v>
      </c>
      <c r="W94" s="207">
        <v>220</v>
      </c>
      <c r="X94" s="207">
        <v>145</v>
      </c>
      <c r="Y94" s="207">
        <v>46</v>
      </c>
      <c r="Z94" s="207">
        <v>0</v>
      </c>
      <c r="AA94" s="207">
        <v>0</v>
      </c>
      <c r="AB94" s="207">
        <v>1120</v>
      </c>
      <c r="AC94" s="207">
        <v>12</v>
      </c>
      <c r="AD94" s="207">
        <v>411</v>
      </c>
      <c r="AE94" s="207">
        <v>1.646154924158452</v>
      </c>
      <c r="AF94" s="207">
        <v>2111975.350437402</v>
      </c>
      <c r="AG94" s="207">
        <v>17973507.628366653</v>
      </c>
      <c r="AH94" s="207">
        <v>5408706.464840462</v>
      </c>
      <c r="AI94" s="207">
        <v>1822681.6209931106</v>
      </c>
      <c r="AJ94" s="207">
        <v>57</v>
      </c>
      <c r="AK94" s="207">
        <v>441</v>
      </c>
      <c r="AL94" s="207">
        <v>1.1170189283269951</v>
      </c>
      <c r="AM94" s="207">
        <v>12</v>
      </c>
      <c r="AN94" s="207">
        <v>0.01060070671378092</v>
      </c>
      <c r="AO94" s="207">
        <v>0.0056599952513303265</v>
      </c>
      <c r="AP94" s="207">
        <v>0</v>
      </c>
      <c r="AQ94" s="207">
        <v>0</v>
      </c>
      <c r="AR94" s="207">
        <v>0</v>
      </c>
      <c r="AS94" s="207">
        <v>3</v>
      </c>
      <c r="AT94" s="207">
        <v>93</v>
      </c>
      <c r="AU94" s="207">
        <v>483.96</v>
      </c>
      <c r="AV94" s="207">
        <v>2.3390362839904126</v>
      </c>
      <c r="AW94" s="207">
        <v>7.753548777601321</v>
      </c>
      <c r="AX94" s="207">
        <v>48</v>
      </c>
      <c r="AY94" s="207">
        <v>250</v>
      </c>
      <c r="AZ94" s="207">
        <v>0.192</v>
      </c>
      <c r="BA94" s="207">
        <v>0.1308161639157655</v>
      </c>
      <c r="BB94" s="207">
        <v>1.185383</v>
      </c>
      <c r="BC94" s="207">
        <v>232</v>
      </c>
      <c r="BD94" s="207">
        <v>342</v>
      </c>
      <c r="BE94" s="207">
        <v>0.6783625730994152</v>
      </c>
      <c r="BF94" s="207">
        <v>0.2694556905083221</v>
      </c>
      <c r="BG94" s="207">
        <v>0</v>
      </c>
      <c r="BH94" s="207">
        <v>0</v>
      </c>
      <c r="BI94" s="207">
        <v>0</v>
      </c>
      <c r="BJ94" s="207">
        <v>-271.68</v>
      </c>
      <c r="BK94" s="207">
        <v>-4641.2</v>
      </c>
      <c r="BL94" s="207">
        <v>-316.96000000000004</v>
      </c>
      <c r="BM94" s="207">
        <v>-441.48</v>
      </c>
      <c r="BN94" s="207">
        <v>-22.64</v>
      </c>
      <c r="BO94" s="207">
        <v>43455</v>
      </c>
      <c r="BP94" s="207">
        <v>-708.6398263120427</v>
      </c>
      <c r="BQ94" s="207">
        <v>-102661.08</v>
      </c>
      <c r="BR94" s="207">
        <v>8762.558215379715</v>
      </c>
      <c r="BS94" s="207">
        <v>130215</v>
      </c>
      <c r="BT94" s="207">
        <v>39878</v>
      </c>
      <c r="BU94" s="207">
        <v>113824.44832960851</v>
      </c>
      <c r="BV94" s="207">
        <v>7034.246968550097</v>
      </c>
      <c r="BW94" s="207">
        <v>18972.256087466867</v>
      </c>
      <c r="BX94" s="207">
        <v>56149.43615035633</v>
      </c>
      <c r="BY94" s="207">
        <v>64664.56799765929</v>
      </c>
      <c r="BZ94" s="207">
        <v>103518.21061302294</v>
      </c>
      <c r="CA94" s="207">
        <v>34343.09810392604</v>
      </c>
      <c r="CB94" s="207">
        <v>61106.55490523123</v>
      </c>
      <c r="CC94" s="207">
        <v>101.88</v>
      </c>
      <c r="CD94" s="207">
        <v>-8656.993000353701</v>
      </c>
      <c r="CE94" s="207">
        <v>48925.04</v>
      </c>
      <c r="CF94" s="207">
        <v>722293.3043708473</v>
      </c>
      <c r="CG94" s="207">
        <v>552022.3845445352</v>
      </c>
      <c r="CH94" s="207">
        <v>47453.90477304251</v>
      </c>
      <c r="CI94" s="207">
        <v>1135875.394723359</v>
      </c>
      <c r="CJ94" s="207">
        <v>-280918</v>
      </c>
      <c r="CK94" s="207">
        <v>0</v>
      </c>
      <c r="CL94" s="207">
        <v>0</v>
      </c>
      <c r="CM94" s="207">
        <v>-31746.817700000007</v>
      </c>
      <c r="CN94" s="207">
        <v>4636470.44822989</v>
      </c>
      <c r="CO94" s="207">
        <v>4604723.630529891</v>
      </c>
      <c r="CP94" s="207">
        <v>1161</v>
      </c>
    </row>
    <row r="95" spans="1:94" ht="9.75">
      <c r="A95" s="175">
        <v>271</v>
      </c>
      <c r="B95" s="175" t="s">
        <v>152</v>
      </c>
      <c r="C95" s="207">
        <v>7381</v>
      </c>
      <c r="D95" s="207">
        <v>25877233.470000003</v>
      </c>
      <c r="E95" s="207">
        <v>9914743.369603604</v>
      </c>
      <c r="F95" s="207">
        <v>1602429.899783302</v>
      </c>
      <c r="G95" s="207">
        <v>37394406.7393869</v>
      </c>
      <c r="H95" s="207">
        <v>3524.51</v>
      </c>
      <c r="I95" s="207">
        <v>26014408.310000002</v>
      </c>
      <c r="J95" s="207">
        <v>11379998.429386899</v>
      </c>
      <c r="K95" s="207">
        <v>196794.13790965115</v>
      </c>
      <c r="L95" s="207">
        <v>2388311.368976933</v>
      </c>
      <c r="M95" s="207">
        <v>0</v>
      </c>
      <c r="N95" s="207">
        <v>13965103.936273482</v>
      </c>
      <c r="O95" s="207">
        <v>4617890.656730533</v>
      </c>
      <c r="P95" s="207">
        <v>18582994.593004014</v>
      </c>
      <c r="Q95" s="207">
        <v>358</v>
      </c>
      <c r="R95" s="207">
        <v>59</v>
      </c>
      <c r="S95" s="207">
        <v>435</v>
      </c>
      <c r="T95" s="207">
        <v>230</v>
      </c>
      <c r="U95" s="207">
        <v>210</v>
      </c>
      <c r="V95" s="207">
        <v>3942</v>
      </c>
      <c r="W95" s="207">
        <v>1195</v>
      </c>
      <c r="X95" s="207">
        <v>647</v>
      </c>
      <c r="Y95" s="207">
        <v>305</v>
      </c>
      <c r="Z95" s="207">
        <v>11</v>
      </c>
      <c r="AA95" s="207">
        <v>0</v>
      </c>
      <c r="AB95" s="207">
        <v>7171</v>
      </c>
      <c r="AC95" s="207">
        <v>199</v>
      </c>
      <c r="AD95" s="207">
        <v>2147</v>
      </c>
      <c r="AE95" s="207">
        <v>1.1852079594912386</v>
      </c>
      <c r="AF95" s="207">
        <v>9914743.369603604</v>
      </c>
      <c r="AG95" s="207">
        <v>3079545.332936123</v>
      </c>
      <c r="AH95" s="207">
        <v>648835.810946412</v>
      </c>
      <c r="AI95" s="207">
        <v>223367.84570994004</v>
      </c>
      <c r="AJ95" s="207">
        <v>387</v>
      </c>
      <c r="AK95" s="207">
        <v>3310</v>
      </c>
      <c r="AL95" s="207">
        <v>1.0104323392207732</v>
      </c>
      <c r="AM95" s="207">
        <v>199</v>
      </c>
      <c r="AN95" s="207">
        <v>0.026961116379894325</v>
      </c>
      <c r="AO95" s="207">
        <v>0.022020404917443732</v>
      </c>
      <c r="AP95" s="207">
        <v>0</v>
      </c>
      <c r="AQ95" s="207">
        <v>11</v>
      </c>
      <c r="AR95" s="207">
        <v>0</v>
      </c>
      <c r="AS95" s="207">
        <v>0</v>
      </c>
      <c r="AT95" s="207">
        <v>0</v>
      </c>
      <c r="AU95" s="207">
        <v>480.48</v>
      </c>
      <c r="AV95" s="207">
        <v>15.361721611721611</v>
      </c>
      <c r="AW95" s="207">
        <v>1.1805858990870288</v>
      </c>
      <c r="AX95" s="207">
        <v>343</v>
      </c>
      <c r="AY95" s="207">
        <v>2068</v>
      </c>
      <c r="AZ95" s="207">
        <v>0.1658607350096712</v>
      </c>
      <c r="BA95" s="207">
        <v>0.10467689892543669</v>
      </c>
      <c r="BB95" s="207">
        <v>0</v>
      </c>
      <c r="BC95" s="207">
        <v>2278</v>
      </c>
      <c r="BD95" s="207">
        <v>2758</v>
      </c>
      <c r="BE95" s="207">
        <v>0.8259608411892676</v>
      </c>
      <c r="BF95" s="207">
        <v>0.4170539585981745</v>
      </c>
      <c r="BG95" s="207">
        <v>0</v>
      </c>
      <c r="BH95" s="207">
        <v>0</v>
      </c>
      <c r="BI95" s="207">
        <v>0</v>
      </c>
      <c r="BJ95" s="207">
        <v>-1771.4399999999998</v>
      </c>
      <c r="BK95" s="207">
        <v>-30262.1</v>
      </c>
      <c r="BL95" s="207">
        <v>-2066.6800000000003</v>
      </c>
      <c r="BM95" s="207">
        <v>-2878.59</v>
      </c>
      <c r="BN95" s="207">
        <v>-147.62</v>
      </c>
      <c r="BO95" s="207">
        <v>41830</v>
      </c>
      <c r="BP95" s="207">
        <v>-279735.28703018976</v>
      </c>
      <c r="BQ95" s="207">
        <v>-669382.89</v>
      </c>
      <c r="BR95" s="207">
        <v>-17435.946478638798</v>
      </c>
      <c r="BS95" s="207">
        <v>687986</v>
      </c>
      <c r="BT95" s="207">
        <v>217878</v>
      </c>
      <c r="BU95" s="207">
        <v>550817.7150644845</v>
      </c>
      <c r="BV95" s="207">
        <v>28134.764337881366</v>
      </c>
      <c r="BW95" s="207">
        <v>78832.71425176546</v>
      </c>
      <c r="BX95" s="207">
        <v>250297.46366490252</v>
      </c>
      <c r="BY95" s="207">
        <v>386403.0682414612</v>
      </c>
      <c r="BZ95" s="207">
        <v>667130.2318773058</v>
      </c>
      <c r="CA95" s="207">
        <v>191411.1151891651</v>
      </c>
      <c r="CB95" s="207">
        <v>341146.33984664205</v>
      </c>
      <c r="CC95" s="207">
        <v>664.29</v>
      </c>
      <c r="CD95" s="207">
        <v>29544.070012153243</v>
      </c>
      <c r="CE95" s="207">
        <v>319006.82</v>
      </c>
      <c r="CF95" s="207">
        <v>3773646.6460071225</v>
      </c>
      <c r="CG95" s="207">
        <v>2388311.368976933</v>
      </c>
      <c r="CH95" s="207">
        <v>0</v>
      </c>
      <c r="CI95" s="207">
        <v>4617890.656730533</v>
      </c>
      <c r="CJ95" s="207">
        <v>-872885</v>
      </c>
      <c r="CK95" s="207">
        <v>0</v>
      </c>
      <c r="CL95" s="207">
        <v>0</v>
      </c>
      <c r="CM95" s="207">
        <v>225171.39972000002</v>
      </c>
      <c r="CN95" s="207">
        <v>17710109.593004014</v>
      </c>
      <c r="CO95" s="207">
        <v>17935280.992724013</v>
      </c>
      <c r="CP95" s="207">
        <v>7498</v>
      </c>
    </row>
    <row r="96" spans="1:94" ht="9.75">
      <c r="A96" s="175">
        <v>272</v>
      </c>
      <c r="B96" s="175" t="s">
        <v>153</v>
      </c>
      <c r="C96" s="207">
        <v>47723</v>
      </c>
      <c r="D96" s="207">
        <v>167342456.29000002</v>
      </c>
      <c r="E96" s="207">
        <v>53304135.6414216</v>
      </c>
      <c r="F96" s="207">
        <v>10200116.73375301</v>
      </c>
      <c r="G96" s="207">
        <v>230846708.66517466</v>
      </c>
      <c r="H96" s="207">
        <v>3524.51</v>
      </c>
      <c r="I96" s="207">
        <v>168200190.73000002</v>
      </c>
      <c r="J96" s="207">
        <v>62646517.935174644</v>
      </c>
      <c r="K96" s="207">
        <v>1922907.5335001193</v>
      </c>
      <c r="L96" s="207">
        <v>12403147.371329648</v>
      </c>
      <c r="M96" s="207">
        <v>0</v>
      </c>
      <c r="N96" s="207">
        <v>76972572.84000441</v>
      </c>
      <c r="O96" s="207">
        <v>14672521.119357323</v>
      </c>
      <c r="P96" s="207">
        <v>91645093.95936173</v>
      </c>
      <c r="Q96" s="207">
        <v>3547</v>
      </c>
      <c r="R96" s="207">
        <v>637</v>
      </c>
      <c r="S96" s="207">
        <v>3729</v>
      </c>
      <c r="T96" s="207">
        <v>1720</v>
      </c>
      <c r="U96" s="207">
        <v>1668</v>
      </c>
      <c r="V96" s="207">
        <v>26264</v>
      </c>
      <c r="W96" s="207">
        <v>5959</v>
      </c>
      <c r="X96" s="207">
        <v>2951</v>
      </c>
      <c r="Y96" s="207">
        <v>1248</v>
      </c>
      <c r="Z96" s="207">
        <v>6020</v>
      </c>
      <c r="AA96" s="207">
        <v>0</v>
      </c>
      <c r="AB96" s="207">
        <v>40079</v>
      </c>
      <c r="AC96" s="207">
        <v>1624</v>
      </c>
      <c r="AD96" s="207">
        <v>10158</v>
      </c>
      <c r="AE96" s="207">
        <v>0.9855109538682615</v>
      </c>
      <c r="AF96" s="207">
        <v>53304135.6414216</v>
      </c>
      <c r="AG96" s="207">
        <v>12771961.169367367</v>
      </c>
      <c r="AH96" s="207">
        <v>2560786.651719379</v>
      </c>
      <c r="AI96" s="207">
        <v>1367011.215744833</v>
      </c>
      <c r="AJ96" s="207">
        <v>2139</v>
      </c>
      <c r="AK96" s="207">
        <v>21934</v>
      </c>
      <c r="AL96" s="207">
        <v>0.8427858040404517</v>
      </c>
      <c r="AM96" s="207">
        <v>1624</v>
      </c>
      <c r="AN96" s="207">
        <v>0.034029713136223626</v>
      </c>
      <c r="AO96" s="207">
        <v>0.029089001673773034</v>
      </c>
      <c r="AP96" s="207">
        <v>1</v>
      </c>
      <c r="AQ96" s="207">
        <v>6020</v>
      </c>
      <c r="AR96" s="207">
        <v>0</v>
      </c>
      <c r="AS96" s="207">
        <v>0</v>
      </c>
      <c r="AT96" s="207">
        <v>0</v>
      </c>
      <c r="AU96" s="207">
        <v>1445.11</v>
      </c>
      <c r="AV96" s="207">
        <v>33.023783656607456</v>
      </c>
      <c r="AW96" s="207">
        <v>0.5491748646697046</v>
      </c>
      <c r="AX96" s="207">
        <v>1313</v>
      </c>
      <c r="AY96" s="207">
        <v>14243</v>
      </c>
      <c r="AZ96" s="207">
        <v>0.0921856350487959</v>
      </c>
      <c r="BA96" s="207">
        <v>0.031001798964561407</v>
      </c>
      <c r="BB96" s="207">
        <v>0</v>
      </c>
      <c r="BC96" s="207">
        <v>19974</v>
      </c>
      <c r="BD96" s="207">
        <v>19221</v>
      </c>
      <c r="BE96" s="207">
        <v>1.0391759013578898</v>
      </c>
      <c r="BF96" s="207">
        <v>0.6302690187667968</v>
      </c>
      <c r="BG96" s="207">
        <v>0</v>
      </c>
      <c r="BH96" s="207">
        <v>0</v>
      </c>
      <c r="BI96" s="207">
        <v>0</v>
      </c>
      <c r="BJ96" s="207">
        <v>-11453.52</v>
      </c>
      <c r="BK96" s="207">
        <v>-195664.3</v>
      </c>
      <c r="BL96" s="207">
        <v>-13362.44</v>
      </c>
      <c r="BM96" s="207">
        <v>-18611.97</v>
      </c>
      <c r="BN96" s="207">
        <v>-954.46</v>
      </c>
      <c r="BO96" s="207">
        <v>1459983</v>
      </c>
      <c r="BP96" s="207">
        <v>-1894199.2616842142</v>
      </c>
      <c r="BQ96" s="207">
        <v>-4327998.87</v>
      </c>
      <c r="BR96" s="207">
        <v>193897.22869046032</v>
      </c>
      <c r="BS96" s="207">
        <v>3497904</v>
      </c>
      <c r="BT96" s="207">
        <v>1150390</v>
      </c>
      <c r="BU96" s="207">
        <v>2560170.552761876</v>
      </c>
      <c r="BV96" s="207">
        <v>94908.11118518931</v>
      </c>
      <c r="BW96" s="207">
        <v>213758.12329429368</v>
      </c>
      <c r="BX96" s="207">
        <v>1350195.8835155452</v>
      </c>
      <c r="BY96" s="207">
        <v>2318477.82601972</v>
      </c>
      <c r="BZ96" s="207">
        <v>3666399.002961733</v>
      </c>
      <c r="CA96" s="207">
        <v>1089465.1001585778</v>
      </c>
      <c r="CB96" s="207">
        <v>1979008.618864164</v>
      </c>
      <c r="CC96" s="207">
        <v>4295.07</v>
      </c>
      <c r="CD96" s="207">
        <v>-195665.7744376876</v>
      </c>
      <c r="CE96" s="207">
        <v>2062588.06</v>
      </c>
      <c r="CF96" s="207">
        <v>21445774.803013865</v>
      </c>
      <c r="CG96" s="207">
        <v>12403147.371329648</v>
      </c>
      <c r="CH96" s="207">
        <v>0</v>
      </c>
      <c r="CI96" s="207">
        <v>14672521.119357323</v>
      </c>
      <c r="CJ96" s="207">
        <v>-2636281</v>
      </c>
      <c r="CK96" s="207">
        <v>0</v>
      </c>
      <c r="CL96" s="207">
        <v>0</v>
      </c>
      <c r="CM96" s="207">
        <v>-154998.3922800001</v>
      </c>
      <c r="CN96" s="207">
        <v>89008812.95936173</v>
      </c>
      <c r="CO96" s="207">
        <v>88853814.56708173</v>
      </c>
      <c r="CP96" s="207">
        <v>47723</v>
      </c>
    </row>
    <row r="97" spans="1:94" ht="9.75">
      <c r="A97" s="175">
        <v>273</v>
      </c>
      <c r="B97" s="175" t="s">
        <v>154</v>
      </c>
      <c r="C97" s="207">
        <v>3854</v>
      </c>
      <c r="D97" s="207">
        <v>12375806.060000002</v>
      </c>
      <c r="E97" s="207">
        <v>5031780.77419579</v>
      </c>
      <c r="F97" s="207">
        <v>2423370.4665212804</v>
      </c>
      <c r="G97" s="207">
        <v>19830957.300717074</v>
      </c>
      <c r="H97" s="207">
        <v>3524.51</v>
      </c>
      <c r="I97" s="207">
        <v>13583461.540000001</v>
      </c>
      <c r="J97" s="207">
        <v>6247495.760717073</v>
      </c>
      <c r="K97" s="207">
        <v>4301179.786876948</v>
      </c>
      <c r="L97" s="207">
        <v>1493417.4112144064</v>
      </c>
      <c r="M97" s="207">
        <v>0</v>
      </c>
      <c r="N97" s="207">
        <v>12042092.958808428</v>
      </c>
      <c r="O97" s="207">
        <v>2731775.772553908</v>
      </c>
      <c r="P97" s="207">
        <v>14773868.731362335</v>
      </c>
      <c r="Q97" s="207">
        <v>226</v>
      </c>
      <c r="R97" s="207">
        <v>44</v>
      </c>
      <c r="S97" s="207">
        <v>224</v>
      </c>
      <c r="T97" s="207">
        <v>100</v>
      </c>
      <c r="U97" s="207">
        <v>85</v>
      </c>
      <c r="V97" s="207">
        <v>2179</v>
      </c>
      <c r="W97" s="207">
        <v>568</v>
      </c>
      <c r="X97" s="207">
        <v>331</v>
      </c>
      <c r="Y97" s="207">
        <v>97</v>
      </c>
      <c r="Z97" s="207">
        <v>31</v>
      </c>
      <c r="AA97" s="207">
        <v>2</v>
      </c>
      <c r="AB97" s="207">
        <v>3769</v>
      </c>
      <c r="AC97" s="207">
        <v>52</v>
      </c>
      <c r="AD97" s="207">
        <v>996</v>
      </c>
      <c r="AE97" s="207">
        <v>1.1519623584102956</v>
      </c>
      <c r="AF97" s="207">
        <v>5031780.77419579</v>
      </c>
      <c r="AG97" s="207">
        <v>66536352.969298236</v>
      </c>
      <c r="AH97" s="207">
        <v>16194078.119906751</v>
      </c>
      <c r="AI97" s="207">
        <v>7254987.628658852</v>
      </c>
      <c r="AJ97" s="207">
        <v>277</v>
      </c>
      <c r="AK97" s="207">
        <v>1826</v>
      </c>
      <c r="AL97" s="207">
        <v>1.3110017219849806</v>
      </c>
      <c r="AM97" s="207">
        <v>52</v>
      </c>
      <c r="AN97" s="207">
        <v>0.013492475350285417</v>
      </c>
      <c r="AO97" s="207">
        <v>0.008551763887834823</v>
      </c>
      <c r="AP97" s="207">
        <v>0</v>
      </c>
      <c r="AQ97" s="207">
        <v>31</v>
      </c>
      <c r="AR97" s="207">
        <v>2</v>
      </c>
      <c r="AS97" s="207">
        <v>0</v>
      </c>
      <c r="AT97" s="207">
        <v>0</v>
      </c>
      <c r="AU97" s="207">
        <v>2559.42</v>
      </c>
      <c r="AV97" s="207">
        <v>1.5058099100577473</v>
      </c>
      <c r="AW97" s="207">
        <v>12.043905276067347</v>
      </c>
      <c r="AX97" s="207">
        <v>165</v>
      </c>
      <c r="AY97" s="207">
        <v>1093</v>
      </c>
      <c r="AZ97" s="207">
        <v>0.15096065873741996</v>
      </c>
      <c r="BA97" s="207">
        <v>0.08977682265318546</v>
      </c>
      <c r="BB97" s="207">
        <v>1.713932</v>
      </c>
      <c r="BC97" s="207">
        <v>1445</v>
      </c>
      <c r="BD97" s="207">
        <v>1563</v>
      </c>
      <c r="BE97" s="207">
        <v>0.9245041586692259</v>
      </c>
      <c r="BF97" s="207">
        <v>0.5155972760781328</v>
      </c>
      <c r="BG97" s="207">
        <v>0</v>
      </c>
      <c r="BH97" s="207">
        <v>2</v>
      </c>
      <c r="BI97" s="207">
        <v>0</v>
      </c>
      <c r="BJ97" s="207">
        <v>-924.9599999999999</v>
      </c>
      <c r="BK97" s="207">
        <v>-15801.399999999998</v>
      </c>
      <c r="BL97" s="207">
        <v>-1079.1200000000001</v>
      </c>
      <c r="BM97" s="207">
        <v>-1503.06</v>
      </c>
      <c r="BN97" s="207">
        <v>-77.08</v>
      </c>
      <c r="BO97" s="207">
        <v>-16074</v>
      </c>
      <c r="BP97" s="207">
        <v>-49141.766946188174</v>
      </c>
      <c r="BQ97" s="207">
        <v>-349519.26</v>
      </c>
      <c r="BR97" s="207">
        <v>159790.83063413762</v>
      </c>
      <c r="BS97" s="207">
        <v>309744</v>
      </c>
      <c r="BT97" s="207">
        <v>129398</v>
      </c>
      <c r="BU97" s="207">
        <v>320372.58274171664</v>
      </c>
      <c r="BV97" s="207">
        <v>19615.74455248039</v>
      </c>
      <c r="BW97" s="207">
        <v>-4306.018548181757</v>
      </c>
      <c r="BX97" s="207">
        <v>105900.97151327858</v>
      </c>
      <c r="BY97" s="207">
        <v>256747.6903397223</v>
      </c>
      <c r="BZ97" s="207">
        <v>335575.45699918334</v>
      </c>
      <c r="CA97" s="207">
        <v>129767.92647972985</v>
      </c>
      <c r="CB97" s="207">
        <v>202432.0424911791</v>
      </c>
      <c r="CC97" s="207">
        <v>346.86</v>
      </c>
      <c r="CD97" s="207">
        <v>3967.8709573483357</v>
      </c>
      <c r="CE97" s="207">
        <v>166569.88</v>
      </c>
      <c r="CF97" s="207">
        <v>2119849.8381605945</v>
      </c>
      <c r="CG97" s="207">
        <v>1493417.4112144064</v>
      </c>
      <c r="CH97" s="207">
        <v>0</v>
      </c>
      <c r="CI97" s="207">
        <v>2731775.772553908</v>
      </c>
      <c r="CJ97" s="207">
        <v>-113628</v>
      </c>
      <c r="CK97" s="207">
        <v>0</v>
      </c>
      <c r="CL97" s="207">
        <v>0</v>
      </c>
      <c r="CM97" s="207">
        <v>109628.8237</v>
      </c>
      <c r="CN97" s="207">
        <v>14660240.731362335</v>
      </c>
      <c r="CO97" s="207">
        <v>14769869.555062335</v>
      </c>
      <c r="CP97" s="207">
        <v>3827</v>
      </c>
    </row>
    <row r="98" spans="1:94" ht="9.75">
      <c r="A98" s="175">
        <v>275</v>
      </c>
      <c r="B98" s="175" t="s">
        <v>155</v>
      </c>
      <c r="C98" s="207">
        <v>2748</v>
      </c>
      <c r="D98" s="207">
        <v>10098992.77</v>
      </c>
      <c r="E98" s="207">
        <v>3881260.701298094</v>
      </c>
      <c r="F98" s="207">
        <v>713231.9165237382</v>
      </c>
      <c r="G98" s="207">
        <v>14693485.38782183</v>
      </c>
      <c r="H98" s="207">
        <v>3524.51</v>
      </c>
      <c r="I98" s="207">
        <v>9685353.48</v>
      </c>
      <c r="J98" s="207">
        <v>5008131.90782183</v>
      </c>
      <c r="K98" s="207">
        <v>229723.07048875987</v>
      </c>
      <c r="L98" s="207">
        <v>1256178.8482317557</v>
      </c>
      <c r="M98" s="207">
        <v>0</v>
      </c>
      <c r="N98" s="207">
        <v>6494033.826542346</v>
      </c>
      <c r="O98" s="207">
        <v>2275413.4713476608</v>
      </c>
      <c r="P98" s="207">
        <v>8769447.297890007</v>
      </c>
      <c r="Q98" s="207">
        <v>116</v>
      </c>
      <c r="R98" s="207">
        <v>24</v>
      </c>
      <c r="S98" s="207">
        <v>175</v>
      </c>
      <c r="T98" s="207">
        <v>86</v>
      </c>
      <c r="U98" s="207">
        <v>77</v>
      </c>
      <c r="V98" s="207">
        <v>1393</v>
      </c>
      <c r="W98" s="207">
        <v>463</v>
      </c>
      <c r="X98" s="207">
        <v>285</v>
      </c>
      <c r="Y98" s="207">
        <v>129</v>
      </c>
      <c r="Z98" s="207">
        <v>1</v>
      </c>
      <c r="AA98" s="207">
        <v>0</v>
      </c>
      <c r="AB98" s="207">
        <v>2720</v>
      </c>
      <c r="AC98" s="207">
        <v>27</v>
      </c>
      <c r="AD98" s="207">
        <v>877</v>
      </c>
      <c r="AE98" s="207">
        <v>1.2461903208198588</v>
      </c>
      <c r="AF98" s="207">
        <v>3881260.701298094</v>
      </c>
      <c r="AG98" s="207">
        <v>6307350.432771793</v>
      </c>
      <c r="AH98" s="207">
        <v>1537129.843288208</v>
      </c>
      <c r="AI98" s="207">
        <v>714777.106271808</v>
      </c>
      <c r="AJ98" s="207">
        <v>148</v>
      </c>
      <c r="AK98" s="207">
        <v>1174</v>
      </c>
      <c r="AL98" s="207">
        <v>1.0894765446374115</v>
      </c>
      <c r="AM98" s="207">
        <v>27</v>
      </c>
      <c r="AN98" s="207">
        <v>0.009825327510917031</v>
      </c>
      <c r="AO98" s="207">
        <v>0.004884616048466438</v>
      </c>
      <c r="AP98" s="207">
        <v>0</v>
      </c>
      <c r="AQ98" s="207">
        <v>1</v>
      </c>
      <c r="AR98" s="207">
        <v>0</v>
      </c>
      <c r="AS98" s="207">
        <v>0</v>
      </c>
      <c r="AT98" s="207">
        <v>0</v>
      </c>
      <c r="AU98" s="207">
        <v>512.93</v>
      </c>
      <c r="AV98" s="207">
        <v>5.357456183104907</v>
      </c>
      <c r="AW98" s="207">
        <v>3.3851573023950334</v>
      </c>
      <c r="AX98" s="207">
        <v>90</v>
      </c>
      <c r="AY98" s="207">
        <v>727</v>
      </c>
      <c r="AZ98" s="207">
        <v>0.12379642365887207</v>
      </c>
      <c r="BA98" s="207">
        <v>0.06261258757463758</v>
      </c>
      <c r="BB98" s="207">
        <v>0.271333</v>
      </c>
      <c r="BC98" s="207">
        <v>774</v>
      </c>
      <c r="BD98" s="207">
        <v>941</v>
      </c>
      <c r="BE98" s="207">
        <v>0.822529224229543</v>
      </c>
      <c r="BF98" s="207">
        <v>0.4136223416384499</v>
      </c>
      <c r="BG98" s="207">
        <v>0</v>
      </c>
      <c r="BH98" s="207">
        <v>0</v>
      </c>
      <c r="BI98" s="207">
        <v>0</v>
      </c>
      <c r="BJ98" s="207">
        <v>-659.52</v>
      </c>
      <c r="BK98" s="207">
        <v>-11266.8</v>
      </c>
      <c r="BL98" s="207">
        <v>-769.44</v>
      </c>
      <c r="BM98" s="207">
        <v>-1071.72</v>
      </c>
      <c r="BN98" s="207">
        <v>-54.96</v>
      </c>
      <c r="BO98" s="207">
        <v>78006</v>
      </c>
      <c r="BP98" s="207">
        <v>-73321.88858485433</v>
      </c>
      <c r="BQ98" s="207">
        <v>-249216.12</v>
      </c>
      <c r="BR98" s="207">
        <v>212913.65034567937</v>
      </c>
      <c r="BS98" s="207">
        <v>294459</v>
      </c>
      <c r="BT98" s="207">
        <v>87146</v>
      </c>
      <c r="BU98" s="207">
        <v>235915.4548271972</v>
      </c>
      <c r="BV98" s="207">
        <v>10266.407253946101</v>
      </c>
      <c r="BW98" s="207">
        <v>901.3692978763046</v>
      </c>
      <c r="BX98" s="207">
        <v>107805.7106164793</v>
      </c>
      <c r="BY98" s="207">
        <v>154011.59345537188</v>
      </c>
      <c r="BZ98" s="207">
        <v>238896.83094941953</v>
      </c>
      <c r="CA98" s="207">
        <v>69074.1311257649</v>
      </c>
      <c r="CB98" s="207">
        <v>127791.46348937791</v>
      </c>
      <c r="CC98" s="207">
        <v>247.32</v>
      </c>
      <c r="CD98" s="207">
        <v>4920.165455497274</v>
      </c>
      <c r="CE98" s="207">
        <v>118768.56</v>
      </c>
      <c r="CF98" s="207">
        <v>1741123.65681661</v>
      </c>
      <c r="CG98" s="207">
        <v>1256178.8482317557</v>
      </c>
      <c r="CH98" s="207">
        <v>0</v>
      </c>
      <c r="CI98" s="207">
        <v>2275413.4713476608</v>
      </c>
      <c r="CJ98" s="207">
        <v>-149627</v>
      </c>
      <c r="CK98" s="207">
        <v>0</v>
      </c>
      <c r="CL98" s="207">
        <v>0</v>
      </c>
      <c r="CM98" s="207">
        <v>32142.82790000001</v>
      </c>
      <c r="CN98" s="207">
        <v>8619820.297890007</v>
      </c>
      <c r="CO98" s="207">
        <v>8651963.125790007</v>
      </c>
      <c r="CP98" s="207">
        <v>2753</v>
      </c>
    </row>
    <row r="99" spans="1:94" ht="9.75">
      <c r="A99" s="175">
        <v>276</v>
      </c>
      <c r="B99" s="175" t="s">
        <v>156</v>
      </c>
      <c r="C99" s="207">
        <v>14830</v>
      </c>
      <c r="D99" s="207">
        <v>51332532.099999994</v>
      </c>
      <c r="E99" s="207">
        <v>13813208.194577146</v>
      </c>
      <c r="F99" s="207">
        <v>2439188.8252819944</v>
      </c>
      <c r="G99" s="207">
        <v>67584929.11985913</v>
      </c>
      <c r="H99" s="207">
        <v>3524.51</v>
      </c>
      <c r="I99" s="207">
        <v>52268483.300000004</v>
      </c>
      <c r="J99" s="207">
        <v>15316445.819859125</v>
      </c>
      <c r="K99" s="207">
        <v>97943.93240206352</v>
      </c>
      <c r="L99" s="207">
        <v>2768417.0187295135</v>
      </c>
      <c r="M99" s="207">
        <v>0</v>
      </c>
      <c r="N99" s="207">
        <v>18182806.7709907</v>
      </c>
      <c r="O99" s="207">
        <v>7543973.782779619</v>
      </c>
      <c r="P99" s="207">
        <v>25726780.55377032</v>
      </c>
      <c r="Q99" s="207">
        <v>1210</v>
      </c>
      <c r="R99" s="207">
        <v>245</v>
      </c>
      <c r="S99" s="207">
        <v>1396</v>
      </c>
      <c r="T99" s="207">
        <v>637</v>
      </c>
      <c r="U99" s="207">
        <v>628</v>
      </c>
      <c r="V99" s="207">
        <v>8380</v>
      </c>
      <c r="W99" s="207">
        <v>1517</v>
      </c>
      <c r="X99" s="207">
        <v>601</v>
      </c>
      <c r="Y99" s="207">
        <v>216</v>
      </c>
      <c r="Z99" s="207">
        <v>12</v>
      </c>
      <c r="AA99" s="207">
        <v>0</v>
      </c>
      <c r="AB99" s="207">
        <v>14460</v>
      </c>
      <c r="AC99" s="207">
        <v>358</v>
      </c>
      <c r="AD99" s="207">
        <v>2334</v>
      </c>
      <c r="AE99" s="207">
        <v>0.8218294382088949</v>
      </c>
      <c r="AF99" s="207">
        <v>13813208.194577146</v>
      </c>
      <c r="AG99" s="207">
        <v>5002106.51719109</v>
      </c>
      <c r="AH99" s="207">
        <v>1132473.3111079354</v>
      </c>
      <c r="AI99" s="207">
        <v>500343.9743902657</v>
      </c>
      <c r="AJ99" s="207">
        <v>815</v>
      </c>
      <c r="AK99" s="207">
        <v>7247</v>
      </c>
      <c r="AL99" s="207">
        <v>0.9719045464055228</v>
      </c>
      <c r="AM99" s="207">
        <v>358</v>
      </c>
      <c r="AN99" s="207">
        <v>0.02414025623735671</v>
      </c>
      <c r="AO99" s="207">
        <v>0.019199544774906117</v>
      </c>
      <c r="AP99" s="207">
        <v>0</v>
      </c>
      <c r="AQ99" s="207">
        <v>12</v>
      </c>
      <c r="AR99" s="207">
        <v>0</v>
      </c>
      <c r="AS99" s="207">
        <v>0</v>
      </c>
      <c r="AT99" s="207">
        <v>0</v>
      </c>
      <c r="AU99" s="207">
        <v>799.19</v>
      </c>
      <c r="AV99" s="207">
        <v>18.556288241844868</v>
      </c>
      <c r="AW99" s="207">
        <v>0.9773415719854077</v>
      </c>
      <c r="AX99" s="207">
        <v>374</v>
      </c>
      <c r="AY99" s="207">
        <v>5096</v>
      </c>
      <c r="AZ99" s="207">
        <v>0.07339089481946624</v>
      </c>
      <c r="BA99" s="207">
        <v>0.01220705873523175</v>
      </c>
      <c r="BB99" s="207">
        <v>0</v>
      </c>
      <c r="BC99" s="207">
        <v>3250</v>
      </c>
      <c r="BD99" s="207">
        <v>6345</v>
      </c>
      <c r="BE99" s="207">
        <v>0.512214342001576</v>
      </c>
      <c r="BF99" s="207">
        <v>0.10330745941048292</v>
      </c>
      <c r="BG99" s="207">
        <v>0</v>
      </c>
      <c r="BH99" s="207">
        <v>0</v>
      </c>
      <c r="BI99" s="207">
        <v>0</v>
      </c>
      <c r="BJ99" s="207">
        <v>-3559.2</v>
      </c>
      <c r="BK99" s="207">
        <v>-60802.99999999999</v>
      </c>
      <c r="BL99" s="207">
        <v>-4152.400000000001</v>
      </c>
      <c r="BM99" s="207">
        <v>-5783.7</v>
      </c>
      <c r="BN99" s="207">
        <v>-296.6</v>
      </c>
      <c r="BO99" s="207">
        <v>96865</v>
      </c>
      <c r="BP99" s="207">
        <v>-546678.1800642574</v>
      </c>
      <c r="BQ99" s="207">
        <v>-1344932.7</v>
      </c>
      <c r="BR99" s="207">
        <v>-31189.175071258098</v>
      </c>
      <c r="BS99" s="207">
        <v>949206</v>
      </c>
      <c r="BT99" s="207">
        <v>298870</v>
      </c>
      <c r="BU99" s="207">
        <v>652050.1110439254</v>
      </c>
      <c r="BV99" s="207">
        <v>10525.031466713928</v>
      </c>
      <c r="BW99" s="207">
        <v>-23583.385672022665</v>
      </c>
      <c r="BX99" s="207">
        <v>307887.29031200556</v>
      </c>
      <c r="BY99" s="207">
        <v>676315.8945541244</v>
      </c>
      <c r="BZ99" s="207">
        <v>1056294.202249494</v>
      </c>
      <c r="CA99" s="207">
        <v>278307.3585550578</v>
      </c>
      <c r="CB99" s="207">
        <v>547721.4104425646</v>
      </c>
      <c r="CC99" s="207">
        <v>1334.7</v>
      </c>
      <c r="CD99" s="207">
        <v>74923.86091316651</v>
      </c>
      <c r="CE99" s="207">
        <v>640952.6</v>
      </c>
      <c r="CF99" s="207">
        <v>5536480.898793771</v>
      </c>
      <c r="CG99" s="207">
        <v>2768417.0187295135</v>
      </c>
      <c r="CH99" s="207">
        <v>0</v>
      </c>
      <c r="CI99" s="207">
        <v>7543973.782779619</v>
      </c>
      <c r="CJ99" s="207">
        <v>-1329424</v>
      </c>
      <c r="CK99" s="207">
        <v>0</v>
      </c>
      <c r="CL99" s="207">
        <v>0</v>
      </c>
      <c r="CM99" s="207">
        <v>-68884.65425600001</v>
      </c>
      <c r="CN99" s="207">
        <v>24397356.55377032</v>
      </c>
      <c r="CO99" s="207">
        <v>24328471.899514318</v>
      </c>
      <c r="CP99" s="207">
        <v>14806</v>
      </c>
    </row>
    <row r="100" spans="1:94" ht="9.75">
      <c r="A100" s="175">
        <v>280</v>
      </c>
      <c r="B100" s="175" t="s">
        <v>157</v>
      </c>
      <c r="C100" s="207">
        <v>2154</v>
      </c>
      <c r="D100" s="207">
        <v>7810046.670000001</v>
      </c>
      <c r="E100" s="207">
        <v>2304522.7389033893</v>
      </c>
      <c r="F100" s="207">
        <v>1332842.057546151</v>
      </c>
      <c r="G100" s="207">
        <v>11447411.466449542</v>
      </c>
      <c r="H100" s="207">
        <v>3524.51</v>
      </c>
      <c r="I100" s="207">
        <v>7591794.54</v>
      </c>
      <c r="J100" s="207">
        <v>3855616.926449542</v>
      </c>
      <c r="K100" s="207">
        <v>192931.58250300484</v>
      </c>
      <c r="L100" s="207">
        <v>1186485.2427498589</v>
      </c>
      <c r="M100" s="207">
        <v>0</v>
      </c>
      <c r="N100" s="207">
        <v>5235033.7517024055</v>
      </c>
      <c r="O100" s="207">
        <v>1774028.5050854227</v>
      </c>
      <c r="P100" s="207">
        <v>7009062.256787828</v>
      </c>
      <c r="Q100" s="207">
        <v>120</v>
      </c>
      <c r="R100" s="207">
        <v>25</v>
      </c>
      <c r="S100" s="207">
        <v>133</v>
      </c>
      <c r="T100" s="207">
        <v>59</v>
      </c>
      <c r="U100" s="207">
        <v>70</v>
      </c>
      <c r="V100" s="207">
        <v>1166</v>
      </c>
      <c r="W100" s="207">
        <v>314</v>
      </c>
      <c r="X100" s="207">
        <v>163</v>
      </c>
      <c r="Y100" s="207">
        <v>104</v>
      </c>
      <c r="Z100" s="207">
        <v>1848</v>
      </c>
      <c r="AA100" s="207">
        <v>0</v>
      </c>
      <c r="AB100" s="207">
        <v>66</v>
      </c>
      <c r="AC100" s="207">
        <v>240</v>
      </c>
      <c r="AD100" s="207">
        <v>581</v>
      </c>
      <c r="AE100" s="207">
        <v>0.9439817234257222</v>
      </c>
      <c r="AF100" s="207">
        <v>2304522.7389033893</v>
      </c>
      <c r="AG100" s="207">
        <v>18644163.872318845</v>
      </c>
      <c r="AH100" s="207">
        <v>3099219.37513492</v>
      </c>
      <c r="AI100" s="207">
        <v>1715465.0550523393</v>
      </c>
      <c r="AJ100" s="207">
        <v>67</v>
      </c>
      <c r="AK100" s="207">
        <v>1038</v>
      </c>
      <c r="AL100" s="207">
        <v>0.5578298055517988</v>
      </c>
      <c r="AM100" s="207">
        <v>240</v>
      </c>
      <c r="AN100" s="207">
        <v>0.11142061281337047</v>
      </c>
      <c r="AO100" s="207">
        <v>0.10647990135091988</v>
      </c>
      <c r="AP100" s="207">
        <v>3</v>
      </c>
      <c r="AQ100" s="207">
        <v>1848</v>
      </c>
      <c r="AR100" s="207">
        <v>0</v>
      </c>
      <c r="AS100" s="207">
        <v>0</v>
      </c>
      <c r="AT100" s="207">
        <v>0</v>
      </c>
      <c r="AU100" s="207">
        <v>236.01</v>
      </c>
      <c r="AV100" s="207">
        <v>9.126731918139063</v>
      </c>
      <c r="AW100" s="207">
        <v>1.9871112774173485</v>
      </c>
      <c r="AX100" s="207">
        <v>121</v>
      </c>
      <c r="AY100" s="207">
        <v>601</v>
      </c>
      <c r="AZ100" s="207">
        <v>0.20133111480865223</v>
      </c>
      <c r="BA100" s="207">
        <v>0.14014727872441773</v>
      </c>
      <c r="BB100" s="207">
        <v>0.3136</v>
      </c>
      <c r="BC100" s="207">
        <v>713</v>
      </c>
      <c r="BD100" s="207">
        <v>918</v>
      </c>
      <c r="BE100" s="207">
        <v>0.7766884531590414</v>
      </c>
      <c r="BF100" s="207">
        <v>0.36778157056794836</v>
      </c>
      <c r="BG100" s="207">
        <v>0</v>
      </c>
      <c r="BH100" s="207">
        <v>0</v>
      </c>
      <c r="BI100" s="207">
        <v>0</v>
      </c>
      <c r="BJ100" s="207">
        <v>-516.96</v>
      </c>
      <c r="BK100" s="207">
        <v>-8831.4</v>
      </c>
      <c r="BL100" s="207">
        <v>-603.12</v>
      </c>
      <c r="BM100" s="207">
        <v>-840.0600000000001</v>
      </c>
      <c r="BN100" s="207">
        <v>-43.08</v>
      </c>
      <c r="BO100" s="207">
        <v>-47819</v>
      </c>
      <c r="BP100" s="207">
        <v>-44983.07733724494</v>
      </c>
      <c r="BQ100" s="207">
        <v>-195346.26</v>
      </c>
      <c r="BR100" s="207">
        <v>307910.7989604967</v>
      </c>
      <c r="BS100" s="207">
        <v>215330</v>
      </c>
      <c r="BT100" s="207">
        <v>87084</v>
      </c>
      <c r="BU100" s="207">
        <v>208552.30023377578</v>
      </c>
      <c r="BV100" s="207">
        <v>13536.378379850774</v>
      </c>
      <c r="BW100" s="207">
        <v>38525.12046635463</v>
      </c>
      <c r="BX100" s="207">
        <v>77394.8217952806</v>
      </c>
      <c r="BY100" s="207">
        <v>160512.82890616357</v>
      </c>
      <c r="BZ100" s="207">
        <v>219656.9907228866</v>
      </c>
      <c r="CA100" s="207">
        <v>86132.62617675014</v>
      </c>
      <c r="CB100" s="207">
        <v>127685.51874162783</v>
      </c>
      <c r="CC100" s="207">
        <v>193.85999999999999</v>
      </c>
      <c r="CD100" s="207">
        <v>-33676.144296082806</v>
      </c>
      <c r="CE100" s="207">
        <v>93095.88</v>
      </c>
      <c r="CF100" s="207">
        <v>1554115.9800871038</v>
      </c>
      <c r="CG100" s="207">
        <v>1186485.2427498589</v>
      </c>
      <c r="CH100" s="207">
        <v>0</v>
      </c>
      <c r="CI100" s="207">
        <v>1774028.5050854227</v>
      </c>
      <c r="CJ100" s="207">
        <v>-56414</v>
      </c>
      <c r="CK100" s="207">
        <v>0</v>
      </c>
      <c r="CL100" s="207">
        <v>0</v>
      </c>
      <c r="CM100" s="207">
        <v>-586781.5136800001</v>
      </c>
      <c r="CN100" s="207">
        <v>6952648.256787828</v>
      </c>
      <c r="CO100" s="207">
        <v>6365866.743107828</v>
      </c>
      <c r="CP100" s="207">
        <v>2171</v>
      </c>
    </row>
    <row r="101" spans="1:94" ht="9.75">
      <c r="A101" s="175">
        <v>284</v>
      </c>
      <c r="B101" s="175" t="s">
        <v>158</v>
      </c>
      <c r="C101" s="207">
        <v>2359</v>
      </c>
      <c r="D101" s="207">
        <v>8925642.44</v>
      </c>
      <c r="E101" s="207">
        <v>2742739.2094319784</v>
      </c>
      <c r="F101" s="207">
        <v>535140.3663015213</v>
      </c>
      <c r="G101" s="207">
        <v>12203522.0157335</v>
      </c>
      <c r="H101" s="207">
        <v>3524.51</v>
      </c>
      <c r="I101" s="207">
        <v>8314319.090000001</v>
      </c>
      <c r="J101" s="207">
        <v>3889202.9257334983</v>
      </c>
      <c r="K101" s="207">
        <v>92446.90080333111</v>
      </c>
      <c r="L101" s="207">
        <v>1070370.3084639036</v>
      </c>
      <c r="M101" s="207">
        <v>0</v>
      </c>
      <c r="N101" s="207">
        <v>5052020.135000734</v>
      </c>
      <c r="O101" s="207">
        <v>1930171.0366691295</v>
      </c>
      <c r="P101" s="207">
        <v>6982191.171669863</v>
      </c>
      <c r="Q101" s="207">
        <v>122</v>
      </c>
      <c r="R101" s="207">
        <v>22</v>
      </c>
      <c r="S101" s="207">
        <v>139</v>
      </c>
      <c r="T101" s="207">
        <v>70</v>
      </c>
      <c r="U101" s="207">
        <v>89</v>
      </c>
      <c r="V101" s="207">
        <v>1166</v>
      </c>
      <c r="W101" s="207">
        <v>374</v>
      </c>
      <c r="X101" s="207">
        <v>262</v>
      </c>
      <c r="Y101" s="207">
        <v>115</v>
      </c>
      <c r="Z101" s="207">
        <v>8</v>
      </c>
      <c r="AA101" s="207">
        <v>0</v>
      </c>
      <c r="AB101" s="207">
        <v>2247</v>
      </c>
      <c r="AC101" s="207">
        <v>104</v>
      </c>
      <c r="AD101" s="207">
        <v>751</v>
      </c>
      <c r="AE101" s="207">
        <v>1.025852358909224</v>
      </c>
      <c r="AF101" s="207">
        <v>2742739.2094319784</v>
      </c>
      <c r="AG101" s="207">
        <v>3063171.66244296</v>
      </c>
      <c r="AH101" s="207">
        <v>877845.7906196312</v>
      </c>
      <c r="AI101" s="207">
        <v>268041.4148519281</v>
      </c>
      <c r="AJ101" s="207">
        <v>80</v>
      </c>
      <c r="AK101" s="207">
        <v>1022</v>
      </c>
      <c r="AL101" s="207">
        <v>0.6764930784388434</v>
      </c>
      <c r="AM101" s="207">
        <v>104</v>
      </c>
      <c r="AN101" s="207">
        <v>0.04408647732089869</v>
      </c>
      <c r="AO101" s="207">
        <v>0.039145765858448096</v>
      </c>
      <c r="AP101" s="207">
        <v>0</v>
      </c>
      <c r="AQ101" s="207">
        <v>8</v>
      </c>
      <c r="AR101" s="207">
        <v>0</v>
      </c>
      <c r="AS101" s="207">
        <v>0</v>
      </c>
      <c r="AT101" s="207">
        <v>0</v>
      </c>
      <c r="AU101" s="207">
        <v>191.48</v>
      </c>
      <c r="AV101" s="207">
        <v>12.319824524754544</v>
      </c>
      <c r="AW101" s="207">
        <v>1.4720852463489396</v>
      </c>
      <c r="AX101" s="207">
        <v>100</v>
      </c>
      <c r="AY101" s="207">
        <v>650</v>
      </c>
      <c r="AZ101" s="207">
        <v>0.15384615384615385</v>
      </c>
      <c r="BA101" s="207">
        <v>0.09266231776191935</v>
      </c>
      <c r="BB101" s="207">
        <v>0</v>
      </c>
      <c r="BC101" s="207">
        <v>933</v>
      </c>
      <c r="BD101" s="207">
        <v>913</v>
      </c>
      <c r="BE101" s="207">
        <v>1.0219058050383352</v>
      </c>
      <c r="BF101" s="207">
        <v>0.6129989224472421</v>
      </c>
      <c r="BG101" s="207">
        <v>0</v>
      </c>
      <c r="BH101" s="207">
        <v>0</v>
      </c>
      <c r="BI101" s="207">
        <v>0</v>
      </c>
      <c r="BJ101" s="207">
        <v>-566.16</v>
      </c>
      <c r="BK101" s="207">
        <v>-9671.9</v>
      </c>
      <c r="BL101" s="207">
        <v>-660.5200000000001</v>
      </c>
      <c r="BM101" s="207">
        <v>-920.01</v>
      </c>
      <c r="BN101" s="207">
        <v>-47.18</v>
      </c>
      <c r="BO101" s="207">
        <v>-58672</v>
      </c>
      <c r="BP101" s="207">
        <v>-20088.647188214367</v>
      </c>
      <c r="BQ101" s="207">
        <v>-213937.71</v>
      </c>
      <c r="BR101" s="207">
        <v>240131.28113703616</v>
      </c>
      <c r="BS101" s="207">
        <v>238534</v>
      </c>
      <c r="BT101" s="207">
        <v>77683</v>
      </c>
      <c r="BU101" s="207">
        <v>183775.91836874714</v>
      </c>
      <c r="BV101" s="207">
        <v>9914.914833124469</v>
      </c>
      <c r="BW101" s="207">
        <v>25160.51397010668</v>
      </c>
      <c r="BX101" s="207">
        <v>84042.742812827</v>
      </c>
      <c r="BY101" s="207">
        <v>143275.3160113607</v>
      </c>
      <c r="BZ101" s="207">
        <v>216829.0949552883</v>
      </c>
      <c r="CA101" s="207">
        <v>70375.32850897516</v>
      </c>
      <c r="CB101" s="207">
        <v>115007.48072680269</v>
      </c>
      <c r="CC101" s="207">
        <v>212.31</v>
      </c>
      <c r="CD101" s="207">
        <v>-4412.315672150267</v>
      </c>
      <c r="CE101" s="207">
        <v>101955.98</v>
      </c>
      <c r="CF101" s="207">
        <v>1443813.565652118</v>
      </c>
      <c r="CG101" s="207">
        <v>1070370.3084639036</v>
      </c>
      <c r="CH101" s="207">
        <v>0</v>
      </c>
      <c r="CI101" s="207">
        <v>1930171.0366691295</v>
      </c>
      <c r="CJ101" s="207">
        <v>598823</v>
      </c>
      <c r="CK101" s="207">
        <v>0</v>
      </c>
      <c r="CL101" s="207">
        <v>0</v>
      </c>
      <c r="CM101" s="207">
        <v>931257.58632</v>
      </c>
      <c r="CN101" s="207">
        <v>7581014.171669863</v>
      </c>
      <c r="CO101" s="207">
        <v>8512271.757989863</v>
      </c>
      <c r="CP101" s="207">
        <v>2416</v>
      </c>
    </row>
    <row r="102" spans="1:94" ht="9.75">
      <c r="A102" s="175">
        <v>285</v>
      </c>
      <c r="B102" s="175" t="s">
        <v>159</v>
      </c>
      <c r="C102" s="207">
        <v>53539</v>
      </c>
      <c r="D102" s="207">
        <v>177915765.42000002</v>
      </c>
      <c r="E102" s="207">
        <v>82379552.0930568</v>
      </c>
      <c r="F102" s="207">
        <v>18637586.9274054</v>
      </c>
      <c r="G102" s="207">
        <v>278932904.44046223</v>
      </c>
      <c r="H102" s="207">
        <v>3524.51</v>
      </c>
      <c r="I102" s="207">
        <v>188698740.89000002</v>
      </c>
      <c r="J102" s="207">
        <v>90234163.55046222</v>
      </c>
      <c r="K102" s="207">
        <v>2404761.1082289326</v>
      </c>
      <c r="L102" s="207">
        <v>8740106.593475115</v>
      </c>
      <c r="M102" s="207">
        <v>0</v>
      </c>
      <c r="N102" s="207">
        <v>101379031.25216627</v>
      </c>
      <c r="O102" s="207">
        <v>12677336.686474536</v>
      </c>
      <c r="P102" s="207">
        <v>114056367.9386408</v>
      </c>
      <c r="Q102" s="207">
        <v>2712</v>
      </c>
      <c r="R102" s="207">
        <v>490</v>
      </c>
      <c r="S102" s="207">
        <v>3094</v>
      </c>
      <c r="T102" s="207">
        <v>1603</v>
      </c>
      <c r="U102" s="207">
        <v>1708</v>
      </c>
      <c r="V102" s="207">
        <v>30174</v>
      </c>
      <c r="W102" s="207">
        <v>7917</v>
      </c>
      <c r="X102" s="207">
        <v>4004</v>
      </c>
      <c r="Y102" s="207">
        <v>1837</v>
      </c>
      <c r="Z102" s="207">
        <v>512</v>
      </c>
      <c r="AA102" s="207">
        <v>2</v>
      </c>
      <c r="AB102" s="207">
        <v>48082</v>
      </c>
      <c r="AC102" s="207">
        <v>4943</v>
      </c>
      <c r="AD102" s="207">
        <v>13758</v>
      </c>
      <c r="AE102" s="207">
        <v>1.3576175963834842</v>
      </c>
      <c r="AF102" s="207">
        <v>82379552.0930568</v>
      </c>
      <c r="AG102" s="207">
        <v>3412764.4730129987</v>
      </c>
      <c r="AH102" s="207">
        <v>929738.7245063814</v>
      </c>
      <c r="AI102" s="207">
        <v>276976.1286803257</v>
      </c>
      <c r="AJ102" s="207">
        <v>4241</v>
      </c>
      <c r="AK102" s="207">
        <v>24381</v>
      </c>
      <c r="AL102" s="207">
        <v>1.5032839623393401</v>
      </c>
      <c r="AM102" s="207">
        <v>4943</v>
      </c>
      <c r="AN102" s="207">
        <v>0.09232522086703152</v>
      </c>
      <c r="AO102" s="207">
        <v>0.08738450940458092</v>
      </c>
      <c r="AP102" s="207">
        <v>0</v>
      </c>
      <c r="AQ102" s="207">
        <v>512</v>
      </c>
      <c r="AR102" s="207">
        <v>2</v>
      </c>
      <c r="AS102" s="207">
        <v>3</v>
      </c>
      <c r="AT102" s="207">
        <v>485</v>
      </c>
      <c r="AU102" s="207">
        <v>272.02</v>
      </c>
      <c r="AV102" s="207">
        <v>196.8200867583266</v>
      </c>
      <c r="AW102" s="207">
        <v>0.09214421261163148</v>
      </c>
      <c r="AX102" s="207">
        <v>2740</v>
      </c>
      <c r="AY102" s="207">
        <v>15976</v>
      </c>
      <c r="AZ102" s="207">
        <v>0.171507260891337</v>
      </c>
      <c r="BA102" s="207">
        <v>0.1103234248071025</v>
      </c>
      <c r="BB102" s="207">
        <v>0</v>
      </c>
      <c r="BC102" s="207">
        <v>20926</v>
      </c>
      <c r="BD102" s="207">
        <v>18827</v>
      </c>
      <c r="BE102" s="207">
        <v>1.111488819248951</v>
      </c>
      <c r="BF102" s="207">
        <v>0.7025819366578578</v>
      </c>
      <c r="BG102" s="207">
        <v>0</v>
      </c>
      <c r="BH102" s="207">
        <v>2</v>
      </c>
      <c r="BI102" s="207">
        <v>0</v>
      </c>
      <c r="BJ102" s="207">
        <v>-12849.359999999999</v>
      </c>
      <c r="BK102" s="207">
        <v>-219509.9</v>
      </c>
      <c r="BL102" s="207">
        <v>-14990.920000000002</v>
      </c>
      <c r="BM102" s="207">
        <v>-20880.21</v>
      </c>
      <c r="BN102" s="207">
        <v>-1070.78</v>
      </c>
      <c r="BO102" s="207">
        <v>1472159</v>
      </c>
      <c r="BP102" s="207">
        <v>-5526035.664113387</v>
      </c>
      <c r="BQ102" s="207">
        <v>-4855451.91</v>
      </c>
      <c r="BR102" s="207">
        <v>-573075.1788794994</v>
      </c>
      <c r="BS102" s="207">
        <v>3639803</v>
      </c>
      <c r="BT102" s="207">
        <v>1163250</v>
      </c>
      <c r="BU102" s="207">
        <v>2606864.8577143773</v>
      </c>
      <c r="BV102" s="207">
        <v>98405.03850020409</v>
      </c>
      <c r="BW102" s="207">
        <v>187240.83452947697</v>
      </c>
      <c r="BX102" s="207">
        <v>1470501.8591478586</v>
      </c>
      <c r="BY102" s="207">
        <v>2123241.615270677</v>
      </c>
      <c r="BZ102" s="207">
        <v>3781112.1653880496</v>
      </c>
      <c r="CA102" s="207">
        <v>1085904.423377082</v>
      </c>
      <c r="CB102" s="207">
        <v>2130317.2442567786</v>
      </c>
      <c r="CC102" s="207">
        <v>4818.51</v>
      </c>
      <c r="CD102" s="207">
        <v>781250.118283494</v>
      </c>
      <c r="CE102" s="207">
        <v>2313955.58</v>
      </c>
      <c r="CF102" s="207">
        <v>22285749.0675885</v>
      </c>
      <c r="CG102" s="207">
        <v>8740106.593475115</v>
      </c>
      <c r="CH102" s="207">
        <v>0</v>
      </c>
      <c r="CI102" s="207">
        <v>12677336.686474536</v>
      </c>
      <c r="CJ102" s="207">
        <v>-1576245</v>
      </c>
      <c r="CK102" s="207">
        <v>0</v>
      </c>
      <c r="CL102" s="207">
        <v>0</v>
      </c>
      <c r="CM102" s="207">
        <v>-648907.5938560003</v>
      </c>
      <c r="CN102" s="207">
        <v>112480122.9386408</v>
      </c>
      <c r="CO102" s="207">
        <v>111831215.3447848</v>
      </c>
      <c r="CP102" s="207">
        <v>54187</v>
      </c>
    </row>
    <row r="103" spans="1:94" ht="9.75">
      <c r="A103" s="175">
        <v>286</v>
      </c>
      <c r="B103" s="175" t="s">
        <v>160</v>
      </c>
      <c r="C103" s="207">
        <v>84196</v>
      </c>
      <c r="D103" s="207">
        <v>282977450.39</v>
      </c>
      <c r="E103" s="207">
        <v>111745852.77300112</v>
      </c>
      <c r="F103" s="207">
        <v>19056659.629565574</v>
      </c>
      <c r="G103" s="207">
        <v>413779962.7925667</v>
      </c>
      <c r="H103" s="207">
        <v>3524.51</v>
      </c>
      <c r="I103" s="207">
        <v>296749643.96000004</v>
      </c>
      <c r="J103" s="207">
        <v>117030318.83256668</v>
      </c>
      <c r="K103" s="207">
        <v>2986326.319904388</v>
      </c>
      <c r="L103" s="207">
        <v>19289809.838609163</v>
      </c>
      <c r="M103" s="207">
        <v>0</v>
      </c>
      <c r="N103" s="207">
        <v>139306454.99108022</v>
      </c>
      <c r="O103" s="207">
        <v>18626593.150963604</v>
      </c>
      <c r="P103" s="207">
        <v>157933048.14204383</v>
      </c>
      <c r="Q103" s="207">
        <v>4313</v>
      </c>
      <c r="R103" s="207">
        <v>735</v>
      </c>
      <c r="S103" s="207">
        <v>4908</v>
      </c>
      <c r="T103" s="207">
        <v>2556</v>
      </c>
      <c r="U103" s="207">
        <v>2699</v>
      </c>
      <c r="V103" s="207">
        <v>46658</v>
      </c>
      <c r="W103" s="207">
        <v>12593</v>
      </c>
      <c r="X103" s="207">
        <v>6860</v>
      </c>
      <c r="Y103" s="207">
        <v>2874</v>
      </c>
      <c r="Z103" s="207">
        <v>307</v>
      </c>
      <c r="AA103" s="207">
        <v>1</v>
      </c>
      <c r="AB103" s="207">
        <v>80318</v>
      </c>
      <c r="AC103" s="207">
        <v>3570</v>
      </c>
      <c r="AD103" s="207">
        <v>22327</v>
      </c>
      <c r="AE103" s="207">
        <v>1.171030595099128</v>
      </c>
      <c r="AF103" s="207">
        <v>111745852.77300112</v>
      </c>
      <c r="AG103" s="207">
        <v>90867394.83594415</v>
      </c>
      <c r="AH103" s="207">
        <v>32934328.40154175</v>
      </c>
      <c r="AI103" s="207">
        <v>9703099.217639796</v>
      </c>
      <c r="AJ103" s="207">
        <v>5351</v>
      </c>
      <c r="AK103" s="207">
        <v>38677</v>
      </c>
      <c r="AL103" s="207">
        <v>1.1956565209640835</v>
      </c>
      <c r="AM103" s="207">
        <v>3570</v>
      </c>
      <c r="AN103" s="207">
        <v>0.04240106418357167</v>
      </c>
      <c r="AO103" s="207">
        <v>0.037460352721121075</v>
      </c>
      <c r="AP103" s="207">
        <v>0</v>
      </c>
      <c r="AQ103" s="207">
        <v>307</v>
      </c>
      <c r="AR103" s="207">
        <v>1</v>
      </c>
      <c r="AS103" s="207">
        <v>0</v>
      </c>
      <c r="AT103" s="207">
        <v>0</v>
      </c>
      <c r="AU103" s="207">
        <v>2558.32</v>
      </c>
      <c r="AV103" s="207">
        <v>32.91066012070421</v>
      </c>
      <c r="AW103" s="207">
        <v>0.5510625388243029</v>
      </c>
      <c r="AX103" s="207">
        <v>3304</v>
      </c>
      <c r="AY103" s="207">
        <v>24637</v>
      </c>
      <c r="AZ103" s="207">
        <v>0.134107237082437</v>
      </c>
      <c r="BA103" s="207">
        <v>0.07292340099820249</v>
      </c>
      <c r="BB103" s="207">
        <v>0</v>
      </c>
      <c r="BC103" s="207">
        <v>30940</v>
      </c>
      <c r="BD103" s="207">
        <v>32105</v>
      </c>
      <c r="BE103" s="207">
        <v>0.9637128173181747</v>
      </c>
      <c r="BF103" s="207">
        <v>0.5548059347270816</v>
      </c>
      <c r="BG103" s="207">
        <v>0</v>
      </c>
      <c r="BH103" s="207">
        <v>1</v>
      </c>
      <c r="BI103" s="207">
        <v>0</v>
      </c>
      <c r="BJ103" s="207">
        <v>-20207.04</v>
      </c>
      <c r="BK103" s="207">
        <v>-345203.6</v>
      </c>
      <c r="BL103" s="207">
        <v>-23574.88</v>
      </c>
      <c r="BM103" s="207">
        <v>-32836.44</v>
      </c>
      <c r="BN103" s="207">
        <v>-1683.92</v>
      </c>
      <c r="BO103" s="207">
        <v>1721663</v>
      </c>
      <c r="BP103" s="207">
        <v>-4791092.682773991</v>
      </c>
      <c r="BQ103" s="207">
        <v>-7635735.24</v>
      </c>
      <c r="BR103" s="207">
        <v>-328800.80143755674</v>
      </c>
      <c r="BS103" s="207">
        <v>6029989</v>
      </c>
      <c r="BT103" s="207">
        <v>1994317</v>
      </c>
      <c r="BU103" s="207">
        <v>4685514.567385978</v>
      </c>
      <c r="BV103" s="207">
        <v>204266.15495217545</v>
      </c>
      <c r="BW103" s="207">
        <v>546399.8316247552</v>
      </c>
      <c r="BX103" s="207">
        <v>2240686.432876591</v>
      </c>
      <c r="BY103" s="207">
        <v>3866084.163918898</v>
      </c>
      <c r="BZ103" s="207">
        <v>6539303.329367374</v>
      </c>
      <c r="CA103" s="207">
        <v>1904548.4230995</v>
      </c>
      <c r="CB103" s="207">
        <v>3386639.5899784626</v>
      </c>
      <c r="CC103" s="207">
        <v>7577.639999999999</v>
      </c>
      <c r="CD103" s="207">
        <v>255481.909616975</v>
      </c>
      <c r="CE103" s="207">
        <v>3638951.12</v>
      </c>
      <c r="CF103" s="207">
        <v>36692621.361383155</v>
      </c>
      <c r="CG103" s="207">
        <v>19289809.838609163</v>
      </c>
      <c r="CH103" s="207">
        <v>0</v>
      </c>
      <c r="CI103" s="207">
        <v>18626593.150963604</v>
      </c>
      <c r="CJ103" s="207">
        <v>14399920</v>
      </c>
      <c r="CK103" s="207">
        <v>0</v>
      </c>
      <c r="CL103" s="207">
        <v>0</v>
      </c>
      <c r="CM103" s="207">
        <v>354508.3310400004</v>
      </c>
      <c r="CN103" s="207">
        <v>172332968.14204383</v>
      </c>
      <c r="CO103" s="207">
        <v>172687476.47308382</v>
      </c>
      <c r="CP103" s="207">
        <v>85306</v>
      </c>
    </row>
    <row r="104" spans="1:94" ht="9.75">
      <c r="A104" s="175">
        <v>287</v>
      </c>
      <c r="B104" s="175" t="s">
        <v>161</v>
      </c>
      <c r="C104" s="207">
        <v>6638</v>
      </c>
      <c r="D104" s="207">
        <v>24218834.450000003</v>
      </c>
      <c r="E104" s="207">
        <v>8848217.0578699</v>
      </c>
      <c r="F104" s="207">
        <v>2580968.7866596305</v>
      </c>
      <c r="G104" s="207">
        <v>35648020.294529535</v>
      </c>
      <c r="H104" s="207">
        <v>3524.51</v>
      </c>
      <c r="I104" s="207">
        <v>23395697.380000003</v>
      </c>
      <c r="J104" s="207">
        <v>12252322.914529532</v>
      </c>
      <c r="K104" s="207">
        <v>867918.8102523715</v>
      </c>
      <c r="L104" s="207">
        <v>2704489.396762752</v>
      </c>
      <c r="M104" s="207">
        <v>0</v>
      </c>
      <c r="N104" s="207">
        <v>15824731.121544655</v>
      </c>
      <c r="O104" s="207">
        <v>4136427.798699534</v>
      </c>
      <c r="P104" s="207">
        <v>19961158.92024419</v>
      </c>
      <c r="Q104" s="207">
        <v>304</v>
      </c>
      <c r="R104" s="207">
        <v>55</v>
      </c>
      <c r="S104" s="207">
        <v>335</v>
      </c>
      <c r="T104" s="207">
        <v>161</v>
      </c>
      <c r="U104" s="207">
        <v>190</v>
      </c>
      <c r="V104" s="207">
        <v>3330</v>
      </c>
      <c r="W104" s="207">
        <v>1242</v>
      </c>
      <c r="X104" s="207">
        <v>669</v>
      </c>
      <c r="Y104" s="207">
        <v>352</v>
      </c>
      <c r="Z104" s="207">
        <v>3625</v>
      </c>
      <c r="AA104" s="207">
        <v>0</v>
      </c>
      <c r="AB104" s="207">
        <v>2738</v>
      </c>
      <c r="AC104" s="207">
        <v>275</v>
      </c>
      <c r="AD104" s="207">
        <v>2263</v>
      </c>
      <c r="AE104" s="207">
        <v>1.1761069246519797</v>
      </c>
      <c r="AF104" s="207">
        <v>8848217.0578699</v>
      </c>
      <c r="AG104" s="207">
        <v>142005456.53123444</v>
      </c>
      <c r="AH104" s="207">
        <v>31909897.64927931</v>
      </c>
      <c r="AI104" s="207">
        <v>15894855.900719333</v>
      </c>
      <c r="AJ104" s="207">
        <v>183</v>
      </c>
      <c r="AK104" s="207">
        <v>2935</v>
      </c>
      <c r="AL104" s="207">
        <v>0.5388492099152604</v>
      </c>
      <c r="AM104" s="207">
        <v>275</v>
      </c>
      <c r="AN104" s="207">
        <v>0.041428141006327204</v>
      </c>
      <c r="AO104" s="207">
        <v>0.03648742954387661</v>
      </c>
      <c r="AP104" s="207">
        <v>3</v>
      </c>
      <c r="AQ104" s="207">
        <v>3625</v>
      </c>
      <c r="AR104" s="207">
        <v>0</v>
      </c>
      <c r="AS104" s="207">
        <v>0</v>
      </c>
      <c r="AT104" s="207">
        <v>0</v>
      </c>
      <c r="AU104" s="207">
        <v>683.04</v>
      </c>
      <c r="AV104" s="207">
        <v>9.718318107285079</v>
      </c>
      <c r="AW104" s="207">
        <v>1.8661492369655976</v>
      </c>
      <c r="AX104" s="207">
        <v>279</v>
      </c>
      <c r="AY104" s="207">
        <v>1621</v>
      </c>
      <c r="AZ104" s="207">
        <v>0.17211597779148674</v>
      </c>
      <c r="BA104" s="207">
        <v>0.11093214170725224</v>
      </c>
      <c r="BB104" s="207">
        <v>0.462666</v>
      </c>
      <c r="BC104" s="207">
        <v>2420</v>
      </c>
      <c r="BD104" s="207">
        <v>2603</v>
      </c>
      <c r="BE104" s="207">
        <v>0.9296965040338071</v>
      </c>
      <c r="BF104" s="207">
        <v>0.520789621442714</v>
      </c>
      <c r="BG104" s="207">
        <v>0</v>
      </c>
      <c r="BH104" s="207">
        <v>0</v>
      </c>
      <c r="BI104" s="207">
        <v>0</v>
      </c>
      <c r="BJ104" s="207">
        <v>-1593.12</v>
      </c>
      <c r="BK104" s="207">
        <v>-27215.8</v>
      </c>
      <c r="BL104" s="207">
        <v>-1858.64</v>
      </c>
      <c r="BM104" s="207">
        <v>-2588.82</v>
      </c>
      <c r="BN104" s="207">
        <v>-132.76</v>
      </c>
      <c r="BO104" s="207">
        <v>-114657</v>
      </c>
      <c r="BP104" s="207">
        <v>-108248.43772266775</v>
      </c>
      <c r="BQ104" s="207">
        <v>-602000.22</v>
      </c>
      <c r="BR104" s="207">
        <v>168304.4416630827</v>
      </c>
      <c r="BS104" s="207">
        <v>692802</v>
      </c>
      <c r="BT104" s="207">
        <v>228414</v>
      </c>
      <c r="BU104" s="207">
        <v>568548.2001782603</v>
      </c>
      <c r="BV104" s="207">
        <v>30177.065317712404</v>
      </c>
      <c r="BW104" s="207">
        <v>84240.24277662033</v>
      </c>
      <c r="BX104" s="207">
        <v>255219.49443637565</v>
      </c>
      <c r="BY104" s="207">
        <v>392060.7792299144</v>
      </c>
      <c r="BZ104" s="207">
        <v>659173.8744729864</v>
      </c>
      <c r="CA104" s="207">
        <v>219634.1354778587</v>
      </c>
      <c r="CB104" s="207">
        <v>347455.59014017653</v>
      </c>
      <c r="CC104" s="207">
        <v>597.42</v>
      </c>
      <c r="CD104" s="207">
        <v>-11820.749207567504</v>
      </c>
      <c r="CE104" s="207">
        <v>286894.36</v>
      </c>
      <c r="CF104" s="207">
        <v>3807043.85448542</v>
      </c>
      <c r="CG104" s="207">
        <v>2704489.396762752</v>
      </c>
      <c r="CH104" s="207">
        <v>0</v>
      </c>
      <c r="CI104" s="207">
        <v>4136427.798699534</v>
      </c>
      <c r="CJ104" s="207">
        <v>753236</v>
      </c>
      <c r="CK104" s="207">
        <v>0</v>
      </c>
      <c r="CL104" s="207">
        <v>0</v>
      </c>
      <c r="CM104" s="207">
        <v>801326.6397000002</v>
      </c>
      <c r="CN104" s="207">
        <v>20714394.92024419</v>
      </c>
      <c r="CO104" s="207">
        <v>21515721.55994419</v>
      </c>
      <c r="CP104" s="207">
        <v>6727</v>
      </c>
    </row>
    <row r="105" spans="1:94" ht="9.75">
      <c r="A105" s="175">
        <v>288</v>
      </c>
      <c r="B105" s="175" t="s">
        <v>162</v>
      </c>
      <c r="C105" s="207">
        <v>6531</v>
      </c>
      <c r="D105" s="207">
        <v>23931463.47</v>
      </c>
      <c r="E105" s="207">
        <v>6133626.692314976</v>
      </c>
      <c r="F105" s="207">
        <v>2697835.13788187</v>
      </c>
      <c r="G105" s="207">
        <v>32762925.300196845</v>
      </c>
      <c r="H105" s="207">
        <v>3524.51</v>
      </c>
      <c r="I105" s="207">
        <v>23018574.810000002</v>
      </c>
      <c r="J105" s="207">
        <v>9744350.490196843</v>
      </c>
      <c r="K105" s="207">
        <v>190053.0608750259</v>
      </c>
      <c r="L105" s="207">
        <v>2249018.2829638333</v>
      </c>
      <c r="M105" s="207">
        <v>0</v>
      </c>
      <c r="N105" s="207">
        <v>12183421.834035702</v>
      </c>
      <c r="O105" s="207">
        <v>3670632.96009038</v>
      </c>
      <c r="P105" s="207">
        <v>15854054.794126082</v>
      </c>
      <c r="Q105" s="207">
        <v>413</v>
      </c>
      <c r="R105" s="207">
        <v>72</v>
      </c>
      <c r="S105" s="207">
        <v>500</v>
      </c>
      <c r="T105" s="207">
        <v>227</v>
      </c>
      <c r="U105" s="207">
        <v>263</v>
      </c>
      <c r="V105" s="207">
        <v>3445</v>
      </c>
      <c r="W105" s="207">
        <v>888</v>
      </c>
      <c r="X105" s="207">
        <v>478</v>
      </c>
      <c r="Y105" s="207">
        <v>245</v>
      </c>
      <c r="Z105" s="207">
        <v>5123</v>
      </c>
      <c r="AA105" s="207">
        <v>0</v>
      </c>
      <c r="AB105" s="207">
        <v>1201</v>
      </c>
      <c r="AC105" s="207">
        <v>207</v>
      </c>
      <c r="AD105" s="207">
        <v>1611</v>
      </c>
      <c r="AE105" s="207">
        <v>0.828640095364822</v>
      </c>
      <c r="AF105" s="207">
        <v>6133626.692314976</v>
      </c>
      <c r="AG105" s="207">
        <v>11361932.405093104</v>
      </c>
      <c r="AH105" s="207">
        <v>2875588.3050890374</v>
      </c>
      <c r="AI105" s="207">
        <v>920275.524324953</v>
      </c>
      <c r="AJ105" s="207">
        <v>163</v>
      </c>
      <c r="AK105" s="207">
        <v>3113</v>
      </c>
      <c r="AL105" s="207">
        <v>0.4525147605397253</v>
      </c>
      <c r="AM105" s="207">
        <v>207</v>
      </c>
      <c r="AN105" s="207">
        <v>0.0316949931097841</v>
      </c>
      <c r="AO105" s="207">
        <v>0.02675428164733351</v>
      </c>
      <c r="AP105" s="207">
        <v>3</v>
      </c>
      <c r="AQ105" s="207">
        <v>5123</v>
      </c>
      <c r="AR105" s="207">
        <v>0</v>
      </c>
      <c r="AS105" s="207">
        <v>0</v>
      </c>
      <c r="AT105" s="207">
        <v>0</v>
      </c>
      <c r="AU105" s="207">
        <v>712.86</v>
      </c>
      <c r="AV105" s="207">
        <v>9.161686726706506</v>
      </c>
      <c r="AW105" s="207">
        <v>1.9795298029163861</v>
      </c>
      <c r="AX105" s="207">
        <v>256</v>
      </c>
      <c r="AY105" s="207">
        <v>1883</v>
      </c>
      <c r="AZ105" s="207">
        <v>0.13595326606479022</v>
      </c>
      <c r="BA105" s="207">
        <v>0.07476942998055572</v>
      </c>
      <c r="BB105" s="207">
        <v>0</v>
      </c>
      <c r="BC105" s="207">
        <v>2486</v>
      </c>
      <c r="BD105" s="207">
        <v>2877</v>
      </c>
      <c r="BE105" s="207">
        <v>0.8640945429266598</v>
      </c>
      <c r="BF105" s="207">
        <v>0.4551876603355667</v>
      </c>
      <c r="BG105" s="207">
        <v>0</v>
      </c>
      <c r="BH105" s="207">
        <v>0</v>
      </c>
      <c r="BI105" s="207">
        <v>0</v>
      </c>
      <c r="BJ105" s="207">
        <v>-1567.44</v>
      </c>
      <c r="BK105" s="207">
        <v>-26777.1</v>
      </c>
      <c r="BL105" s="207">
        <v>-1828.68</v>
      </c>
      <c r="BM105" s="207">
        <v>-2547.09</v>
      </c>
      <c r="BN105" s="207">
        <v>-130.62</v>
      </c>
      <c r="BO105" s="207">
        <v>-32538</v>
      </c>
      <c r="BP105" s="207">
        <v>-32686.584619307658</v>
      </c>
      <c r="BQ105" s="207">
        <v>-592296.39</v>
      </c>
      <c r="BR105" s="207">
        <v>-40340.352658394724</v>
      </c>
      <c r="BS105" s="207">
        <v>575682</v>
      </c>
      <c r="BT105" s="207">
        <v>200208</v>
      </c>
      <c r="BU105" s="207">
        <v>498934.73935790296</v>
      </c>
      <c r="BV105" s="207">
        <v>26028.434395778844</v>
      </c>
      <c r="BW105" s="207">
        <v>65840.18374348737</v>
      </c>
      <c r="BX105" s="207">
        <v>210501.86059898874</v>
      </c>
      <c r="BY105" s="207">
        <v>389555.4606137078</v>
      </c>
      <c r="BZ105" s="207">
        <v>647069.5953866849</v>
      </c>
      <c r="CA105" s="207">
        <v>190445.68935750786</v>
      </c>
      <c r="CB105" s="207">
        <v>321821.6558431388</v>
      </c>
      <c r="CC105" s="207">
        <v>587.79</v>
      </c>
      <c r="CD105" s="207">
        <v>-76083.51905566148</v>
      </c>
      <c r="CE105" s="207">
        <v>282269.82</v>
      </c>
      <c r="CF105" s="207">
        <v>3259983.357583141</v>
      </c>
      <c r="CG105" s="207">
        <v>2249018.2829638333</v>
      </c>
      <c r="CH105" s="207">
        <v>0</v>
      </c>
      <c r="CI105" s="207">
        <v>3670632.96009038</v>
      </c>
      <c r="CJ105" s="207">
        <v>96062</v>
      </c>
      <c r="CK105" s="207">
        <v>0</v>
      </c>
      <c r="CL105" s="207">
        <v>0</v>
      </c>
      <c r="CM105" s="207">
        <v>-353967.11710000003</v>
      </c>
      <c r="CN105" s="207">
        <v>15950116.794126082</v>
      </c>
      <c r="CO105" s="207">
        <v>15596149.677026082</v>
      </c>
      <c r="CP105" s="207">
        <v>6620</v>
      </c>
    </row>
    <row r="106" spans="1:94" ht="9.75">
      <c r="A106" s="175">
        <v>290</v>
      </c>
      <c r="B106" s="175" t="s">
        <v>163</v>
      </c>
      <c r="C106" s="207">
        <v>8499</v>
      </c>
      <c r="D106" s="207">
        <v>29354689.86</v>
      </c>
      <c r="E106" s="207">
        <v>14607026.416360173</v>
      </c>
      <c r="F106" s="207">
        <v>4804345.019758786</v>
      </c>
      <c r="G106" s="207">
        <v>48766061.29611895</v>
      </c>
      <c r="H106" s="207">
        <v>3524.51</v>
      </c>
      <c r="I106" s="207">
        <v>29954810.490000002</v>
      </c>
      <c r="J106" s="207">
        <v>18811250.80611895</v>
      </c>
      <c r="K106" s="207">
        <v>3808041.4828560743</v>
      </c>
      <c r="L106" s="207">
        <v>3814486.356164479</v>
      </c>
      <c r="M106" s="207">
        <v>0</v>
      </c>
      <c r="N106" s="207">
        <v>26433778.6451395</v>
      </c>
      <c r="O106" s="207">
        <v>6138282.516566838</v>
      </c>
      <c r="P106" s="207">
        <v>32572061.16170634</v>
      </c>
      <c r="Q106" s="207">
        <v>308</v>
      </c>
      <c r="R106" s="207">
        <v>64</v>
      </c>
      <c r="S106" s="207">
        <v>467</v>
      </c>
      <c r="T106" s="207">
        <v>225</v>
      </c>
      <c r="U106" s="207">
        <v>221</v>
      </c>
      <c r="V106" s="207">
        <v>4359</v>
      </c>
      <c r="W106" s="207">
        <v>1549</v>
      </c>
      <c r="X106" s="207">
        <v>958</v>
      </c>
      <c r="Y106" s="207">
        <v>348</v>
      </c>
      <c r="Z106" s="207">
        <v>7</v>
      </c>
      <c r="AA106" s="207">
        <v>1</v>
      </c>
      <c r="AB106" s="207">
        <v>8324</v>
      </c>
      <c r="AC106" s="207">
        <v>167</v>
      </c>
      <c r="AD106" s="207">
        <v>2855</v>
      </c>
      <c r="AE106" s="207">
        <v>1.5164296683398009</v>
      </c>
      <c r="AF106" s="207">
        <v>14607026.416360173</v>
      </c>
      <c r="AG106" s="207">
        <v>7917715.871315341</v>
      </c>
      <c r="AH106" s="207">
        <v>2066043.0575791101</v>
      </c>
      <c r="AI106" s="207">
        <v>741581.247757001</v>
      </c>
      <c r="AJ106" s="207">
        <v>579</v>
      </c>
      <c r="AK106" s="207">
        <v>3711</v>
      </c>
      <c r="AL106" s="207">
        <v>1.3483786757250216</v>
      </c>
      <c r="AM106" s="207">
        <v>167</v>
      </c>
      <c r="AN106" s="207">
        <v>0.019649370514178137</v>
      </c>
      <c r="AO106" s="207">
        <v>0.014708659051727545</v>
      </c>
      <c r="AP106" s="207">
        <v>0</v>
      </c>
      <c r="AQ106" s="207">
        <v>7</v>
      </c>
      <c r="AR106" s="207">
        <v>1</v>
      </c>
      <c r="AS106" s="207">
        <v>0</v>
      </c>
      <c r="AT106" s="207">
        <v>0</v>
      </c>
      <c r="AU106" s="207">
        <v>4806.57</v>
      </c>
      <c r="AV106" s="207">
        <v>1.7682047697214438</v>
      </c>
      <c r="AW106" s="207">
        <v>10.25663556113812</v>
      </c>
      <c r="AX106" s="207">
        <v>269</v>
      </c>
      <c r="AY106" s="207">
        <v>2146</v>
      </c>
      <c r="AZ106" s="207">
        <v>0.12534948741845295</v>
      </c>
      <c r="BA106" s="207">
        <v>0.06416565133421845</v>
      </c>
      <c r="BB106" s="207">
        <v>1.304849</v>
      </c>
      <c r="BC106" s="207">
        <v>2771</v>
      </c>
      <c r="BD106" s="207">
        <v>2861</v>
      </c>
      <c r="BE106" s="207">
        <v>0.9685424676686474</v>
      </c>
      <c r="BF106" s="207">
        <v>0.5596355850775543</v>
      </c>
      <c r="BG106" s="207">
        <v>0</v>
      </c>
      <c r="BH106" s="207">
        <v>1</v>
      </c>
      <c r="BI106" s="207">
        <v>0</v>
      </c>
      <c r="BJ106" s="207">
        <v>-2039.76</v>
      </c>
      <c r="BK106" s="207">
        <v>-34845.899999999994</v>
      </c>
      <c r="BL106" s="207">
        <v>-2379.7200000000003</v>
      </c>
      <c r="BM106" s="207">
        <v>-3314.61</v>
      </c>
      <c r="BN106" s="207">
        <v>-169.98</v>
      </c>
      <c r="BO106" s="207">
        <v>576522</v>
      </c>
      <c r="BP106" s="207">
        <v>-154264.207753426</v>
      </c>
      <c r="BQ106" s="207">
        <v>-770774.3099999999</v>
      </c>
      <c r="BR106" s="207">
        <v>45840.17907136306</v>
      </c>
      <c r="BS106" s="207">
        <v>879743</v>
      </c>
      <c r="BT106" s="207">
        <v>272146</v>
      </c>
      <c r="BU106" s="207">
        <v>703979.2439260354</v>
      </c>
      <c r="BV106" s="207">
        <v>36783.39677402133</v>
      </c>
      <c r="BW106" s="207">
        <v>141222.52031815654</v>
      </c>
      <c r="BX106" s="207">
        <v>373179.4735321675</v>
      </c>
      <c r="BY106" s="207">
        <v>459507.82671199803</v>
      </c>
      <c r="BZ106" s="207">
        <v>735798.274178321</v>
      </c>
      <c r="CA106" s="207">
        <v>213856.4882541266</v>
      </c>
      <c r="CB106" s="207">
        <v>397634.08734254126</v>
      </c>
      <c r="CC106" s="207">
        <v>764.91</v>
      </c>
      <c r="CD106" s="207">
        <v>37511.5938091742</v>
      </c>
      <c r="CE106" s="207">
        <v>367326.77999999997</v>
      </c>
      <c r="CF106" s="207">
        <v>5241815.773917905</v>
      </c>
      <c r="CG106" s="207">
        <v>3814486.356164479</v>
      </c>
      <c r="CH106" s="207">
        <v>0</v>
      </c>
      <c r="CI106" s="207">
        <v>6138282.516566838</v>
      </c>
      <c r="CJ106" s="207">
        <v>-526718</v>
      </c>
      <c r="CK106" s="207">
        <v>0</v>
      </c>
      <c r="CL106" s="207">
        <v>0</v>
      </c>
      <c r="CM106" s="207">
        <v>-54807.81167999999</v>
      </c>
      <c r="CN106" s="207">
        <v>32045343.16170634</v>
      </c>
      <c r="CO106" s="207">
        <v>31990535.35002634</v>
      </c>
      <c r="CP106" s="207">
        <v>8647</v>
      </c>
    </row>
    <row r="107" spans="1:94" ht="9.75">
      <c r="A107" s="175">
        <v>291</v>
      </c>
      <c r="B107" s="175" t="s">
        <v>164</v>
      </c>
      <c r="C107" s="207">
        <v>2252</v>
      </c>
      <c r="D107" s="207">
        <v>8626241.120000001</v>
      </c>
      <c r="E107" s="207">
        <v>3836685.247456759</v>
      </c>
      <c r="F107" s="207">
        <v>838889.5641746565</v>
      </c>
      <c r="G107" s="207">
        <v>13301815.931631416</v>
      </c>
      <c r="H107" s="207">
        <v>3524.51</v>
      </c>
      <c r="I107" s="207">
        <v>7937196.5200000005</v>
      </c>
      <c r="J107" s="207">
        <v>5364619.411631416</v>
      </c>
      <c r="K107" s="207">
        <v>429835.4380309921</v>
      </c>
      <c r="L107" s="207">
        <v>899934.0929123013</v>
      </c>
      <c r="M107" s="207">
        <v>0</v>
      </c>
      <c r="N107" s="207">
        <v>6694388.942574709</v>
      </c>
      <c r="O107" s="207">
        <v>1652048.805362633</v>
      </c>
      <c r="P107" s="207">
        <v>8346437.747937342</v>
      </c>
      <c r="Q107" s="207">
        <v>58</v>
      </c>
      <c r="R107" s="207">
        <v>14</v>
      </c>
      <c r="S107" s="207">
        <v>93</v>
      </c>
      <c r="T107" s="207">
        <v>44</v>
      </c>
      <c r="U107" s="207">
        <v>63</v>
      </c>
      <c r="V107" s="207">
        <v>1026</v>
      </c>
      <c r="W107" s="207">
        <v>487</v>
      </c>
      <c r="X107" s="207">
        <v>316</v>
      </c>
      <c r="Y107" s="207">
        <v>151</v>
      </c>
      <c r="Z107" s="207">
        <v>4</v>
      </c>
      <c r="AA107" s="207">
        <v>0</v>
      </c>
      <c r="AB107" s="207">
        <v>2225</v>
      </c>
      <c r="AC107" s="207">
        <v>23</v>
      </c>
      <c r="AD107" s="207">
        <v>954</v>
      </c>
      <c r="AE107" s="207">
        <v>1.5031975982474717</v>
      </c>
      <c r="AF107" s="207">
        <v>3836685.247456759</v>
      </c>
      <c r="AG107" s="207">
        <v>19225711.479489796</v>
      </c>
      <c r="AH107" s="207">
        <v>4427423.081171402</v>
      </c>
      <c r="AI107" s="207">
        <v>1840551.048649906</v>
      </c>
      <c r="AJ107" s="207">
        <v>119</v>
      </c>
      <c r="AK107" s="207">
        <v>865</v>
      </c>
      <c r="AL107" s="207">
        <v>1.1889268094447292</v>
      </c>
      <c r="AM107" s="207">
        <v>23</v>
      </c>
      <c r="AN107" s="207">
        <v>0.010213143872113677</v>
      </c>
      <c r="AO107" s="207">
        <v>0.005272432409663084</v>
      </c>
      <c r="AP107" s="207">
        <v>0</v>
      </c>
      <c r="AQ107" s="207">
        <v>4</v>
      </c>
      <c r="AR107" s="207">
        <v>0</v>
      </c>
      <c r="AS107" s="207">
        <v>3</v>
      </c>
      <c r="AT107" s="207">
        <v>175</v>
      </c>
      <c r="AU107" s="207">
        <v>660.95</v>
      </c>
      <c r="AV107" s="207">
        <v>3.4072168847870485</v>
      </c>
      <c r="AW107" s="207">
        <v>5.322770030130469</v>
      </c>
      <c r="AX107" s="207">
        <v>70</v>
      </c>
      <c r="AY107" s="207">
        <v>486</v>
      </c>
      <c r="AZ107" s="207">
        <v>0.1440329218106996</v>
      </c>
      <c r="BA107" s="207">
        <v>0.0828490857264651</v>
      </c>
      <c r="BB107" s="207">
        <v>0.743866</v>
      </c>
      <c r="BC107" s="207">
        <v>652</v>
      </c>
      <c r="BD107" s="207">
        <v>691</v>
      </c>
      <c r="BE107" s="207">
        <v>0.9435600578871202</v>
      </c>
      <c r="BF107" s="207">
        <v>0.5346531752960271</v>
      </c>
      <c r="BG107" s="207">
        <v>0</v>
      </c>
      <c r="BH107" s="207">
        <v>0</v>
      </c>
      <c r="BI107" s="207">
        <v>0</v>
      </c>
      <c r="BJ107" s="207">
        <v>-540.48</v>
      </c>
      <c r="BK107" s="207">
        <v>-9233.199999999999</v>
      </c>
      <c r="BL107" s="207">
        <v>-630.5600000000001</v>
      </c>
      <c r="BM107" s="207">
        <v>-878.2800000000001</v>
      </c>
      <c r="BN107" s="207">
        <v>-45.04</v>
      </c>
      <c r="BO107" s="207">
        <v>41818</v>
      </c>
      <c r="BP107" s="207">
        <v>-25707.609671129816</v>
      </c>
      <c r="BQ107" s="207">
        <v>-204233.88</v>
      </c>
      <c r="BR107" s="207">
        <v>7533.050449972972</v>
      </c>
      <c r="BS107" s="207">
        <v>263880</v>
      </c>
      <c r="BT107" s="207">
        <v>73319</v>
      </c>
      <c r="BU107" s="207">
        <v>170391.72029912568</v>
      </c>
      <c r="BV107" s="207">
        <v>10287.71598803778</v>
      </c>
      <c r="BW107" s="207">
        <v>30345.713254875387</v>
      </c>
      <c r="BX107" s="207">
        <v>102649.1409805688</v>
      </c>
      <c r="BY107" s="207">
        <v>114930.21923193669</v>
      </c>
      <c r="BZ107" s="207">
        <v>197835.3142036988</v>
      </c>
      <c r="CA107" s="207">
        <v>57829.09509328805</v>
      </c>
      <c r="CB107" s="207">
        <v>105456.41620269901</v>
      </c>
      <c r="CC107" s="207">
        <v>202.67999999999998</v>
      </c>
      <c r="CD107" s="207">
        <v>-10840.723120772134</v>
      </c>
      <c r="CE107" s="207">
        <v>97331.44</v>
      </c>
      <c r="CF107" s="207">
        <v>1262968.782583431</v>
      </c>
      <c r="CG107" s="207">
        <v>899934.0929123013</v>
      </c>
      <c r="CH107" s="207">
        <v>0</v>
      </c>
      <c r="CI107" s="207">
        <v>1652048.805362633</v>
      </c>
      <c r="CJ107" s="207">
        <v>-105861</v>
      </c>
      <c r="CK107" s="207">
        <v>0</v>
      </c>
      <c r="CL107" s="207">
        <v>0</v>
      </c>
      <c r="CM107" s="207">
        <v>-34320.884</v>
      </c>
      <c r="CN107" s="207">
        <v>8240576.747937342</v>
      </c>
      <c r="CO107" s="207">
        <v>8206255.863937343</v>
      </c>
      <c r="CP107" s="207">
        <v>2286</v>
      </c>
    </row>
    <row r="108" spans="1:94" ht="9.75">
      <c r="A108" s="175">
        <v>297</v>
      </c>
      <c r="B108" s="175" t="s">
        <v>165</v>
      </c>
      <c r="C108" s="207">
        <v>118209</v>
      </c>
      <c r="D108" s="207">
        <v>372939321.54</v>
      </c>
      <c r="E108" s="207">
        <v>165393333.49415407</v>
      </c>
      <c r="F108" s="207">
        <v>22600110.32189299</v>
      </c>
      <c r="G108" s="207">
        <v>560932765.356047</v>
      </c>
      <c r="H108" s="207">
        <v>3524.51</v>
      </c>
      <c r="I108" s="207">
        <v>416628802.59000003</v>
      </c>
      <c r="J108" s="207">
        <v>144303962.766047</v>
      </c>
      <c r="K108" s="207">
        <v>4824923.479823338</v>
      </c>
      <c r="L108" s="207">
        <v>21896077.13963954</v>
      </c>
      <c r="M108" s="207">
        <v>0</v>
      </c>
      <c r="N108" s="207">
        <v>171024963.3855099</v>
      </c>
      <c r="O108" s="207">
        <v>35688752.26460764</v>
      </c>
      <c r="P108" s="207">
        <v>206713715.65011755</v>
      </c>
      <c r="Q108" s="207">
        <v>7057</v>
      </c>
      <c r="R108" s="207">
        <v>1233</v>
      </c>
      <c r="S108" s="207">
        <v>7051</v>
      </c>
      <c r="T108" s="207">
        <v>3472</v>
      </c>
      <c r="U108" s="207">
        <v>3819</v>
      </c>
      <c r="V108" s="207">
        <v>71491</v>
      </c>
      <c r="W108" s="207">
        <v>13864</v>
      </c>
      <c r="X108" s="207">
        <v>7211</v>
      </c>
      <c r="Y108" s="207">
        <v>3011</v>
      </c>
      <c r="Z108" s="207">
        <v>129</v>
      </c>
      <c r="AA108" s="207">
        <v>4</v>
      </c>
      <c r="AB108" s="207">
        <v>113622</v>
      </c>
      <c r="AC108" s="207">
        <v>4454</v>
      </c>
      <c r="AD108" s="207">
        <v>24086</v>
      </c>
      <c r="AE108" s="207">
        <v>1.2345132179132245</v>
      </c>
      <c r="AF108" s="207">
        <v>165393333.49415407</v>
      </c>
      <c r="AG108" s="207">
        <v>4522387.862823463</v>
      </c>
      <c r="AH108" s="207">
        <v>1725856.0465437488</v>
      </c>
      <c r="AI108" s="207">
        <v>348453.83930750645</v>
      </c>
      <c r="AJ108" s="207">
        <v>6761</v>
      </c>
      <c r="AK108" s="207">
        <v>56002</v>
      </c>
      <c r="AL108" s="207">
        <v>1.0433539509299157</v>
      </c>
      <c r="AM108" s="207">
        <v>4454</v>
      </c>
      <c r="AN108" s="207">
        <v>0.037679026131682024</v>
      </c>
      <c r="AO108" s="207">
        <v>0.03273831466923143</v>
      </c>
      <c r="AP108" s="207">
        <v>0</v>
      </c>
      <c r="AQ108" s="207">
        <v>129</v>
      </c>
      <c r="AR108" s="207">
        <v>4</v>
      </c>
      <c r="AS108" s="207">
        <v>3</v>
      </c>
      <c r="AT108" s="207">
        <v>831</v>
      </c>
      <c r="AU108" s="207">
        <v>3241.02</v>
      </c>
      <c r="AV108" s="207">
        <v>36.4727770886943</v>
      </c>
      <c r="AW108" s="207">
        <v>0.49724296771798826</v>
      </c>
      <c r="AX108" s="207">
        <v>3611</v>
      </c>
      <c r="AY108" s="207">
        <v>35461</v>
      </c>
      <c r="AZ108" s="207">
        <v>0.10183017963396407</v>
      </c>
      <c r="BA108" s="207">
        <v>0.040646343549729576</v>
      </c>
      <c r="BB108" s="207">
        <v>0</v>
      </c>
      <c r="BC108" s="207">
        <v>50877</v>
      </c>
      <c r="BD108" s="207">
        <v>48576</v>
      </c>
      <c r="BE108" s="207">
        <v>1.0473690711462451</v>
      </c>
      <c r="BF108" s="207">
        <v>0.638462188555152</v>
      </c>
      <c r="BG108" s="207">
        <v>0</v>
      </c>
      <c r="BH108" s="207">
        <v>4</v>
      </c>
      <c r="BI108" s="207">
        <v>0</v>
      </c>
      <c r="BJ108" s="207">
        <v>-28370.16</v>
      </c>
      <c r="BK108" s="207">
        <v>-484656.89999999997</v>
      </c>
      <c r="BL108" s="207">
        <v>-33098.520000000004</v>
      </c>
      <c r="BM108" s="207">
        <v>-46101.51</v>
      </c>
      <c r="BN108" s="207">
        <v>-2364.18</v>
      </c>
      <c r="BO108" s="207">
        <v>344001</v>
      </c>
      <c r="BP108" s="207">
        <v>-11616191.813789317</v>
      </c>
      <c r="BQ108" s="207">
        <v>-10720374.209999999</v>
      </c>
      <c r="BR108" s="207">
        <v>568576.9896894507</v>
      </c>
      <c r="BS108" s="207">
        <v>8192552</v>
      </c>
      <c r="BT108" s="207">
        <v>2780481</v>
      </c>
      <c r="BU108" s="207">
        <v>6685946.670357633</v>
      </c>
      <c r="BV108" s="207">
        <v>274340.2053332768</v>
      </c>
      <c r="BW108" s="207">
        <v>542984.4859595057</v>
      </c>
      <c r="BX108" s="207">
        <v>3006730.6654707086</v>
      </c>
      <c r="BY108" s="207">
        <v>6029936.960660052</v>
      </c>
      <c r="BZ108" s="207">
        <v>8709832.970961055</v>
      </c>
      <c r="CA108" s="207">
        <v>3071318.894731569</v>
      </c>
      <c r="CB108" s="207">
        <v>5163829.576663302</v>
      </c>
      <c r="CC108" s="207">
        <v>10638.81</v>
      </c>
      <c r="CD108" s="207">
        <v>728631.8536023047</v>
      </c>
      <c r="CE108" s="207">
        <v>5108992.9799999995</v>
      </c>
      <c r="CF108" s="207">
        <v>51218795.06342886</v>
      </c>
      <c r="CG108" s="207">
        <v>21896077.13963954</v>
      </c>
      <c r="CH108" s="207">
        <v>0</v>
      </c>
      <c r="CI108" s="207">
        <v>35688752.26460764</v>
      </c>
      <c r="CJ108" s="207">
        <v>-3425022</v>
      </c>
      <c r="CK108" s="207">
        <v>0</v>
      </c>
      <c r="CL108" s="207">
        <v>0</v>
      </c>
      <c r="CM108" s="207">
        <v>-2011803.0978359992</v>
      </c>
      <c r="CN108" s="207">
        <v>203288693.65011755</v>
      </c>
      <c r="CO108" s="207">
        <v>201276890.55228156</v>
      </c>
      <c r="CP108" s="207">
        <v>117740</v>
      </c>
    </row>
    <row r="109" spans="1:94" ht="9.75">
      <c r="A109" s="175">
        <v>300</v>
      </c>
      <c r="B109" s="175" t="s">
        <v>166</v>
      </c>
      <c r="C109" s="207">
        <v>3637</v>
      </c>
      <c r="D109" s="207">
        <v>13892137</v>
      </c>
      <c r="E109" s="207">
        <v>6098598.562025622</v>
      </c>
      <c r="F109" s="207">
        <v>692969.9360659384</v>
      </c>
      <c r="G109" s="207">
        <v>20683705.49809156</v>
      </c>
      <c r="H109" s="207">
        <v>3524.51</v>
      </c>
      <c r="I109" s="207">
        <v>12818642.870000001</v>
      </c>
      <c r="J109" s="207">
        <v>7865062.628091559</v>
      </c>
      <c r="K109" s="207">
        <v>127088.31008204701</v>
      </c>
      <c r="L109" s="207">
        <v>1370938.5530693273</v>
      </c>
      <c r="M109" s="207">
        <v>0</v>
      </c>
      <c r="N109" s="207">
        <v>9363089.491242934</v>
      </c>
      <c r="O109" s="207">
        <v>3227742.483708223</v>
      </c>
      <c r="P109" s="207">
        <v>12590831.974951157</v>
      </c>
      <c r="Q109" s="207">
        <v>176</v>
      </c>
      <c r="R109" s="207">
        <v>31</v>
      </c>
      <c r="S109" s="207">
        <v>248</v>
      </c>
      <c r="T109" s="207">
        <v>129</v>
      </c>
      <c r="U109" s="207">
        <v>132</v>
      </c>
      <c r="V109" s="207">
        <v>1823</v>
      </c>
      <c r="W109" s="207">
        <v>563</v>
      </c>
      <c r="X109" s="207">
        <v>356</v>
      </c>
      <c r="Y109" s="207">
        <v>179</v>
      </c>
      <c r="Z109" s="207">
        <v>2</v>
      </c>
      <c r="AA109" s="207">
        <v>0</v>
      </c>
      <c r="AB109" s="207">
        <v>3576</v>
      </c>
      <c r="AC109" s="207">
        <v>59</v>
      </c>
      <c r="AD109" s="207">
        <v>1098</v>
      </c>
      <c r="AE109" s="207">
        <v>1.479500216922891</v>
      </c>
      <c r="AF109" s="207">
        <v>6098598.562025622</v>
      </c>
      <c r="AG109" s="207">
        <v>194054565.1946747</v>
      </c>
      <c r="AH109" s="207">
        <v>43250574.00328285</v>
      </c>
      <c r="AI109" s="207">
        <v>21505856.18495303</v>
      </c>
      <c r="AJ109" s="207">
        <v>108</v>
      </c>
      <c r="AK109" s="207">
        <v>1568</v>
      </c>
      <c r="AL109" s="207">
        <v>0.5952535078584644</v>
      </c>
      <c r="AM109" s="207">
        <v>59</v>
      </c>
      <c r="AN109" s="207">
        <v>0.016222161121803684</v>
      </c>
      <c r="AO109" s="207">
        <v>0.011281449659353092</v>
      </c>
      <c r="AP109" s="207">
        <v>0</v>
      </c>
      <c r="AQ109" s="207">
        <v>2</v>
      </c>
      <c r="AR109" s="207">
        <v>0</v>
      </c>
      <c r="AS109" s="207">
        <v>0</v>
      </c>
      <c r="AT109" s="207">
        <v>0</v>
      </c>
      <c r="AU109" s="207">
        <v>462.16</v>
      </c>
      <c r="AV109" s="207">
        <v>7.8695689804396745</v>
      </c>
      <c r="AW109" s="207">
        <v>2.3045521254819405</v>
      </c>
      <c r="AX109" s="207">
        <v>136</v>
      </c>
      <c r="AY109" s="207">
        <v>1019</v>
      </c>
      <c r="AZ109" s="207">
        <v>0.13346418056918546</v>
      </c>
      <c r="BA109" s="207">
        <v>0.07228034448495096</v>
      </c>
      <c r="BB109" s="207">
        <v>0</v>
      </c>
      <c r="BC109" s="207">
        <v>1331</v>
      </c>
      <c r="BD109" s="207">
        <v>1393</v>
      </c>
      <c r="BE109" s="207">
        <v>0.955491744436468</v>
      </c>
      <c r="BF109" s="207">
        <v>0.5465848618453749</v>
      </c>
      <c r="BG109" s="207">
        <v>0</v>
      </c>
      <c r="BH109" s="207">
        <v>0</v>
      </c>
      <c r="BI109" s="207">
        <v>0</v>
      </c>
      <c r="BJ109" s="207">
        <v>-872.88</v>
      </c>
      <c r="BK109" s="207">
        <v>-14911.699999999999</v>
      </c>
      <c r="BL109" s="207">
        <v>-1018.3600000000001</v>
      </c>
      <c r="BM109" s="207">
        <v>-1418.43</v>
      </c>
      <c r="BN109" s="207">
        <v>-72.74</v>
      </c>
      <c r="BO109" s="207">
        <v>-28763</v>
      </c>
      <c r="BP109" s="207">
        <v>-85545.94587841842</v>
      </c>
      <c r="BQ109" s="207">
        <v>-329839.52999999997</v>
      </c>
      <c r="BR109" s="207">
        <v>43572.96139998175</v>
      </c>
      <c r="BS109" s="207">
        <v>402441</v>
      </c>
      <c r="BT109" s="207">
        <v>120659</v>
      </c>
      <c r="BU109" s="207">
        <v>305156.2929916715</v>
      </c>
      <c r="BV109" s="207">
        <v>18450.74644536792</v>
      </c>
      <c r="BW109" s="207">
        <v>1795.9278249640176</v>
      </c>
      <c r="BX109" s="207">
        <v>137432.4563507495</v>
      </c>
      <c r="BY109" s="207">
        <v>220951.71960317195</v>
      </c>
      <c r="BZ109" s="207">
        <v>351056.0725939158</v>
      </c>
      <c r="CA109" s="207">
        <v>102632.65252673901</v>
      </c>
      <c r="CB109" s="207">
        <v>178955.60971562</v>
      </c>
      <c r="CC109" s="207">
        <v>327.33</v>
      </c>
      <c r="CD109" s="207">
        <v>-10589.180504435826</v>
      </c>
      <c r="CE109" s="207">
        <v>157191.13999999998</v>
      </c>
      <c r="CF109" s="207">
        <v>2001270.7289477456</v>
      </c>
      <c r="CG109" s="207">
        <v>1370938.5530693273</v>
      </c>
      <c r="CH109" s="207">
        <v>0</v>
      </c>
      <c r="CI109" s="207">
        <v>3227742.483708223</v>
      </c>
      <c r="CJ109" s="207">
        <v>790078</v>
      </c>
      <c r="CK109" s="207">
        <v>0</v>
      </c>
      <c r="CL109" s="207">
        <v>0</v>
      </c>
      <c r="CM109" s="207">
        <v>246780.35629999998</v>
      </c>
      <c r="CN109" s="207">
        <v>13380909.974951157</v>
      </c>
      <c r="CO109" s="207">
        <v>13627690.331251157</v>
      </c>
      <c r="CP109" s="207">
        <v>3690</v>
      </c>
    </row>
    <row r="110" spans="1:94" ht="9.75">
      <c r="A110" s="175">
        <v>301</v>
      </c>
      <c r="B110" s="175" t="s">
        <v>167</v>
      </c>
      <c r="C110" s="207">
        <v>21203</v>
      </c>
      <c r="D110" s="207">
        <v>75884164.05</v>
      </c>
      <c r="E110" s="207">
        <v>32423807.80745646</v>
      </c>
      <c r="F110" s="207">
        <v>3600456.9096741085</v>
      </c>
      <c r="G110" s="207">
        <v>111908428.76713057</v>
      </c>
      <c r="H110" s="207">
        <v>3524.51</v>
      </c>
      <c r="I110" s="207">
        <v>74730185.53</v>
      </c>
      <c r="J110" s="207">
        <v>37178243.23713057</v>
      </c>
      <c r="K110" s="207">
        <v>649931.283015967</v>
      </c>
      <c r="L110" s="207">
        <v>7554493.094975127</v>
      </c>
      <c r="M110" s="207">
        <v>0</v>
      </c>
      <c r="N110" s="207">
        <v>45382667.61512166</v>
      </c>
      <c r="O110" s="207">
        <v>17526489.7371572</v>
      </c>
      <c r="P110" s="207">
        <v>62909157.35227886</v>
      </c>
      <c r="Q110" s="207">
        <v>1205</v>
      </c>
      <c r="R110" s="207">
        <v>214</v>
      </c>
      <c r="S110" s="207">
        <v>1392</v>
      </c>
      <c r="T110" s="207">
        <v>688</v>
      </c>
      <c r="U110" s="207">
        <v>697</v>
      </c>
      <c r="V110" s="207">
        <v>11072</v>
      </c>
      <c r="W110" s="207">
        <v>3361</v>
      </c>
      <c r="X110" s="207">
        <v>1755</v>
      </c>
      <c r="Y110" s="207">
        <v>819</v>
      </c>
      <c r="Z110" s="207">
        <v>75</v>
      </c>
      <c r="AA110" s="207">
        <v>0</v>
      </c>
      <c r="AB110" s="207">
        <v>20789</v>
      </c>
      <c r="AC110" s="207">
        <v>339</v>
      </c>
      <c r="AD110" s="207">
        <v>5935</v>
      </c>
      <c r="AE110" s="207">
        <v>1.3492579644326301</v>
      </c>
      <c r="AF110" s="207">
        <v>32423807.80745646</v>
      </c>
      <c r="AG110" s="207">
        <v>6933336.115236553</v>
      </c>
      <c r="AH110" s="207">
        <v>2621928.2143898224</v>
      </c>
      <c r="AI110" s="207">
        <v>553952.2573606513</v>
      </c>
      <c r="AJ110" s="207">
        <v>841</v>
      </c>
      <c r="AK110" s="207">
        <v>9392</v>
      </c>
      <c r="AL110" s="207">
        <v>0.7738596064527561</v>
      </c>
      <c r="AM110" s="207">
        <v>339</v>
      </c>
      <c r="AN110" s="207">
        <v>0.01598830354195161</v>
      </c>
      <c r="AO110" s="207">
        <v>0.011047592079501019</v>
      </c>
      <c r="AP110" s="207">
        <v>0</v>
      </c>
      <c r="AQ110" s="207">
        <v>75</v>
      </c>
      <c r="AR110" s="207">
        <v>0</v>
      </c>
      <c r="AS110" s="207">
        <v>0</v>
      </c>
      <c r="AT110" s="207">
        <v>0</v>
      </c>
      <c r="AU110" s="207">
        <v>1724.42</v>
      </c>
      <c r="AV110" s="207">
        <v>12.295728418830679</v>
      </c>
      <c r="AW110" s="207">
        <v>1.4749701117929956</v>
      </c>
      <c r="AX110" s="207">
        <v>708</v>
      </c>
      <c r="AY110" s="207">
        <v>5769</v>
      </c>
      <c r="AZ110" s="207">
        <v>0.12272490899635985</v>
      </c>
      <c r="BA110" s="207">
        <v>0.06154107291212536</v>
      </c>
      <c r="BB110" s="207">
        <v>0</v>
      </c>
      <c r="BC110" s="207">
        <v>7195</v>
      </c>
      <c r="BD110" s="207">
        <v>8099</v>
      </c>
      <c r="BE110" s="207">
        <v>0.8883812816397086</v>
      </c>
      <c r="BF110" s="207">
        <v>0.47947439904861555</v>
      </c>
      <c r="BG110" s="207">
        <v>0</v>
      </c>
      <c r="BH110" s="207">
        <v>0</v>
      </c>
      <c r="BI110" s="207">
        <v>0</v>
      </c>
      <c r="BJ110" s="207">
        <v>-5088.72</v>
      </c>
      <c r="BK110" s="207">
        <v>-86932.29999999999</v>
      </c>
      <c r="BL110" s="207">
        <v>-5936.84</v>
      </c>
      <c r="BM110" s="207">
        <v>-8269.17</v>
      </c>
      <c r="BN110" s="207">
        <v>-424.06</v>
      </c>
      <c r="BO110" s="207">
        <v>-113946</v>
      </c>
      <c r="BP110" s="207">
        <v>-662251.8293835649</v>
      </c>
      <c r="BQ110" s="207">
        <v>-1922900.07</v>
      </c>
      <c r="BR110" s="207">
        <v>261876.34645608068</v>
      </c>
      <c r="BS110" s="207">
        <v>2077689</v>
      </c>
      <c r="BT110" s="207">
        <v>680804</v>
      </c>
      <c r="BU110" s="207">
        <v>1686262.0985350716</v>
      </c>
      <c r="BV110" s="207">
        <v>83240.06106929644</v>
      </c>
      <c r="BW110" s="207">
        <v>147392.0110943074</v>
      </c>
      <c r="BX110" s="207">
        <v>733409.5022579217</v>
      </c>
      <c r="BY110" s="207">
        <v>1300647.7488145032</v>
      </c>
      <c r="BZ110" s="207">
        <v>1980529.4052533626</v>
      </c>
      <c r="CA110" s="207">
        <v>582317.8350698262</v>
      </c>
      <c r="CB110" s="207">
        <v>1046313.1277298393</v>
      </c>
      <c r="CC110" s="207">
        <v>1908.27</v>
      </c>
      <c r="CD110" s="207">
        <v>7905.22807848356</v>
      </c>
      <c r="CE110" s="207">
        <v>916393.66</v>
      </c>
      <c r="CF110" s="207">
        <v>11392742.294358691</v>
      </c>
      <c r="CG110" s="207">
        <v>7554493.094975127</v>
      </c>
      <c r="CH110" s="207">
        <v>0</v>
      </c>
      <c r="CI110" s="207">
        <v>17526489.7371572</v>
      </c>
      <c r="CJ110" s="207">
        <v>-2570835</v>
      </c>
      <c r="CK110" s="207">
        <v>0</v>
      </c>
      <c r="CL110" s="207">
        <v>0</v>
      </c>
      <c r="CM110" s="207">
        <v>429248.65611999994</v>
      </c>
      <c r="CN110" s="207">
        <v>60338322.35227886</v>
      </c>
      <c r="CO110" s="207">
        <v>60767571.00839886</v>
      </c>
      <c r="CP110" s="207">
        <v>21501</v>
      </c>
    </row>
    <row r="111" spans="1:94" ht="9.75">
      <c r="A111" s="175">
        <v>304</v>
      </c>
      <c r="B111" s="175" t="s">
        <v>168</v>
      </c>
      <c r="C111" s="207">
        <v>923</v>
      </c>
      <c r="D111" s="207">
        <v>2890209.4200000004</v>
      </c>
      <c r="E111" s="207">
        <v>1232202.8924619926</v>
      </c>
      <c r="F111" s="207">
        <v>627009.0041852336</v>
      </c>
      <c r="G111" s="207">
        <v>4749421.316647226</v>
      </c>
      <c r="H111" s="207">
        <v>3524.51</v>
      </c>
      <c r="I111" s="207">
        <v>3253122.73</v>
      </c>
      <c r="J111" s="207">
        <v>1496298.586647226</v>
      </c>
      <c r="K111" s="207">
        <v>124406.84750645711</v>
      </c>
      <c r="L111" s="207">
        <v>365476.33164798096</v>
      </c>
      <c r="M111" s="207">
        <v>0</v>
      </c>
      <c r="N111" s="207">
        <v>1986181.765801664</v>
      </c>
      <c r="O111" s="207">
        <v>310373.38071402366</v>
      </c>
      <c r="P111" s="207">
        <v>2296555.1465156875</v>
      </c>
      <c r="Q111" s="207">
        <v>28</v>
      </c>
      <c r="R111" s="207">
        <v>5</v>
      </c>
      <c r="S111" s="207">
        <v>35</v>
      </c>
      <c r="T111" s="207">
        <v>10</v>
      </c>
      <c r="U111" s="207">
        <v>23</v>
      </c>
      <c r="V111" s="207">
        <v>471</v>
      </c>
      <c r="W111" s="207">
        <v>226</v>
      </c>
      <c r="X111" s="207">
        <v>84</v>
      </c>
      <c r="Y111" s="207">
        <v>41</v>
      </c>
      <c r="Z111" s="207">
        <v>13</v>
      </c>
      <c r="AA111" s="207">
        <v>0</v>
      </c>
      <c r="AB111" s="207">
        <v>878</v>
      </c>
      <c r="AC111" s="207">
        <v>32</v>
      </c>
      <c r="AD111" s="207">
        <v>351</v>
      </c>
      <c r="AE111" s="207">
        <v>1.1779010531808198</v>
      </c>
      <c r="AF111" s="207">
        <v>1232202.8924619926</v>
      </c>
      <c r="AG111" s="207">
        <v>40014095.5155187</v>
      </c>
      <c r="AH111" s="207">
        <v>12075845.599328289</v>
      </c>
      <c r="AI111" s="207">
        <v>3439864.823933077</v>
      </c>
      <c r="AJ111" s="207">
        <v>36</v>
      </c>
      <c r="AK111" s="207">
        <v>365</v>
      </c>
      <c r="AL111" s="207">
        <v>0.8523812788329428</v>
      </c>
      <c r="AM111" s="207">
        <v>32</v>
      </c>
      <c r="AN111" s="207">
        <v>0.03466955579631636</v>
      </c>
      <c r="AO111" s="207">
        <v>0.029728844333865766</v>
      </c>
      <c r="AP111" s="207">
        <v>0</v>
      </c>
      <c r="AQ111" s="207">
        <v>13</v>
      </c>
      <c r="AR111" s="207">
        <v>0</v>
      </c>
      <c r="AS111" s="207">
        <v>1</v>
      </c>
      <c r="AT111" s="207">
        <v>0</v>
      </c>
      <c r="AU111" s="207">
        <v>165.81</v>
      </c>
      <c r="AV111" s="207">
        <v>5.566612387672637</v>
      </c>
      <c r="AW111" s="207">
        <v>3.257965645436554</v>
      </c>
      <c r="AX111" s="207">
        <v>41</v>
      </c>
      <c r="AY111" s="207">
        <v>220</v>
      </c>
      <c r="AZ111" s="207">
        <v>0.18636363636363637</v>
      </c>
      <c r="BA111" s="207">
        <v>0.12517980027940187</v>
      </c>
      <c r="BB111" s="207">
        <v>0.513933</v>
      </c>
      <c r="BC111" s="207">
        <v>262</v>
      </c>
      <c r="BD111" s="207">
        <v>318</v>
      </c>
      <c r="BE111" s="207">
        <v>0.8238993710691824</v>
      </c>
      <c r="BF111" s="207">
        <v>0.41499248847808934</v>
      </c>
      <c r="BG111" s="207">
        <v>0</v>
      </c>
      <c r="BH111" s="207">
        <v>0</v>
      </c>
      <c r="BI111" s="207">
        <v>0</v>
      </c>
      <c r="BJ111" s="207">
        <v>-221.51999999999998</v>
      </c>
      <c r="BK111" s="207">
        <v>-3784.2999999999997</v>
      </c>
      <c r="BL111" s="207">
        <v>-258.44</v>
      </c>
      <c r="BM111" s="207">
        <v>-359.97</v>
      </c>
      <c r="BN111" s="207">
        <v>-18.46</v>
      </c>
      <c r="BO111" s="207">
        <v>14097</v>
      </c>
      <c r="BP111" s="207">
        <v>-24130.55991315602</v>
      </c>
      <c r="BQ111" s="207">
        <v>-83706.87</v>
      </c>
      <c r="BR111" s="207">
        <v>44742.655345892534</v>
      </c>
      <c r="BS111" s="207">
        <v>85842</v>
      </c>
      <c r="BT111" s="207">
        <v>32620</v>
      </c>
      <c r="BU111" s="207">
        <v>75487.32994316822</v>
      </c>
      <c r="BV111" s="207">
        <v>4273.189155356878</v>
      </c>
      <c r="BW111" s="207">
        <v>8143.4788131842</v>
      </c>
      <c r="BX111" s="207">
        <v>29434.574132182515</v>
      </c>
      <c r="BY111" s="207">
        <v>45615.810298082986</v>
      </c>
      <c r="BZ111" s="207">
        <v>79648.67830292518</v>
      </c>
      <c r="CA111" s="207">
        <v>28605.933380118007</v>
      </c>
      <c r="CB111" s="207">
        <v>43665.68596173301</v>
      </c>
      <c r="CC111" s="207">
        <v>83.07</v>
      </c>
      <c r="CD111" s="207">
        <v>-4288.403771506481</v>
      </c>
      <c r="CE111" s="207">
        <v>39892.06</v>
      </c>
      <c r="CF111" s="207">
        <v>527863.061561137</v>
      </c>
      <c r="CG111" s="207">
        <v>365476.33164798096</v>
      </c>
      <c r="CH111" s="207">
        <v>0</v>
      </c>
      <c r="CI111" s="207">
        <v>310373.38071402366</v>
      </c>
      <c r="CJ111" s="207">
        <v>-181567</v>
      </c>
      <c r="CK111" s="207">
        <v>0</v>
      </c>
      <c r="CL111" s="207">
        <v>0</v>
      </c>
      <c r="CM111" s="207">
        <v>-105602.72</v>
      </c>
      <c r="CN111" s="207">
        <v>2114988.1465156875</v>
      </c>
      <c r="CO111" s="207">
        <v>2009385.4265156873</v>
      </c>
      <c r="CP111" s="207">
        <v>908</v>
      </c>
    </row>
    <row r="112" spans="1:94" ht="9.75">
      <c r="A112" s="175">
        <v>305</v>
      </c>
      <c r="B112" s="175" t="s">
        <v>169</v>
      </c>
      <c r="C112" s="207">
        <v>15386</v>
      </c>
      <c r="D112" s="207">
        <v>52355395.88999999</v>
      </c>
      <c r="E112" s="207">
        <v>25240562.512936838</v>
      </c>
      <c r="F112" s="207">
        <v>5532622.3570332285</v>
      </c>
      <c r="G112" s="207">
        <v>83128580.75997005</v>
      </c>
      <c r="H112" s="207">
        <v>3524.51</v>
      </c>
      <c r="I112" s="207">
        <v>54228110.86000001</v>
      </c>
      <c r="J112" s="207">
        <v>28900469.899970047</v>
      </c>
      <c r="K112" s="207">
        <v>3088486.569206776</v>
      </c>
      <c r="L112" s="207">
        <v>4470853.3132965425</v>
      </c>
      <c r="M112" s="207">
        <v>0</v>
      </c>
      <c r="N112" s="207">
        <v>36459809.78247336</v>
      </c>
      <c r="O112" s="207">
        <v>10633822.194996601</v>
      </c>
      <c r="P112" s="207">
        <v>47093631.977469966</v>
      </c>
      <c r="Q112" s="207">
        <v>853</v>
      </c>
      <c r="R112" s="207">
        <v>175</v>
      </c>
      <c r="S112" s="207">
        <v>1031</v>
      </c>
      <c r="T112" s="207">
        <v>479</v>
      </c>
      <c r="U112" s="207">
        <v>524</v>
      </c>
      <c r="V112" s="207">
        <v>8398</v>
      </c>
      <c r="W112" s="207">
        <v>2140</v>
      </c>
      <c r="X112" s="207">
        <v>1342</v>
      </c>
      <c r="Y112" s="207">
        <v>444</v>
      </c>
      <c r="Z112" s="207">
        <v>36</v>
      </c>
      <c r="AA112" s="207">
        <v>5</v>
      </c>
      <c r="AB112" s="207">
        <v>15081</v>
      </c>
      <c r="AC112" s="207">
        <v>264</v>
      </c>
      <c r="AD112" s="207">
        <v>3926</v>
      </c>
      <c r="AE112" s="207">
        <v>1.4474433938944513</v>
      </c>
      <c r="AF112" s="207">
        <v>25240562.512936838</v>
      </c>
      <c r="AG112" s="207">
        <v>1443872.1116019217</v>
      </c>
      <c r="AH112" s="207">
        <v>370835.1867537107</v>
      </c>
      <c r="AI112" s="207">
        <v>98281.85211237363</v>
      </c>
      <c r="AJ112" s="207">
        <v>844</v>
      </c>
      <c r="AK112" s="207">
        <v>6803</v>
      </c>
      <c r="AL112" s="207">
        <v>1.0721763958599815</v>
      </c>
      <c r="AM112" s="207">
        <v>264</v>
      </c>
      <c r="AN112" s="207">
        <v>0.017158455738983492</v>
      </c>
      <c r="AO112" s="207">
        <v>0.0122177442765329</v>
      </c>
      <c r="AP112" s="207">
        <v>0</v>
      </c>
      <c r="AQ112" s="207">
        <v>36</v>
      </c>
      <c r="AR112" s="207">
        <v>5</v>
      </c>
      <c r="AS112" s="207">
        <v>0</v>
      </c>
      <c r="AT112" s="207">
        <v>0</v>
      </c>
      <c r="AU112" s="207">
        <v>4978.28</v>
      </c>
      <c r="AV112" s="207">
        <v>3.090625677944993</v>
      </c>
      <c r="AW112" s="207">
        <v>5.868013085479121</v>
      </c>
      <c r="AX112" s="207">
        <v>445</v>
      </c>
      <c r="AY112" s="207">
        <v>4273</v>
      </c>
      <c r="AZ112" s="207">
        <v>0.10414228879007723</v>
      </c>
      <c r="BA112" s="207">
        <v>0.04295845270584273</v>
      </c>
      <c r="BB112" s="207">
        <v>0.769082</v>
      </c>
      <c r="BC112" s="207">
        <v>5832</v>
      </c>
      <c r="BD112" s="207">
        <v>5747</v>
      </c>
      <c r="BE112" s="207">
        <v>1.0147903253871584</v>
      </c>
      <c r="BF112" s="207">
        <v>0.6058834427960653</v>
      </c>
      <c r="BG112" s="207">
        <v>0</v>
      </c>
      <c r="BH112" s="207">
        <v>5</v>
      </c>
      <c r="BI112" s="207">
        <v>0</v>
      </c>
      <c r="BJ112" s="207">
        <v>-3692.64</v>
      </c>
      <c r="BK112" s="207">
        <v>-63082.59999999999</v>
      </c>
      <c r="BL112" s="207">
        <v>-4308.080000000001</v>
      </c>
      <c r="BM112" s="207">
        <v>-6000.54</v>
      </c>
      <c r="BN112" s="207">
        <v>-307.72</v>
      </c>
      <c r="BO112" s="207">
        <v>250403</v>
      </c>
      <c r="BP112" s="207">
        <v>-342220.6152435285</v>
      </c>
      <c r="BQ112" s="207">
        <v>-1395356.3399999999</v>
      </c>
      <c r="BR112" s="207">
        <v>-579082.7256268188</v>
      </c>
      <c r="BS112" s="207">
        <v>1313963</v>
      </c>
      <c r="BT112" s="207">
        <v>435634</v>
      </c>
      <c r="BU112" s="207">
        <v>1098414.486511707</v>
      </c>
      <c r="BV112" s="207">
        <v>52714.551751714826</v>
      </c>
      <c r="BW112" s="207">
        <v>141116.00218029704</v>
      </c>
      <c r="BX112" s="207">
        <v>546955.3250817208</v>
      </c>
      <c r="BY112" s="207">
        <v>838660.793254376</v>
      </c>
      <c r="BZ112" s="207">
        <v>1266459.4287688755</v>
      </c>
      <c r="CA112" s="207">
        <v>388094.8259751491</v>
      </c>
      <c r="CB112" s="207">
        <v>695696.6055543876</v>
      </c>
      <c r="CC112" s="207">
        <v>1384.74</v>
      </c>
      <c r="CD112" s="207">
        <v>2345.9150886613643</v>
      </c>
      <c r="CE112" s="207">
        <v>664982.9199999999</v>
      </c>
      <c r="CF112" s="207">
        <v>7117742.868540071</v>
      </c>
      <c r="CG112" s="207">
        <v>4470853.3132965425</v>
      </c>
      <c r="CH112" s="207">
        <v>0</v>
      </c>
      <c r="CI112" s="207">
        <v>10633822.194996601</v>
      </c>
      <c r="CJ112" s="207">
        <v>-1424649</v>
      </c>
      <c r="CK112" s="207">
        <v>0</v>
      </c>
      <c r="CL112" s="207">
        <v>0</v>
      </c>
      <c r="CM112" s="207">
        <v>-8606.621679999997</v>
      </c>
      <c r="CN112" s="207">
        <v>45668982.977469966</v>
      </c>
      <c r="CO112" s="207">
        <v>45660376.35578997</v>
      </c>
      <c r="CP112" s="207">
        <v>15533</v>
      </c>
    </row>
    <row r="113" spans="1:94" ht="9.75">
      <c r="A113" s="175">
        <v>312</v>
      </c>
      <c r="B113" s="175" t="s">
        <v>170</v>
      </c>
      <c r="C113" s="207">
        <v>1352</v>
      </c>
      <c r="D113" s="207">
        <v>4791828</v>
      </c>
      <c r="E113" s="207">
        <v>1975665.166720102</v>
      </c>
      <c r="F113" s="207">
        <v>521647.7299479377</v>
      </c>
      <c r="G113" s="207">
        <v>7289140.896668039</v>
      </c>
      <c r="H113" s="207">
        <v>3524.51</v>
      </c>
      <c r="I113" s="207">
        <v>4765137.5200000005</v>
      </c>
      <c r="J113" s="207">
        <v>2524003.376668039</v>
      </c>
      <c r="K113" s="207">
        <v>293804.27192909323</v>
      </c>
      <c r="L113" s="207">
        <v>517833.1338072231</v>
      </c>
      <c r="M113" s="207">
        <v>0</v>
      </c>
      <c r="N113" s="207">
        <v>3335640.7824043552</v>
      </c>
      <c r="O113" s="207">
        <v>1132489.153762601</v>
      </c>
      <c r="P113" s="207">
        <v>4468129.936166956</v>
      </c>
      <c r="Q113" s="207">
        <v>83</v>
      </c>
      <c r="R113" s="207">
        <v>17</v>
      </c>
      <c r="S113" s="207">
        <v>85</v>
      </c>
      <c r="T113" s="207">
        <v>42</v>
      </c>
      <c r="U113" s="207">
        <v>45</v>
      </c>
      <c r="V113" s="207">
        <v>667</v>
      </c>
      <c r="W113" s="207">
        <v>237</v>
      </c>
      <c r="X113" s="207">
        <v>135</v>
      </c>
      <c r="Y113" s="207">
        <v>41</v>
      </c>
      <c r="Z113" s="207">
        <v>2</v>
      </c>
      <c r="AA113" s="207">
        <v>0</v>
      </c>
      <c r="AB113" s="207">
        <v>1334</v>
      </c>
      <c r="AC113" s="207">
        <v>16</v>
      </c>
      <c r="AD113" s="207">
        <v>413</v>
      </c>
      <c r="AE113" s="207">
        <v>1.2893325249363032</v>
      </c>
      <c r="AF113" s="207">
        <v>1975665.166720102</v>
      </c>
      <c r="AG113" s="207">
        <v>15381851.178888047</v>
      </c>
      <c r="AH113" s="207">
        <v>3587539.2354756347</v>
      </c>
      <c r="AI113" s="207">
        <v>1313402.9327744471</v>
      </c>
      <c r="AJ113" s="207">
        <v>66</v>
      </c>
      <c r="AK113" s="207">
        <v>554</v>
      </c>
      <c r="AL113" s="207">
        <v>1.029576063331608</v>
      </c>
      <c r="AM113" s="207">
        <v>16</v>
      </c>
      <c r="AN113" s="207">
        <v>0.011834319526627219</v>
      </c>
      <c r="AO113" s="207">
        <v>0.006893608064176626</v>
      </c>
      <c r="AP113" s="207">
        <v>0</v>
      </c>
      <c r="AQ113" s="207">
        <v>2</v>
      </c>
      <c r="AR113" s="207">
        <v>0</v>
      </c>
      <c r="AS113" s="207">
        <v>0</v>
      </c>
      <c r="AT113" s="207">
        <v>0</v>
      </c>
      <c r="AU113" s="207">
        <v>448.21</v>
      </c>
      <c r="AV113" s="207">
        <v>3.0164431851141207</v>
      </c>
      <c r="AW113" s="207">
        <v>6.012323391336433</v>
      </c>
      <c r="AX113" s="207">
        <v>60</v>
      </c>
      <c r="AY113" s="207">
        <v>311</v>
      </c>
      <c r="AZ113" s="207">
        <v>0.19292604501607716</v>
      </c>
      <c r="BA113" s="207">
        <v>0.13174220893184266</v>
      </c>
      <c r="BB113" s="207">
        <v>0.835116</v>
      </c>
      <c r="BC113" s="207">
        <v>486</v>
      </c>
      <c r="BD113" s="207">
        <v>460</v>
      </c>
      <c r="BE113" s="207">
        <v>1.0565217391304347</v>
      </c>
      <c r="BF113" s="207">
        <v>0.6476148565393416</v>
      </c>
      <c r="BG113" s="207">
        <v>0</v>
      </c>
      <c r="BH113" s="207">
        <v>0</v>
      </c>
      <c r="BI113" s="207">
        <v>0</v>
      </c>
      <c r="BJ113" s="207">
        <v>-324.47999999999996</v>
      </c>
      <c r="BK113" s="207">
        <v>-5543.2</v>
      </c>
      <c r="BL113" s="207">
        <v>-378.56000000000006</v>
      </c>
      <c r="BM113" s="207">
        <v>-527.28</v>
      </c>
      <c r="BN113" s="207">
        <v>-27.04</v>
      </c>
      <c r="BO113" s="207">
        <v>11212</v>
      </c>
      <c r="BP113" s="207">
        <v>-27918.5737927114</v>
      </c>
      <c r="BQ113" s="207">
        <v>-122612.87999999999</v>
      </c>
      <c r="BR113" s="207">
        <v>-17635.270867861807</v>
      </c>
      <c r="BS113" s="207">
        <v>144901</v>
      </c>
      <c r="BT113" s="207">
        <v>45985</v>
      </c>
      <c r="BU113" s="207">
        <v>129179.66506163221</v>
      </c>
      <c r="BV113" s="207">
        <v>6978.775756307908</v>
      </c>
      <c r="BW113" s="207">
        <v>17248.587342765153</v>
      </c>
      <c r="BX113" s="207">
        <v>61124.31556323072</v>
      </c>
      <c r="BY113" s="207">
        <v>69743.67295566997</v>
      </c>
      <c r="BZ113" s="207">
        <v>130961.70997997127</v>
      </c>
      <c r="CA113" s="207">
        <v>33993.843416983786</v>
      </c>
      <c r="CB113" s="207">
        <v>69898.03397201427</v>
      </c>
      <c r="CC113" s="207">
        <v>121.67999999999999</v>
      </c>
      <c r="CD113" s="207">
        <v>-13878.66558077902</v>
      </c>
      <c r="CE113" s="207">
        <v>58433.439999999995</v>
      </c>
      <c r="CF113" s="207">
        <v>748267.7875999345</v>
      </c>
      <c r="CG113" s="207">
        <v>517833.1338072231</v>
      </c>
      <c r="CH113" s="207">
        <v>0</v>
      </c>
      <c r="CI113" s="207">
        <v>1132489.153762601</v>
      </c>
      <c r="CJ113" s="207">
        <v>-334739</v>
      </c>
      <c r="CK113" s="207">
        <v>0</v>
      </c>
      <c r="CL113" s="207">
        <v>0</v>
      </c>
      <c r="CM113" s="207">
        <v>23826.6137</v>
      </c>
      <c r="CN113" s="207">
        <v>4133390.936166956</v>
      </c>
      <c r="CO113" s="207">
        <v>4157217.5498669557</v>
      </c>
      <c r="CP113" s="207">
        <v>1375</v>
      </c>
    </row>
    <row r="114" spans="1:94" ht="9.75">
      <c r="A114" s="175">
        <v>316</v>
      </c>
      <c r="B114" s="175" t="s">
        <v>171</v>
      </c>
      <c r="C114" s="207">
        <v>4508</v>
      </c>
      <c r="D114" s="207">
        <v>14781737.16</v>
      </c>
      <c r="E114" s="207">
        <v>5138729.752976161</v>
      </c>
      <c r="F114" s="207">
        <v>1098766.94074171</v>
      </c>
      <c r="G114" s="207">
        <v>21019233.85371787</v>
      </c>
      <c r="H114" s="207">
        <v>3524.51</v>
      </c>
      <c r="I114" s="207">
        <v>15888491.08</v>
      </c>
      <c r="J114" s="207">
        <v>5130742.773717871</v>
      </c>
      <c r="K114" s="207">
        <v>157164.43571796507</v>
      </c>
      <c r="L114" s="207">
        <v>1160164.7597365868</v>
      </c>
      <c r="M114" s="207">
        <v>0</v>
      </c>
      <c r="N114" s="207">
        <v>6448071.969172424</v>
      </c>
      <c r="O114" s="207">
        <v>2582984.8793556634</v>
      </c>
      <c r="P114" s="207">
        <v>9031056.848528087</v>
      </c>
      <c r="Q114" s="207">
        <v>223</v>
      </c>
      <c r="R114" s="207">
        <v>45</v>
      </c>
      <c r="S114" s="207">
        <v>300</v>
      </c>
      <c r="T114" s="207">
        <v>151</v>
      </c>
      <c r="U114" s="207">
        <v>142</v>
      </c>
      <c r="V114" s="207">
        <v>2495</v>
      </c>
      <c r="W114" s="207">
        <v>718</v>
      </c>
      <c r="X114" s="207">
        <v>310</v>
      </c>
      <c r="Y114" s="207">
        <v>124</v>
      </c>
      <c r="Z114" s="207">
        <v>21</v>
      </c>
      <c r="AA114" s="207">
        <v>1</v>
      </c>
      <c r="AB114" s="207">
        <v>4323</v>
      </c>
      <c r="AC114" s="207">
        <v>163</v>
      </c>
      <c r="AD114" s="207">
        <v>1152</v>
      </c>
      <c r="AE114" s="207">
        <v>1.0057734299806895</v>
      </c>
      <c r="AF114" s="207">
        <v>5138729.752976161</v>
      </c>
      <c r="AG114" s="207">
        <v>2640345.7008842337</v>
      </c>
      <c r="AH114" s="207">
        <v>712105.7191528523</v>
      </c>
      <c r="AI114" s="207">
        <v>196563.7042247472</v>
      </c>
      <c r="AJ114" s="207">
        <v>240</v>
      </c>
      <c r="AK114" s="207">
        <v>2123</v>
      </c>
      <c r="AL114" s="207">
        <v>0.9769796413064032</v>
      </c>
      <c r="AM114" s="207">
        <v>163</v>
      </c>
      <c r="AN114" s="207">
        <v>0.036157941437444545</v>
      </c>
      <c r="AO114" s="207">
        <v>0.031217229974993953</v>
      </c>
      <c r="AP114" s="207">
        <v>0</v>
      </c>
      <c r="AQ114" s="207">
        <v>21</v>
      </c>
      <c r="AR114" s="207">
        <v>1</v>
      </c>
      <c r="AS114" s="207">
        <v>0</v>
      </c>
      <c r="AT114" s="207">
        <v>0</v>
      </c>
      <c r="AU114" s="207">
        <v>256.49</v>
      </c>
      <c r="AV114" s="207">
        <v>17.575733946742563</v>
      </c>
      <c r="AW114" s="207">
        <v>1.0318676861776372</v>
      </c>
      <c r="AX114" s="207">
        <v>290</v>
      </c>
      <c r="AY114" s="207">
        <v>1372</v>
      </c>
      <c r="AZ114" s="207">
        <v>0.21137026239067055</v>
      </c>
      <c r="BA114" s="207">
        <v>0.15018642630643605</v>
      </c>
      <c r="BB114" s="207">
        <v>0</v>
      </c>
      <c r="BC114" s="207">
        <v>1731</v>
      </c>
      <c r="BD114" s="207">
        <v>1814</v>
      </c>
      <c r="BE114" s="207">
        <v>0.954244762954796</v>
      </c>
      <c r="BF114" s="207">
        <v>0.5453378803637029</v>
      </c>
      <c r="BG114" s="207">
        <v>0</v>
      </c>
      <c r="BH114" s="207">
        <v>1</v>
      </c>
      <c r="BI114" s="207">
        <v>0</v>
      </c>
      <c r="BJ114" s="207">
        <v>-1081.92</v>
      </c>
      <c r="BK114" s="207">
        <v>-18482.8</v>
      </c>
      <c r="BL114" s="207">
        <v>-1262.24</v>
      </c>
      <c r="BM114" s="207">
        <v>-1758.1200000000001</v>
      </c>
      <c r="BN114" s="207">
        <v>-90.16</v>
      </c>
      <c r="BO114" s="207">
        <v>7835</v>
      </c>
      <c r="BP114" s="207">
        <v>-325459.66404755856</v>
      </c>
      <c r="BQ114" s="207">
        <v>-408830.52</v>
      </c>
      <c r="BR114" s="207">
        <v>-35237.641212861985</v>
      </c>
      <c r="BS114" s="207">
        <v>389680</v>
      </c>
      <c r="BT114" s="207">
        <v>123884</v>
      </c>
      <c r="BU114" s="207">
        <v>273763.615764534</v>
      </c>
      <c r="BV114" s="207">
        <v>13590.197081574734</v>
      </c>
      <c r="BW114" s="207">
        <v>61909.680832856684</v>
      </c>
      <c r="BX114" s="207">
        <v>128987.01462709896</v>
      </c>
      <c r="BY114" s="207">
        <v>247071.45361683314</v>
      </c>
      <c r="BZ114" s="207">
        <v>415674.0463340416</v>
      </c>
      <c r="CA114" s="207">
        <v>112439.5435973581</v>
      </c>
      <c r="CB114" s="207">
        <v>194656.08423247086</v>
      </c>
      <c r="CC114" s="207">
        <v>405.71999999999997</v>
      </c>
      <c r="CD114" s="207">
        <v>31383.268910239327</v>
      </c>
      <c r="CE114" s="207">
        <v>194835.76</v>
      </c>
      <c r="CF114" s="207">
        <v>2160877.7437841455</v>
      </c>
      <c r="CG114" s="207">
        <v>1160164.7597365868</v>
      </c>
      <c r="CH114" s="207">
        <v>0</v>
      </c>
      <c r="CI114" s="207">
        <v>2582984.8793556634</v>
      </c>
      <c r="CJ114" s="207">
        <v>-1050786</v>
      </c>
      <c r="CK114" s="207">
        <v>0</v>
      </c>
      <c r="CL114" s="207">
        <v>0</v>
      </c>
      <c r="CM114" s="207">
        <v>-197120.67722000007</v>
      </c>
      <c r="CN114" s="207">
        <v>7980270.848528087</v>
      </c>
      <c r="CO114" s="207">
        <v>7783150.171308087</v>
      </c>
      <c r="CP114" s="207">
        <v>4540</v>
      </c>
    </row>
    <row r="115" spans="1:94" ht="9.75">
      <c r="A115" s="175">
        <v>317</v>
      </c>
      <c r="B115" s="175" t="s">
        <v>172</v>
      </c>
      <c r="C115" s="207">
        <v>2611</v>
      </c>
      <c r="D115" s="207">
        <v>9865135.04</v>
      </c>
      <c r="E115" s="207">
        <v>4712916.76767983</v>
      </c>
      <c r="F115" s="207">
        <v>797792.3656604253</v>
      </c>
      <c r="G115" s="207">
        <v>15375844.173340254</v>
      </c>
      <c r="H115" s="207">
        <v>3524.51</v>
      </c>
      <c r="I115" s="207">
        <v>9202495.610000001</v>
      </c>
      <c r="J115" s="207">
        <v>6173348.563340252</v>
      </c>
      <c r="K115" s="207">
        <v>589147.7648740002</v>
      </c>
      <c r="L115" s="207">
        <v>1195837.446940699</v>
      </c>
      <c r="M115" s="207">
        <v>0</v>
      </c>
      <c r="N115" s="207">
        <v>7958333.775154951</v>
      </c>
      <c r="O115" s="207">
        <v>3034102.5482206345</v>
      </c>
      <c r="P115" s="207">
        <v>10992436.323375586</v>
      </c>
      <c r="Q115" s="207">
        <v>166</v>
      </c>
      <c r="R115" s="207">
        <v>28</v>
      </c>
      <c r="S115" s="207">
        <v>214</v>
      </c>
      <c r="T115" s="207">
        <v>116</v>
      </c>
      <c r="U115" s="207">
        <v>102</v>
      </c>
      <c r="V115" s="207">
        <v>1296</v>
      </c>
      <c r="W115" s="207">
        <v>369</v>
      </c>
      <c r="X115" s="207">
        <v>239</v>
      </c>
      <c r="Y115" s="207">
        <v>81</v>
      </c>
      <c r="Z115" s="207">
        <v>2</v>
      </c>
      <c r="AA115" s="207">
        <v>0</v>
      </c>
      <c r="AB115" s="207">
        <v>2586</v>
      </c>
      <c r="AC115" s="207">
        <v>23</v>
      </c>
      <c r="AD115" s="207">
        <v>689</v>
      </c>
      <c r="AE115" s="207">
        <v>1.5926164065696444</v>
      </c>
      <c r="AF115" s="207">
        <v>4712916.76767983</v>
      </c>
      <c r="AG115" s="207">
        <v>6385366.156886274</v>
      </c>
      <c r="AH115" s="207">
        <v>1527919.911696078</v>
      </c>
      <c r="AI115" s="207">
        <v>705842.3924434107</v>
      </c>
      <c r="AJ115" s="207">
        <v>113</v>
      </c>
      <c r="AK115" s="207">
        <v>1071</v>
      </c>
      <c r="AL115" s="207">
        <v>0.9118286607911797</v>
      </c>
      <c r="AM115" s="207">
        <v>23</v>
      </c>
      <c r="AN115" s="207">
        <v>0.008808885484488702</v>
      </c>
      <c r="AO115" s="207">
        <v>0.0038681740220381086</v>
      </c>
      <c r="AP115" s="207">
        <v>0</v>
      </c>
      <c r="AQ115" s="207">
        <v>2</v>
      </c>
      <c r="AR115" s="207">
        <v>0</v>
      </c>
      <c r="AS115" s="207">
        <v>0</v>
      </c>
      <c r="AT115" s="207">
        <v>0</v>
      </c>
      <c r="AU115" s="207">
        <v>695.95</v>
      </c>
      <c r="AV115" s="207">
        <v>3.7517063007399956</v>
      </c>
      <c r="AW115" s="207">
        <v>4.834022299912402</v>
      </c>
      <c r="AX115" s="207">
        <v>97</v>
      </c>
      <c r="AY115" s="207">
        <v>672</v>
      </c>
      <c r="AZ115" s="207">
        <v>0.14434523809523808</v>
      </c>
      <c r="BA115" s="207">
        <v>0.08316140201100358</v>
      </c>
      <c r="BB115" s="207">
        <v>0.922233</v>
      </c>
      <c r="BC115" s="207">
        <v>817</v>
      </c>
      <c r="BD115" s="207">
        <v>908</v>
      </c>
      <c r="BE115" s="207">
        <v>0.8997797356828194</v>
      </c>
      <c r="BF115" s="207">
        <v>0.49087285309172635</v>
      </c>
      <c r="BG115" s="207">
        <v>0</v>
      </c>
      <c r="BH115" s="207">
        <v>0</v>
      </c>
      <c r="BI115" s="207">
        <v>0</v>
      </c>
      <c r="BJ115" s="207">
        <v>-626.64</v>
      </c>
      <c r="BK115" s="207">
        <v>-10705.099999999999</v>
      </c>
      <c r="BL115" s="207">
        <v>-731.08</v>
      </c>
      <c r="BM115" s="207">
        <v>-1018.2900000000001</v>
      </c>
      <c r="BN115" s="207">
        <v>-52.22</v>
      </c>
      <c r="BO115" s="207">
        <v>60418</v>
      </c>
      <c r="BP115" s="207">
        <v>-70432.08056805399</v>
      </c>
      <c r="BQ115" s="207">
        <v>-236791.59</v>
      </c>
      <c r="BR115" s="207">
        <v>49000.51558020711</v>
      </c>
      <c r="BS115" s="207">
        <v>296680</v>
      </c>
      <c r="BT115" s="207">
        <v>93301</v>
      </c>
      <c r="BU115" s="207">
        <v>241156.9708270324</v>
      </c>
      <c r="BV115" s="207">
        <v>12942.928733045273</v>
      </c>
      <c r="BW115" s="207">
        <v>34878.62628951513</v>
      </c>
      <c r="BX115" s="207">
        <v>119431.05590188224</v>
      </c>
      <c r="BY115" s="207">
        <v>172131.00315916064</v>
      </c>
      <c r="BZ115" s="207">
        <v>235013.8605017155</v>
      </c>
      <c r="CA115" s="207">
        <v>78449.33164571795</v>
      </c>
      <c r="CB115" s="207">
        <v>136398.27916938005</v>
      </c>
      <c r="CC115" s="207">
        <v>234.98999999999998</v>
      </c>
      <c r="CD115" s="207">
        <v>14487.235701096903</v>
      </c>
      <c r="CE115" s="207">
        <v>112847.42</v>
      </c>
      <c r="CF115" s="207">
        <v>1657371.2175087528</v>
      </c>
      <c r="CG115" s="207">
        <v>1195837.446940699</v>
      </c>
      <c r="CH115" s="207">
        <v>0</v>
      </c>
      <c r="CI115" s="207">
        <v>3034102.5482206345</v>
      </c>
      <c r="CJ115" s="207">
        <v>-50048</v>
      </c>
      <c r="CK115" s="207">
        <v>0</v>
      </c>
      <c r="CL115" s="207">
        <v>0</v>
      </c>
      <c r="CM115" s="207">
        <v>38346.9877</v>
      </c>
      <c r="CN115" s="207">
        <v>10942388.323375586</v>
      </c>
      <c r="CO115" s="207">
        <v>10980735.311075587</v>
      </c>
      <c r="CP115" s="207">
        <v>2655</v>
      </c>
    </row>
    <row r="116" spans="1:94" ht="9.75">
      <c r="A116" s="175">
        <v>398</v>
      </c>
      <c r="B116" s="175" t="s">
        <v>173</v>
      </c>
      <c r="C116" s="207">
        <v>119573</v>
      </c>
      <c r="D116" s="207">
        <v>383628427.07000005</v>
      </c>
      <c r="E116" s="207">
        <v>145617433.4868881</v>
      </c>
      <c r="F116" s="207">
        <v>33525400.557290047</v>
      </c>
      <c r="G116" s="207">
        <v>562771261.1141782</v>
      </c>
      <c r="H116" s="207">
        <v>3524.51</v>
      </c>
      <c r="I116" s="207">
        <v>421436234.23</v>
      </c>
      <c r="J116" s="207">
        <v>141335026.88417816</v>
      </c>
      <c r="K116" s="207">
        <v>5134724.748472195</v>
      </c>
      <c r="L116" s="207">
        <v>21666694.506713513</v>
      </c>
      <c r="M116" s="207">
        <v>0</v>
      </c>
      <c r="N116" s="207">
        <v>168136446.13936386</v>
      </c>
      <c r="O116" s="207">
        <v>31293185.912778553</v>
      </c>
      <c r="P116" s="207">
        <v>199429632.0521424</v>
      </c>
      <c r="Q116" s="207">
        <v>6751</v>
      </c>
      <c r="R116" s="207">
        <v>1194</v>
      </c>
      <c r="S116" s="207">
        <v>7402</v>
      </c>
      <c r="T116" s="207">
        <v>3502</v>
      </c>
      <c r="U116" s="207">
        <v>3836</v>
      </c>
      <c r="V116" s="207">
        <v>68825</v>
      </c>
      <c r="W116" s="207">
        <v>16503</v>
      </c>
      <c r="X116" s="207">
        <v>8503</v>
      </c>
      <c r="Y116" s="207">
        <v>3057</v>
      </c>
      <c r="Z116" s="207">
        <v>427</v>
      </c>
      <c r="AA116" s="207">
        <v>12</v>
      </c>
      <c r="AB116" s="207">
        <v>111244</v>
      </c>
      <c r="AC116" s="207">
        <v>7890</v>
      </c>
      <c r="AD116" s="207">
        <v>28063</v>
      </c>
      <c r="AE116" s="207">
        <v>1.0745052307724616</v>
      </c>
      <c r="AF116" s="207">
        <v>145617433.4868881</v>
      </c>
      <c r="AG116" s="207">
        <v>9643925.858905857</v>
      </c>
      <c r="AH116" s="207">
        <v>2063798.620468423</v>
      </c>
      <c r="AI116" s="207">
        <v>1098969.8008929049</v>
      </c>
      <c r="AJ116" s="207">
        <v>8955</v>
      </c>
      <c r="AK116" s="207">
        <v>56498</v>
      </c>
      <c r="AL116" s="207">
        <v>1.369798802347667</v>
      </c>
      <c r="AM116" s="207">
        <v>7890</v>
      </c>
      <c r="AN116" s="207">
        <v>0.06598479589873968</v>
      </c>
      <c r="AO116" s="207">
        <v>0.06104408443628909</v>
      </c>
      <c r="AP116" s="207">
        <v>0</v>
      </c>
      <c r="AQ116" s="207">
        <v>427</v>
      </c>
      <c r="AR116" s="207">
        <v>12</v>
      </c>
      <c r="AS116" s="207">
        <v>0</v>
      </c>
      <c r="AT116" s="207">
        <v>0</v>
      </c>
      <c r="AU116" s="207">
        <v>459.47</v>
      </c>
      <c r="AV116" s="207">
        <v>260.2411474089712</v>
      </c>
      <c r="AW116" s="207">
        <v>0.06968856424537041</v>
      </c>
      <c r="AX116" s="207">
        <v>6021</v>
      </c>
      <c r="AY116" s="207">
        <v>36413</v>
      </c>
      <c r="AZ116" s="207">
        <v>0.16535303325735315</v>
      </c>
      <c r="BA116" s="207">
        <v>0.10416919717311865</v>
      </c>
      <c r="BB116" s="207">
        <v>0</v>
      </c>
      <c r="BC116" s="207">
        <v>50483</v>
      </c>
      <c r="BD116" s="207">
        <v>46717</v>
      </c>
      <c r="BE116" s="207">
        <v>1.080613053064195</v>
      </c>
      <c r="BF116" s="207">
        <v>0.671706170473102</v>
      </c>
      <c r="BG116" s="207">
        <v>0</v>
      </c>
      <c r="BH116" s="207">
        <v>12</v>
      </c>
      <c r="BI116" s="207">
        <v>0</v>
      </c>
      <c r="BJ116" s="207">
        <v>-28697.52</v>
      </c>
      <c r="BK116" s="207">
        <v>-490249.29999999993</v>
      </c>
      <c r="BL116" s="207">
        <v>-33480.44</v>
      </c>
      <c r="BM116" s="207">
        <v>-46633.47</v>
      </c>
      <c r="BN116" s="207">
        <v>-2391.46</v>
      </c>
      <c r="BO116" s="207">
        <v>3879229</v>
      </c>
      <c r="BP116" s="207">
        <v>-13462449.635212168</v>
      </c>
      <c r="BQ116" s="207">
        <v>-10844075.37</v>
      </c>
      <c r="BR116" s="207">
        <v>-194497.132058952</v>
      </c>
      <c r="BS116" s="207">
        <v>8053889</v>
      </c>
      <c r="BT116" s="207">
        <v>2744547</v>
      </c>
      <c r="BU116" s="207">
        <v>6470503.743043369</v>
      </c>
      <c r="BV116" s="207">
        <v>262175.4958546273</v>
      </c>
      <c r="BW116" s="207">
        <v>117375.99346749118</v>
      </c>
      <c r="BX116" s="207">
        <v>3024360.3881341554</v>
      </c>
      <c r="BY116" s="207">
        <v>5639445.098830124</v>
      </c>
      <c r="BZ116" s="207">
        <v>8570366.7796735</v>
      </c>
      <c r="CA116" s="207">
        <v>2792435.931143376</v>
      </c>
      <c r="CB116" s="207">
        <v>4955703.451213543</v>
      </c>
      <c r="CC116" s="207">
        <v>10761.57</v>
      </c>
      <c r="CD116" s="207">
        <v>1545742.4326244416</v>
      </c>
      <c r="CE116" s="207">
        <v>5167945.06</v>
      </c>
      <c r="CF116" s="207">
        <v>53039983.81192568</v>
      </c>
      <c r="CG116" s="207">
        <v>21666694.506713513</v>
      </c>
      <c r="CH116" s="207">
        <v>0</v>
      </c>
      <c r="CI116" s="207">
        <v>31293185.912778553</v>
      </c>
      <c r="CJ116" s="207">
        <v>-5558997</v>
      </c>
      <c r="CK116" s="207">
        <v>0</v>
      </c>
      <c r="CL116" s="207">
        <v>0</v>
      </c>
      <c r="CM116" s="207">
        <v>-5412577.651287997</v>
      </c>
      <c r="CN116" s="207">
        <v>193870635.0521424</v>
      </c>
      <c r="CO116" s="207">
        <v>188458057.4008544</v>
      </c>
      <c r="CP116" s="207">
        <v>119452</v>
      </c>
    </row>
    <row r="117" spans="1:94" ht="9.75">
      <c r="A117" s="175">
        <v>399</v>
      </c>
      <c r="B117" s="175" t="s">
        <v>174</v>
      </c>
      <c r="C117" s="207">
        <v>8051</v>
      </c>
      <c r="D117" s="207">
        <v>29227519.13</v>
      </c>
      <c r="E117" s="207">
        <v>8886398.698794749</v>
      </c>
      <c r="F117" s="207">
        <v>1048208.6044026216</v>
      </c>
      <c r="G117" s="207">
        <v>39162126.43319737</v>
      </c>
      <c r="H117" s="207">
        <v>3524.51</v>
      </c>
      <c r="I117" s="207">
        <v>28375830.01</v>
      </c>
      <c r="J117" s="207">
        <v>10786296.42319737</v>
      </c>
      <c r="K117" s="207">
        <v>65764.056885264</v>
      </c>
      <c r="L117" s="207">
        <v>2051469.4067274788</v>
      </c>
      <c r="M117" s="207">
        <v>0</v>
      </c>
      <c r="N117" s="207">
        <v>12903529.886810113</v>
      </c>
      <c r="O117" s="207">
        <v>3319443.786388838</v>
      </c>
      <c r="P117" s="207">
        <v>16222973.673198951</v>
      </c>
      <c r="Q117" s="207">
        <v>622</v>
      </c>
      <c r="R117" s="207">
        <v>118</v>
      </c>
      <c r="S117" s="207">
        <v>689</v>
      </c>
      <c r="T117" s="207">
        <v>308</v>
      </c>
      <c r="U117" s="207">
        <v>261</v>
      </c>
      <c r="V117" s="207">
        <v>4305</v>
      </c>
      <c r="W117" s="207">
        <v>1036</v>
      </c>
      <c r="X117" s="207">
        <v>488</v>
      </c>
      <c r="Y117" s="207">
        <v>224</v>
      </c>
      <c r="Z117" s="207">
        <v>92</v>
      </c>
      <c r="AA117" s="207">
        <v>0</v>
      </c>
      <c r="AB117" s="207">
        <v>7861</v>
      </c>
      <c r="AC117" s="207">
        <v>98</v>
      </c>
      <c r="AD117" s="207">
        <v>1748</v>
      </c>
      <c r="AE117" s="207">
        <v>0.9738773269263136</v>
      </c>
      <c r="AF117" s="207">
        <v>8886398.698794749</v>
      </c>
      <c r="AG117" s="207">
        <v>176307432.69426218</v>
      </c>
      <c r="AH117" s="207">
        <v>42072979.766811796</v>
      </c>
      <c r="AI117" s="207">
        <v>18611008.904552203</v>
      </c>
      <c r="AJ117" s="207">
        <v>303</v>
      </c>
      <c r="AK117" s="207">
        <v>3791</v>
      </c>
      <c r="AL117" s="207">
        <v>0.6907376207723651</v>
      </c>
      <c r="AM117" s="207">
        <v>98</v>
      </c>
      <c r="AN117" s="207">
        <v>0.012172400943982115</v>
      </c>
      <c r="AO117" s="207">
        <v>0.007231689481531522</v>
      </c>
      <c r="AP117" s="207">
        <v>0</v>
      </c>
      <c r="AQ117" s="207">
        <v>92</v>
      </c>
      <c r="AR117" s="207">
        <v>0</v>
      </c>
      <c r="AS117" s="207">
        <v>0</v>
      </c>
      <c r="AT117" s="207">
        <v>0</v>
      </c>
      <c r="AU117" s="207">
        <v>504.3</v>
      </c>
      <c r="AV117" s="207">
        <v>15.96470354947452</v>
      </c>
      <c r="AW117" s="207">
        <v>1.135995533164532</v>
      </c>
      <c r="AX117" s="207">
        <v>239</v>
      </c>
      <c r="AY117" s="207">
        <v>2600</v>
      </c>
      <c r="AZ117" s="207">
        <v>0.09192307692307693</v>
      </c>
      <c r="BA117" s="207">
        <v>0.030739240838842434</v>
      </c>
      <c r="BB117" s="207">
        <v>0</v>
      </c>
      <c r="BC117" s="207">
        <v>1829</v>
      </c>
      <c r="BD117" s="207">
        <v>3408</v>
      </c>
      <c r="BE117" s="207">
        <v>0.5366784037558685</v>
      </c>
      <c r="BF117" s="207">
        <v>0.12777152116477541</v>
      </c>
      <c r="BG117" s="207">
        <v>0</v>
      </c>
      <c r="BH117" s="207">
        <v>0</v>
      </c>
      <c r="BI117" s="207">
        <v>0</v>
      </c>
      <c r="BJ117" s="207">
        <v>-1932.24</v>
      </c>
      <c r="BK117" s="207">
        <v>-33009.1</v>
      </c>
      <c r="BL117" s="207">
        <v>-2254.28</v>
      </c>
      <c r="BM117" s="207">
        <v>-3139.8900000000003</v>
      </c>
      <c r="BN117" s="207">
        <v>-161.02</v>
      </c>
      <c r="BO117" s="207">
        <v>-80765</v>
      </c>
      <c r="BP117" s="207">
        <v>-41140.46502848435</v>
      </c>
      <c r="BQ117" s="207">
        <v>-730145.19</v>
      </c>
      <c r="BR117" s="207">
        <v>-82669.05663659237</v>
      </c>
      <c r="BS117" s="207">
        <v>630442</v>
      </c>
      <c r="BT117" s="207">
        <v>196494</v>
      </c>
      <c r="BU117" s="207">
        <v>488277.6115921374</v>
      </c>
      <c r="BV117" s="207">
        <v>13438.707080138607</v>
      </c>
      <c r="BW117" s="207">
        <v>56865.71957189152</v>
      </c>
      <c r="BX117" s="207">
        <v>183097.91458002324</v>
      </c>
      <c r="BY117" s="207">
        <v>402271.6029004239</v>
      </c>
      <c r="BZ117" s="207">
        <v>650793.6444336704</v>
      </c>
      <c r="CA117" s="207">
        <v>171958.51660430492</v>
      </c>
      <c r="CB117" s="207">
        <v>332204.5728419575</v>
      </c>
      <c r="CC117" s="207">
        <v>724.5899999999999</v>
      </c>
      <c r="CD117" s="207">
        <v>-12529.881211991415</v>
      </c>
      <c r="CE117" s="207">
        <v>347964.22</v>
      </c>
      <c r="CF117" s="207">
        <v>3298569.161755963</v>
      </c>
      <c r="CG117" s="207">
        <v>2051469.4067274788</v>
      </c>
      <c r="CH117" s="207">
        <v>0</v>
      </c>
      <c r="CI117" s="207">
        <v>3319443.786388838</v>
      </c>
      <c r="CJ117" s="207">
        <v>-632011</v>
      </c>
      <c r="CK117" s="207">
        <v>0</v>
      </c>
      <c r="CL117" s="207">
        <v>0</v>
      </c>
      <c r="CM117" s="207">
        <v>-75185.176538</v>
      </c>
      <c r="CN117" s="207">
        <v>15590962.673198951</v>
      </c>
      <c r="CO117" s="207">
        <v>15515777.496660952</v>
      </c>
      <c r="CP117" s="207">
        <v>8139</v>
      </c>
    </row>
    <row r="118" spans="1:94" ht="9.75">
      <c r="A118" s="175">
        <v>400</v>
      </c>
      <c r="B118" s="175" t="s">
        <v>175</v>
      </c>
      <c r="C118" s="207">
        <v>8610</v>
      </c>
      <c r="D118" s="207">
        <v>30244701.79</v>
      </c>
      <c r="E118" s="207">
        <v>10195730.596258055</v>
      </c>
      <c r="F118" s="207">
        <v>1990317.7315606456</v>
      </c>
      <c r="G118" s="207">
        <v>42430750.1178187</v>
      </c>
      <c r="H118" s="207">
        <v>3524.51</v>
      </c>
      <c r="I118" s="207">
        <v>30346031.1</v>
      </c>
      <c r="J118" s="207">
        <v>12084719.017818697</v>
      </c>
      <c r="K118" s="207">
        <v>327533.4999336467</v>
      </c>
      <c r="L118" s="207">
        <v>2755021.033931122</v>
      </c>
      <c r="M118" s="207">
        <v>0</v>
      </c>
      <c r="N118" s="207">
        <v>15167273.551683467</v>
      </c>
      <c r="O118" s="207">
        <v>4629078.129740378</v>
      </c>
      <c r="P118" s="207">
        <v>19796351.681423843</v>
      </c>
      <c r="Q118" s="207">
        <v>570</v>
      </c>
      <c r="R118" s="207">
        <v>100</v>
      </c>
      <c r="S118" s="207">
        <v>595</v>
      </c>
      <c r="T118" s="207">
        <v>281</v>
      </c>
      <c r="U118" s="207">
        <v>307</v>
      </c>
      <c r="V118" s="207">
        <v>4716</v>
      </c>
      <c r="W118" s="207">
        <v>1132</v>
      </c>
      <c r="X118" s="207">
        <v>628</v>
      </c>
      <c r="Y118" s="207">
        <v>281</v>
      </c>
      <c r="Z118" s="207">
        <v>33</v>
      </c>
      <c r="AA118" s="207">
        <v>0</v>
      </c>
      <c r="AB118" s="207">
        <v>8114</v>
      </c>
      <c r="AC118" s="207">
        <v>463</v>
      </c>
      <c r="AD118" s="207">
        <v>2041</v>
      </c>
      <c r="AE118" s="207">
        <v>1.0448248355254643</v>
      </c>
      <c r="AF118" s="207">
        <v>10195730.596258055</v>
      </c>
      <c r="AG118" s="207">
        <v>11390661.056161223</v>
      </c>
      <c r="AH118" s="207">
        <v>2527700.552932524</v>
      </c>
      <c r="AI118" s="207">
        <v>1197251.6530052787</v>
      </c>
      <c r="AJ118" s="207">
        <v>242</v>
      </c>
      <c r="AK118" s="207">
        <v>3903</v>
      </c>
      <c r="AL118" s="207">
        <v>0.5358473422105064</v>
      </c>
      <c r="AM118" s="207">
        <v>463</v>
      </c>
      <c r="AN118" s="207">
        <v>0.053774680603948896</v>
      </c>
      <c r="AO118" s="207">
        <v>0.048833969141498304</v>
      </c>
      <c r="AP118" s="207">
        <v>0</v>
      </c>
      <c r="AQ118" s="207">
        <v>33</v>
      </c>
      <c r="AR118" s="207">
        <v>0</v>
      </c>
      <c r="AS118" s="207">
        <v>0</v>
      </c>
      <c r="AT118" s="207">
        <v>0</v>
      </c>
      <c r="AU118" s="207">
        <v>531.61</v>
      </c>
      <c r="AV118" s="207">
        <v>16.196083595116722</v>
      </c>
      <c r="AW118" s="207">
        <v>1.1197665049078367</v>
      </c>
      <c r="AX118" s="207">
        <v>479</v>
      </c>
      <c r="AY118" s="207">
        <v>2604</v>
      </c>
      <c r="AZ118" s="207">
        <v>0.18394777265745008</v>
      </c>
      <c r="BA118" s="207">
        <v>0.12276393657321558</v>
      </c>
      <c r="BB118" s="207">
        <v>0</v>
      </c>
      <c r="BC118" s="207">
        <v>3559</v>
      </c>
      <c r="BD118" s="207">
        <v>3545</v>
      </c>
      <c r="BE118" s="207">
        <v>1.0039492242595205</v>
      </c>
      <c r="BF118" s="207">
        <v>0.5950423416684274</v>
      </c>
      <c r="BG118" s="207">
        <v>0</v>
      </c>
      <c r="BH118" s="207">
        <v>0</v>
      </c>
      <c r="BI118" s="207">
        <v>0</v>
      </c>
      <c r="BJ118" s="207">
        <v>-2066.4</v>
      </c>
      <c r="BK118" s="207">
        <v>-35301</v>
      </c>
      <c r="BL118" s="207">
        <v>-2410.8</v>
      </c>
      <c r="BM118" s="207">
        <v>-3357.9</v>
      </c>
      <c r="BN118" s="207">
        <v>-172.20000000000002</v>
      </c>
      <c r="BO118" s="207">
        <v>-34740</v>
      </c>
      <c r="BP118" s="207">
        <v>-180194.0889954522</v>
      </c>
      <c r="BQ118" s="207">
        <v>-780840.9</v>
      </c>
      <c r="BR118" s="207">
        <v>84422.16206699982</v>
      </c>
      <c r="BS118" s="207">
        <v>739591</v>
      </c>
      <c r="BT118" s="207">
        <v>245424</v>
      </c>
      <c r="BU118" s="207">
        <v>599915.1630202786</v>
      </c>
      <c r="BV118" s="207">
        <v>28362.25053418359</v>
      </c>
      <c r="BW118" s="207">
        <v>66734.71021022498</v>
      </c>
      <c r="BX118" s="207">
        <v>271181.82292428904</v>
      </c>
      <c r="BY118" s="207">
        <v>489938.90179089195</v>
      </c>
      <c r="BZ118" s="207">
        <v>793644.9780317354</v>
      </c>
      <c r="CA118" s="207">
        <v>232345.14997021123</v>
      </c>
      <c r="CB118" s="207">
        <v>403381.89974042116</v>
      </c>
      <c r="CC118" s="207">
        <v>774.9</v>
      </c>
      <c r="CD118" s="207">
        <v>-68194.11536266029</v>
      </c>
      <c r="CE118" s="207">
        <v>372124.2</v>
      </c>
      <c r="CF118" s="207">
        <v>4224907.022926575</v>
      </c>
      <c r="CG118" s="207">
        <v>2755021.033931122</v>
      </c>
      <c r="CH118" s="207">
        <v>0</v>
      </c>
      <c r="CI118" s="207">
        <v>4629078.129740378</v>
      </c>
      <c r="CJ118" s="207">
        <v>395693</v>
      </c>
      <c r="CK118" s="207">
        <v>0</v>
      </c>
      <c r="CL118" s="207">
        <v>0</v>
      </c>
      <c r="CM118" s="207">
        <v>424364.53032</v>
      </c>
      <c r="CN118" s="207">
        <v>20192044.681423843</v>
      </c>
      <c r="CO118" s="207">
        <v>20616409.211743843</v>
      </c>
      <c r="CP118" s="207">
        <v>8520</v>
      </c>
    </row>
    <row r="119" spans="1:94" ht="9.75">
      <c r="A119" s="175">
        <v>407</v>
      </c>
      <c r="B119" s="175" t="s">
        <v>176</v>
      </c>
      <c r="C119" s="207">
        <v>2706</v>
      </c>
      <c r="D119" s="207">
        <v>9822686.84</v>
      </c>
      <c r="E119" s="207">
        <v>3300948.8433085154</v>
      </c>
      <c r="F119" s="207">
        <v>1123404.7410360083</v>
      </c>
      <c r="G119" s="207">
        <v>14247040.424344525</v>
      </c>
      <c r="H119" s="207">
        <v>3524.51</v>
      </c>
      <c r="I119" s="207">
        <v>9537324.06</v>
      </c>
      <c r="J119" s="207">
        <v>4709716.364344524</v>
      </c>
      <c r="K119" s="207">
        <v>65952.29847025621</v>
      </c>
      <c r="L119" s="207">
        <v>1020668.962463499</v>
      </c>
      <c r="M119" s="207">
        <v>0</v>
      </c>
      <c r="N119" s="207">
        <v>5796337.625278279</v>
      </c>
      <c r="O119" s="207">
        <v>1955161.2424995806</v>
      </c>
      <c r="P119" s="207">
        <v>7751498.86777786</v>
      </c>
      <c r="Q119" s="207">
        <v>129</v>
      </c>
      <c r="R119" s="207">
        <v>28</v>
      </c>
      <c r="S119" s="207">
        <v>173</v>
      </c>
      <c r="T119" s="207">
        <v>93</v>
      </c>
      <c r="U119" s="207">
        <v>86</v>
      </c>
      <c r="V119" s="207">
        <v>1420</v>
      </c>
      <c r="W119" s="207">
        <v>434</v>
      </c>
      <c r="X119" s="207">
        <v>222</v>
      </c>
      <c r="Y119" s="207">
        <v>121</v>
      </c>
      <c r="Z119" s="207">
        <v>843</v>
      </c>
      <c r="AA119" s="207">
        <v>0</v>
      </c>
      <c r="AB119" s="207">
        <v>1723</v>
      </c>
      <c r="AC119" s="207">
        <v>140</v>
      </c>
      <c r="AD119" s="207">
        <v>777</v>
      </c>
      <c r="AE119" s="207">
        <v>1.076314742193751</v>
      </c>
      <c r="AF119" s="207">
        <v>3300948.8433085154</v>
      </c>
      <c r="AG119" s="207">
        <v>101648543.51707387</v>
      </c>
      <c r="AH119" s="207">
        <v>27496018.585155156</v>
      </c>
      <c r="AI119" s="207">
        <v>10641244.169621544</v>
      </c>
      <c r="AJ119" s="207">
        <v>120</v>
      </c>
      <c r="AK119" s="207">
        <v>1250</v>
      </c>
      <c r="AL119" s="207">
        <v>0.8296511113973977</v>
      </c>
      <c r="AM119" s="207">
        <v>140</v>
      </c>
      <c r="AN119" s="207">
        <v>0.051736881005173686</v>
      </c>
      <c r="AO119" s="207">
        <v>0.046796169542723094</v>
      </c>
      <c r="AP119" s="207">
        <v>1</v>
      </c>
      <c r="AQ119" s="207">
        <v>843</v>
      </c>
      <c r="AR119" s="207">
        <v>0</v>
      </c>
      <c r="AS119" s="207">
        <v>0</v>
      </c>
      <c r="AT119" s="207">
        <v>0</v>
      </c>
      <c r="AU119" s="207">
        <v>329.88</v>
      </c>
      <c r="AV119" s="207">
        <v>8.202982902873773</v>
      </c>
      <c r="AW119" s="207">
        <v>2.210882569820477</v>
      </c>
      <c r="AX119" s="207">
        <v>193</v>
      </c>
      <c r="AY119" s="207">
        <v>799</v>
      </c>
      <c r="AZ119" s="207">
        <v>0.24155193992490614</v>
      </c>
      <c r="BA119" s="207">
        <v>0.18036810384067165</v>
      </c>
      <c r="BB119" s="207">
        <v>0</v>
      </c>
      <c r="BC119" s="207">
        <v>866</v>
      </c>
      <c r="BD119" s="207">
        <v>1096</v>
      </c>
      <c r="BE119" s="207">
        <v>0.7901459854014599</v>
      </c>
      <c r="BF119" s="207">
        <v>0.38123910281036677</v>
      </c>
      <c r="BG119" s="207">
        <v>0</v>
      </c>
      <c r="BH119" s="207">
        <v>0</v>
      </c>
      <c r="BI119" s="207">
        <v>0</v>
      </c>
      <c r="BJ119" s="207">
        <v>-649.4399999999999</v>
      </c>
      <c r="BK119" s="207">
        <v>-11094.599999999999</v>
      </c>
      <c r="BL119" s="207">
        <v>-757.6800000000001</v>
      </c>
      <c r="BM119" s="207">
        <v>-1055.3400000000001</v>
      </c>
      <c r="BN119" s="207">
        <v>-54.120000000000005</v>
      </c>
      <c r="BO119" s="207">
        <v>-44318</v>
      </c>
      <c r="BP119" s="207">
        <v>-71102.283308659</v>
      </c>
      <c r="BQ119" s="207">
        <v>-245407.13999999998</v>
      </c>
      <c r="BR119" s="207">
        <v>28807.877030804753</v>
      </c>
      <c r="BS119" s="207">
        <v>266070</v>
      </c>
      <c r="BT119" s="207">
        <v>86843</v>
      </c>
      <c r="BU119" s="207">
        <v>215737.08744909434</v>
      </c>
      <c r="BV119" s="207">
        <v>10073.129408609553</v>
      </c>
      <c r="BW119" s="207">
        <v>43753.06037410913</v>
      </c>
      <c r="BX119" s="207">
        <v>86084.27444925872</v>
      </c>
      <c r="BY119" s="207">
        <v>157534.1649968356</v>
      </c>
      <c r="BZ119" s="207">
        <v>288427.1364173449</v>
      </c>
      <c r="CA119" s="207">
        <v>80419.06926967647</v>
      </c>
      <c r="CB119" s="207">
        <v>136460.939309663</v>
      </c>
      <c r="CC119" s="207">
        <v>243.54</v>
      </c>
      <c r="CD119" s="207">
        <v>24014.387066761647</v>
      </c>
      <c r="CE119" s="207">
        <v>116953.31999999999</v>
      </c>
      <c r="CF119" s="207">
        <v>1497102.985772158</v>
      </c>
      <c r="CG119" s="207">
        <v>1020668.962463499</v>
      </c>
      <c r="CH119" s="207">
        <v>0</v>
      </c>
      <c r="CI119" s="207">
        <v>1955161.2424995806</v>
      </c>
      <c r="CJ119" s="207">
        <v>-524694</v>
      </c>
      <c r="CK119" s="207">
        <v>0</v>
      </c>
      <c r="CL119" s="207">
        <v>0</v>
      </c>
      <c r="CM119" s="207">
        <v>-921410.13268</v>
      </c>
      <c r="CN119" s="207">
        <v>7226804.86777786</v>
      </c>
      <c r="CO119" s="207">
        <v>6305394.73509786</v>
      </c>
      <c r="CP119" s="207">
        <v>2739</v>
      </c>
    </row>
    <row r="120" spans="1:94" ht="9.75">
      <c r="A120" s="175">
        <v>402</v>
      </c>
      <c r="B120" s="175" t="s">
        <v>177</v>
      </c>
      <c r="C120" s="207">
        <v>9692</v>
      </c>
      <c r="D120" s="207">
        <v>33795146.1</v>
      </c>
      <c r="E120" s="207">
        <v>16214277.898279851</v>
      </c>
      <c r="F120" s="207">
        <v>2239745.456130411</v>
      </c>
      <c r="G120" s="207">
        <v>52249169.45441026</v>
      </c>
      <c r="H120" s="207">
        <v>3524.51</v>
      </c>
      <c r="I120" s="207">
        <v>34159550.92</v>
      </c>
      <c r="J120" s="207">
        <v>18089618.53441026</v>
      </c>
      <c r="K120" s="207">
        <v>263798.500122466</v>
      </c>
      <c r="L120" s="207">
        <v>3313591.4566292935</v>
      </c>
      <c r="M120" s="207">
        <v>0</v>
      </c>
      <c r="N120" s="207">
        <v>21667008.49116202</v>
      </c>
      <c r="O120" s="207">
        <v>8512763.2739001</v>
      </c>
      <c r="P120" s="207">
        <v>30179771.76506212</v>
      </c>
      <c r="Q120" s="207">
        <v>486</v>
      </c>
      <c r="R120" s="207">
        <v>99</v>
      </c>
      <c r="S120" s="207">
        <v>700</v>
      </c>
      <c r="T120" s="207">
        <v>317</v>
      </c>
      <c r="U120" s="207">
        <v>348</v>
      </c>
      <c r="V120" s="207">
        <v>5202</v>
      </c>
      <c r="W120" s="207">
        <v>1445</v>
      </c>
      <c r="X120" s="207">
        <v>758</v>
      </c>
      <c r="Y120" s="207">
        <v>337</v>
      </c>
      <c r="Z120" s="207">
        <v>10</v>
      </c>
      <c r="AA120" s="207">
        <v>0</v>
      </c>
      <c r="AB120" s="207">
        <v>9497</v>
      </c>
      <c r="AC120" s="207">
        <v>185</v>
      </c>
      <c r="AD120" s="207">
        <v>2540</v>
      </c>
      <c r="AE120" s="207">
        <v>1.4760888302971462</v>
      </c>
      <c r="AF120" s="207">
        <v>16214277.898279851</v>
      </c>
      <c r="AG120" s="207">
        <v>13090500.46693313</v>
      </c>
      <c r="AH120" s="207">
        <v>2871563.7971664257</v>
      </c>
      <c r="AI120" s="207">
        <v>1554640.2061411827</v>
      </c>
      <c r="AJ120" s="207">
        <v>527</v>
      </c>
      <c r="AK120" s="207">
        <v>4318</v>
      </c>
      <c r="AL120" s="207">
        <v>1.0547565802706418</v>
      </c>
      <c r="AM120" s="207">
        <v>185</v>
      </c>
      <c r="AN120" s="207">
        <v>0.019087907552620718</v>
      </c>
      <c r="AO120" s="207">
        <v>0.014147196090170126</v>
      </c>
      <c r="AP120" s="207">
        <v>0</v>
      </c>
      <c r="AQ120" s="207">
        <v>10</v>
      </c>
      <c r="AR120" s="207">
        <v>0</v>
      </c>
      <c r="AS120" s="207">
        <v>0</v>
      </c>
      <c r="AT120" s="207">
        <v>0</v>
      </c>
      <c r="AU120" s="207">
        <v>1096.63</v>
      </c>
      <c r="AV120" s="207">
        <v>8.837985464559605</v>
      </c>
      <c r="AW120" s="207">
        <v>2.0520323317144884</v>
      </c>
      <c r="AX120" s="207">
        <v>400</v>
      </c>
      <c r="AY120" s="207">
        <v>2768</v>
      </c>
      <c r="AZ120" s="207">
        <v>0.14450867052023122</v>
      </c>
      <c r="BA120" s="207">
        <v>0.08332483443599673</v>
      </c>
      <c r="BB120" s="207">
        <v>0</v>
      </c>
      <c r="BC120" s="207">
        <v>3049</v>
      </c>
      <c r="BD120" s="207">
        <v>3653</v>
      </c>
      <c r="BE120" s="207">
        <v>0.8346564467560909</v>
      </c>
      <c r="BF120" s="207">
        <v>0.42574956416499776</v>
      </c>
      <c r="BG120" s="207">
        <v>0</v>
      </c>
      <c r="BH120" s="207">
        <v>0</v>
      </c>
      <c r="BI120" s="207">
        <v>0</v>
      </c>
      <c r="BJ120" s="207">
        <v>-2326.08</v>
      </c>
      <c r="BK120" s="207">
        <v>-39737.2</v>
      </c>
      <c r="BL120" s="207">
        <v>-2713.76</v>
      </c>
      <c r="BM120" s="207">
        <v>-3779.88</v>
      </c>
      <c r="BN120" s="207">
        <v>-193.84</v>
      </c>
      <c r="BO120" s="207">
        <v>244217</v>
      </c>
      <c r="BP120" s="207">
        <v>-337883.9932340675</v>
      </c>
      <c r="BQ120" s="207">
        <v>-878967.48</v>
      </c>
      <c r="BR120" s="207">
        <v>-103708.25441498868</v>
      </c>
      <c r="BS120" s="207">
        <v>958412</v>
      </c>
      <c r="BT120" s="207">
        <v>288726</v>
      </c>
      <c r="BU120" s="207">
        <v>687361.0736377841</v>
      </c>
      <c r="BV120" s="207">
        <v>29107.534124884838</v>
      </c>
      <c r="BW120" s="207">
        <v>88418.25418264151</v>
      </c>
      <c r="BX120" s="207">
        <v>332831.1518768048</v>
      </c>
      <c r="BY120" s="207">
        <v>530175.9507121128</v>
      </c>
      <c r="BZ120" s="207">
        <v>829064.5310967282</v>
      </c>
      <c r="CA120" s="207">
        <v>247037.21744427693</v>
      </c>
      <c r="CB120" s="207">
        <v>448973.02594657306</v>
      </c>
      <c r="CC120" s="207">
        <v>872.28</v>
      </c>
      <c r="CD120" s="207">
        <v>102864.12525654309</v>
      </c>
      <c r="CE120" s="207">
        <v>418888.24</v>
      </c>
      <c r="CF120" s="207">
        <v>5103240.129863361</v>
      </c>
      <c r="CG120" s="207">
        <v>3313591.4566292935</v>
      </c>
      <c r="CH120" s="207">
        <v>0</v>
      </c>
      <c r="CI120" s="207">
        <v>8512763.2739001</v>
      </c>
      <c r="CJ120" s="207">
        <v>-395513</v>
      </c>
      <c r="CK120" s="207">
        <v>0</v>
      </c>
      <c r="CL120" s="207">
        <v>0</v>
      </c>
      <c r="CM120" s="207">
        <v>127713.28950000007</v>
      </c>
      <c r="CN120" s="207">
        <v>29784258.76506212</v>
      </c>
      <c r="CO120" s="207">
        <v>29911972.05456212</v>
      </c>
      <c r="CP120" s="207">
        <v>9882</v>
      </c>
    </row>
    <row r="121" spans="1:94" ht="9.75">
      <c r="A121" s="175">
        <v>403</v>
      </c>
      <c r="B121" s="175" t="s">
        <v>178</v>
      </c>
      <c r="C121" s="207">
        <v>3140</v>
      </c>
      <c r="D121" s="207">
        <v>11821027.46</v>
      </c>
      <c r="E121" s="207">
        <v>5529331.559534724</v>
      </c>
      <c r="F121" s="207">
        <v>775910.3124638025</v>
      </c>
      <c r="G121" s="207">
        <v>18126269.331998527</v>
      </c>
      <c r="H121" s="207">
        <v>3524.51</v>
      </c>
      <c r="I121" s="207">
        <v>11066961.4</v>
      </c>
      <c r="J121" s="207">
        <v>7059307.931998527</v>
      </c>
      <c r="K121" s="207">
        <v>106890.49416003769</v>
      </c>
      <c r="L121" s="207">
        <v>1273050.3612272132</v>
      </c>
      <c r="M121" s="207">
        <v>0</v>
      </c>
      <c r="N121" s="207">
        <v>8439248.787385777</v>
      </c>
      <c r="O121" s="207">
        <v>2788823.011464426</v>
      </c>
      <c r="P121" s="207">
        <v>11228071.798850203</v>
      </c>
      <c r="Q121" s="207">
        <v>177</v>
      </c>
      <c r="R121" s="207">
        <v>28</v>
      </c>
      <c r="S121" s="207">
        <v>177</v>
      </c>
      <c r="T121" s="207">
        <v>89</v>
      </c>
      <c r="U121" s="207">
        <v>97</v>
      </c>
      <c r="V121" s="207">
        <v>1563</v>
      </c>
      <c r="W121" s="207">
        <v>530</v>
      </c>
      <c r="X121" s="207">
        <v>320</v>
      </c>
      <c r="Y121" s="207">
        <v>159</v>
      </c>
      <c r="Z121" s="207">
        <v>15</v>
      </c>
      <c r="AA121" s="207">
        <v>0</v>
      </c>
      <c r="AB121" s="207">
        <v>2994</v>
      </c>
      <c r="AC121" s="207">
        <v>131</v>
      </c>
      <c r="AD121" s="207">
        <v>1009</v>
      </c>
      <c r="AE121" s="207">
        <v>1.553714689542001</v>
      </c>
      <c r="AF121" s="207">
        <v>5529331.559534724</v>
      </c>
      <c r="AG121" s="207">
        <v>19833065.054151982</v>
      </c>
      <c r="AH121" s="207">
        <v>6331054.025758201</v>
      </c>
      <c r="AI121" s="207">
        <v>1894159.3316202916</v>
      </c>
      <c r="AJ121" s="207">
        <v>101</v>
      </c>
      <c r="AK121" s="207">
        <v>1303</v>
      </c>
      <c r="AL121" s="207">
        <v>0.6698864979145653</v>
      </c>
      <c r="AM121" s="207">
        <v>131</v>
      </c>
      <c r="AN121" s="207">
        <v>0.041719745222929934</v>
      </c>
      <c r="AO121" s="207">
        <v>0.03677903376047934</v>
      </c>
      <c r="AP121" s="207">
        <v>0</v>
      </c>
      <c r="AQ121" s="207">
        <v>15</v>
      </c>
      <c r="AR121" s="207">
        <v>0</v>
      </c>
      <c r="AS121" s="207">
        <v>0</v>
      </c>
      <c r="AT121" s="207">
        <v>0</v>
      </c>
      <c r="AU121" s="207">
        <v>420.06</v>
      </c>
      <c r="AV121" s="207">
        <v>7.475122601533115</v>
      </c>
      <c r="AW121" s="207">
        <v>2.4261584574919777</v>
      </c>
      <c r="AX121" s="207">
        <v>89</v>
      </c>
      <c r="AY121" s="207">
        <v>712</v>
      </c>
      <c r="AZ121" s="207">
        <v>0.125</v>
      </c>
      <c r="BA121" s="207">
        <v>0.0638161639157655</v>
      </c>
      <c r="BB121" s="207">
        <v>0</v>
      </c>
      <c r="BC121" s="207">
        <v>1044</v>
      </c>
      <c r="BD121" s="207">
        <v>1109</v>
      </c>
      <c r="BE121" s="207">
        <v>0.9413886384129847</v>
      </c>
      <c r="BF121" s="207">
        <v>0.5324817558218916</v>
      </c>
      <c r="BG121" s="207">
        <v>0</v>
      </c>
      <c r="BH121" s="207">
        <v>0</v>
      </c>
      <c r="BI121" s="207">
        <v>0</v>
      </c>
      <c r="BJ121" s="207">
        <v>-753.6</v>
      </c>
      <c r="BK121" s="207">
        <v>-12873.999999999998</v>
      </c>
      <c r="BL121" s="207">
        <v>-879.2</v>
      </c>
      <c r="BM121" s="207">
        <v>-1224.6000000000001</v>
      </c>
      <c r="BN121" s="207">
        <v>-62.800000000000004</v>
      </c>
      <c r="BO121" s="207">
        <v>-43921</v>
      </c>
      <c r="BP121" s="207">
        <v>-30409.812430240585</v>
      </c>
      <c r="BQ121" s="207">
        <v>-284766.6</v>
      </c>
      <c r="BR121" s="207">
        <v>48930.923893926665</v>
      </c>
      <c r="BS121" s="207">
        <v>344633</v>
      </c>
      <c r="BT121" s="207">
        <v>101443</v>
      </c>
      <c r="BU121" s="207">
        <v>292774.96621069574</v>
      </c>
      <c r="BV121" s="207">
        <v>17263.521425798896</v>
      </c>
      <c r="BW121" s="207">
        <v>43252.75609648673</v>
      </c>
      <c r="BX121" s="207">
        <v>132095.14889464315</v>
      </c>
      <c r="BY121" s="207">
        <v>189115.0652921132</v>
      </c>
      <c r="BZ121" s="207">
        <v>300305.9793463635</v>
      </c>
      <c r="CA121" s="207">
        <v>92165.83359087528</v>
      </c>
      <c r="CB121" s="207">
        <v>155718.07021177432</v>
      </c>
      <c r="CC121" s="207">
        <v>282.59999999999997</v>
      </c>
      <c r="CD121" s="207">
        <v>-35969.89130522375</v>
      </c>
      <c r="CE121" s="207">
        <v>135710.8</v>
      </c>
      <c r="CF121" s="207">
        <v>1773800.7736574537</v>
      </c>
      <c r="CG121" s="207">
        <v>1273050.3612272132</v>
      </c>
      <c r="CH121" s="207">
        <v>0</v>
      </c>
      <c r="CI121" s="207">
        <v>2788823.011464426</v>
      </c>
      <c r="CJ121" s="207">
        <v>-157130</v>
      </c>
      <c r="CK121" s="207">
        <v>0</v>
      </c>
      <c r="CL121" s="207">
        <v>0</v>
      </c>
      <c r="CM121" s="207">
        <v>-68707.7697</v>
      </c>
      <c r="CN121" s="207">
        <v>11070941.798850203</v>
      </c>
      <c r="CO121" s="207">
        <v>11002234.029150203</v>
      </c>
      <c r="CP121" s="207">
        <v>3176</v>
      </c>
    </row>
    <row r="122" spans="1:94" ht="9.75">
      <c r="A122" s="175">
        <v>405</v>
      </c>
      <c r="B122" s="175" t="s">
        <v>179</v>
      </c>
      <c r="C122" s="207">
        <v>72909</v>
      </c>
      <c r="D122" s="207">
        <v>236450806.14</v>
      </c>
      <c r="E122" s="207">
        <v>83774384.66853896</v>
      </c>
      <c r="F122" s="207">
        <v>19982680.789499052</v>
      </c>
      <c r="G122" s="207">
        <v>340207871.59803796</v>
      </c>
      <c r="H122" s="207">
        <v>3524.51</v>
      </c>
      <c r="I122" s="207">
        <v>256968499.59</v>
      </c>
      <c r="J122" s="207">
        <v>83239372.00803795</v>
      </c>
      <c r="K122" s="207">
        <v>3156498.370334638</v>
      </c>
      <c r="L122" s="207">
        <v>15768175.308616087</v>
      </c>
      <c r="M122" s="207">
        <v>0</v>
      </c>
      <c r="N122" s="207">
        <v>102164045.68698868</v>
      </c>
      <c r="O122" s="207">
        <v>13732180.959762122</v>
      </c>
      <c r="P122" s="207">
        <v>115896226.64675081</v>
      </c>
      <c r="Q122" s="207">
        <v>4009</v>
      </c>
      <c r="R122" s="207">
        <v>731</v>
      </c>
      <c r="S122" s="207">
        <v>4430</v>
      </c>
      <c r="T122" s="207">
        <v>2065</v>
      </c>
      <c r="U122" s="207">
        <v>2237</v>
      </c>
      <c r="V122" s="207">
        <v>42885</v>
      </c>
      <c r="W122" s="207">
        <v>9184</v>
      </c>
      <c r="X122" s="207">
        <v>5176</v>
      </c>
      <c r="Y122" s="207">
        <v>2192</v>
      </c>
      <c r="Z122" s="207">
        <v>137</v>
      </c>
      <c r="AA122" s="207">
        <v>1</v>
      </c>
      <c r="AB122" s="207">
        <v>67489</v>
      </c>
      <c r="AC122" s="207">
        <v>5282</v>
      </c>
      <c r="AD122" s="207">
        <v>16552</v>
      </c>
      <c r="AE122" s="207">
        <v>1.0138142520347835</v>
      </c>
      <c r="AF122" s="207">
        <v>83774384.66853896</v>
      </c>
      <c r="AG122" s="207">
        <v>6924568.064505936</v>
      </c>
      <c r="AH122" s="207">
        <v>2216342.9496120242</v>
      </c>
      <c r="AI122" s="207">
        <v>491409.260561868</v>
      </c>
      <c r="AJ122" s="207">
        <v>4741</v>
      </c>
      <c r="AK122" s="207">
        <v>34502</v>
      </c>
      <c r="AL122" s="207">
        <v>1.1875446589856695</v>
      </c>
      <c r="AM122" s="207">
        <v>5282</v>
      </c>
      <c r="AN122" s="207">
        <v>0.07244647437216256</v>
      </c>
      <c r="AO122" s="207">
        <v>0.06750576290971197</v>
      </c>
      <c r="AP122" s="207">
        <v>0</v>
      </c>
      <c r="AQ122" s="207">
        <v>137</v>
      </c>
      <c r="AR122" s="207">
        <v>1</v>
      </c>
      <c r="AS122" s="207">
        <v>0</v>
      </c>
      <c r="AT122" s="207">
        <v>0</v>
      </c>
      <c r="AU122" s="207">
        <v>1433.47</v>
      </c>
      <c r="AV122" s="207">
        <v>50.86189456354162</v>
      </c>
      <c r="AW122" s="207">
        <v>0.35657012142640415</v>
      </c>
      <c r="AX122" s="207">
        <v>2874</v>
      </c>
      <c r="AY122" s="207">
        <v>22017</v>
      </c>
      <c r="AZ122" s="207">
        <v>0.13053549529908706</v>
      </c>
      <c r="BA122" s="207">
        <v>0.06935165921485256</v>
      </c>
      <c r="BB122" s="207">
        <v>0</v>
      </c>
      <c r="BC122" s="207">
        <v>31116</v>
      </c>
      <c r="BD122" s="207">
        <v>28649</v>
      </c>
      <c r="BE122" s="207">
        <v>1.0861112080700897</v>
      </c>
      <c r="BF122" s="207">
        <v>0.6772043254789966</v>
      </c>
      <c r="BG122" s="207">
        <v>0</v>
      </c>
      <c r="BH122" s="207">
        <v>1</v>
      </c>
      <c r="BI122" s="207">
        <v>0</v>
      </c>
      <c r="BJ122" s="207">
        <v>-17498.16</v>
      </c>
      <c r="BK122" s="207">
        <v>-298926.89999999997</v>
      </c>
      <c r="BL122" s="207">
        <v>-20414.52</v>
      </c>
      <c r="BM122" s="207">
        <v>-28434.510000000002</v>
      </c>
      <c r="BN122" s="207">
        <v>-1458.18</v>
      </c>
      <c r="BO122" s="207">
        <v>339710</v>
      </c>
      <c r="BP122" s="207">
        <v>-5230213.625360166</v>
      </c>
      <c r="BQ122" s="207">
        <v>-6612117.21</v>
      </c>
      <c r="BR122" s="207">
        <v>997030.4585953057</v>
      </c>
      <c r="BS122" s="207">
        <v>5098431</v>
      </c>
      <c r="BT122" s="207">
        <v>1727824</v>
      </c>
      <c r="BU122" s="207">
        <v>4014176.8117610975</v>
      </c>
      <c r="BV122" s="207">
        <v>165037.3374035371</v>
      </c>
      <c r="BW122" s="207">
        <v>403872.2532490542</v>
      </c>
      <c r="BX122" s="207">
        <v>1978357.3557773354</v>
      </c>
      <c r="BY122" s="207">
        <v>3604287.803340834</v>
      </c>
      <c r="BZ122" s="207">
        <v>5400271.836280328</v>
      </c>
      <c r="CA122" s="207">
        <v>1799754.4576979543</v>
      </c>
      <c r="CB122" s="207">
        <v>3080522.5380868055</v>
      </c>
      <c r="CC122" s="207">
        <v>6561.8099999999995</v>
      </c>
      <c r="CD122" s="207">
        <v>152463.40178400092</v>
      </c>
      <c r="CE122" s="207">
        <v>3151126.98</v>
      </c>
      <c r="CF122" s="207">
        <v>31919428.04397625</v>
      </c>
      <c r="CG122" s="207">
        <v>15768175.308616087</v>
      </c>
      <c r="CH122" s="207">
        <v>0</v>
      </c>
      <c r="CI122" s="207">
        <v>13732180.959762122</v>
      </c>
      <c r="CJ122" s="207">
        <v>-6036692</v>
      </c>
      <c r="CK122" s="207">
        <v>0</v>
      </c>
      <c r="CL122" s="207">
        <v>0</v>
      </c>
      <c r="CM122" s="207">
        <v>-2114400.1004179996</v>
      </c>
      <c r="CN122" s="207">
        <v>109859534.64675081</v>
      </c>
      <c r="CO122" s="207">
        <v>107745134.5463328</v>
      </c>
      <c r="CP122" s="207">
        <v>72872</v>
      </c>
    </row>
    <row r="123" spans="1:94" ht="9.75">
      <c r="A123" s="175">
        <v>408</v>
      </c>
      <c r="B123" s="175" t="s">
        <v>180</v>
      </c>
      <c r="C123" s="207">
        <v>14494</v>
      </c>
      <c r="D123" s="207">
        <v>53528754.7</v>
      </c>
      <c r="E123" s="207">
        <v>18737866.641211145</v>
      </c>
      <c r="F123" s="207">
        <v>2206197.1644823207</v>
      </c>
      <c r="G123" s="207">
        <v>74472818.50569347</v>
      </c>
      <c r="H123" s="207">
        <v>3524.51</v>
      </c>
      <c r="I123" s="207">
        <v>51084247.940000005</v>
      </c>
      <c r="J123" s="207">
        <v>23388570.56569346</v>
      </c>
      <c r="K123" s="207">
        <v>360330.4663553907</v>
      </c>
      <c r="L123" s="207">
        <v>4091161.5408737413</v>
      </c>
      <c r="M123" s="207">
        <v>0</v>
      </c>
      <c r="N123" s="207">
        <v>27840062.57292259</v>
      </c>
      <c r="O123" s="207">
        <v>9505422.255299293</v>
      </c>
      <c r="P123" s="207">
        <v>37345484.82822189</v>
      </c>
      <c r="Q123" s="207">
        <v>1040</v>
      </c>
      <c r="R123" s="207">
        <v>218</v>
      </c>
      <c r="S123" s="207">
        <v>1105</v>
      </c>
      <c r="T123" s="207">
        <v>571</v>
      </c>
      <c r="U123" s="207">
        <v>542</v>
      </c>
      <c r="V123" s="207">
        <v>7691</v>
      </c>
      <c r="W123" s="207">
        <v>1845</v>
      </c>
      <c r="X123" s="207">
        <v>1003</v>
      </c>
      <c r="Y123" s="207">
        <v>479</v>
      </c>
      <c r="Z123" s="207">
        <v>21</v>
      </c>
      <c r="AA123" s="207">
        <v>0</v>
      </c>
      <c r="AB123" s="207">
        <v>14119</v>
      </c>
      <c r="AC123" s="207">
        <v>354</v>
      </c>
      <c r="AD123" s="207">
        <v>3327</v>
      </c>
      <c r="AE123" s="207">
        <v>1.1406704053437808</v>
      </c>
      <c r="AF123" s="207">
        <v>18737866.641211145</v>
      </c>
      <c r="AG123" s="207">
        <v>4001585.5768127507</v>
      </c>
      <c r="AH123" s="207">
        <v>942702.2836801782</v>
      </c>
      <c r="AI123" s="207">
        <v>473539.83290507284</v>
      </c>
      <c r="AJ123" s="207">
        <v>531</v>
      </c>
      <c r="AK123" s="207">
        <v>6525</v>
      </c>
      <c r="AL123" s="207">
        <v>0.703296200753541</v>
      </c>
      <c r="AM123" s="207">
        <v>354</v>
      </c>
      <c r="AN123" s="207">
        <v>0.024423899544639163</v>
      </c>
      <c r="AO123" s="207">
        <v>0.01948318808218857</v>
      </c>
      <c r="AP123" s="207">
        <v>0</v>
      </c>
      <c r="AQ123" s="207">
        <v>21</v>
      </c>
      <c r="AR123" s="207">
        <v>0</v>
      </c>
      <c r="AS123" s="207">
        <v>0</v>
      </c>
      <c r="AT123" s="207">
        <v>0</v>
      </c>
      <c r="AU123" s="207">
        <v>738.18</v>
      </c>
      <c r="AV123" s="207">
        <v>19.634777425560163</v>
      </c>
      <c r="AW123" s="207">
        <v>0.9236586454445944</v>
      </c>
      <c r="AX123" s="207">
        <v>466</v>
      </c>
      <c r="AY123" s="207">
        <v>4375</v>
      </c>
      <c r="AZ123" s="207">
        <v>0.10651428571428571</v>
      </c>
      <c r="BA123" s="207">
        <v>0.04533044963005122</v>
      </c>
      <c r="BB123" s="207">
        <v>0</v>
      </c>
      <c r="BC123" s="207">
        <v>4600</v>
      </c>
      <c r="BD123" s="207">
        <v>5766</v>
      </c>
      <c r="BE123" s="207">
        <v>0.7977800901838363</v>
      </c>
      <c r="BF123" s="207">
        <v>0.38887320759274324</v>
      </c>
      <c r="BG123" s="207">
        <v>0</v>
      </c>
      <c r="BH123" s="207">
        <v>0</v>
      </c>
      <c r="BI123" s="207">
        <v>0</v>
      </c>
      <c r="BJ123" s="207">
        <v>-3478.56</v>
      </c>
      <c r="BK123" s="207">
        <v>-59425.399999999994</v>
      </c>
      <c r="BL123" s="207">
        <v>-4058.32</v>
      </c>
      <c r="BM123" s="207">
        <v>-5652.66</v>
      </c>
      <c r="BN123" s="207">
        <v>-289.88</v>
      </c>
      <c r="BO123" s="207">
        <v>-265852</v>
      </c>
      <c r="BP123" s="207">
        <v>-507188.6431107805</v>
      </c>
      <c r="BQ123" s="207">
        <v>-1314460.8599999999</v>
      </c>
      <c r="BR123" s="207">
        <v>357807.1910356991</v>
      </c>
      <c r="BS123" s="207">
        <v>1158445</v>
      </c>
      <c r="BT123" s="207">
        <v>386915</v>
      </c>
      <c r="BU123" s="207">
        <v>964292.5946574889</v>
      </c>
      <c r="BV123" s="207">
        <v>40385.642318928454</v>
      </c>
      <c r="BW123" s="207">
        <v>123093.3811491682</v>
      </c>
      <c r="BX123" s="207">
        <v>419128.21563631925</v>
      </c>
      <c r="BY123" s="207">
        <v>779181.7214906423</v>
      </c>
      <c r="BZ123" s="207">
        <v>1226683.438706409</v>
      </c>
      <c r="CA123" s="207">
        <v>340504.40546555363</v>
      </c>
      <c r="CB123" s="207">
        <v>640987.2107160434</v>
      </c>
      <c r="CC123" s="207">
        <v>1304.46</v>
      </c>
      <c r="CD123" s="207">
        <v>-29900.497191731003</v>
      </c>
      <c r="CE123" s="207">
        <v>626430.6799999999</v>
      </c>
      <c r="CF123" s="207">
        <v>6769406.443984522</v>
      </c>
      <c r="CG123" s="207">
        <v>4091161.5408737413</v>
      </c>
      <c r="CH123" s="207">
        <v>0</v>
      </c>
      <c r="CI123" s="207">
        <v>9505422.255299293</v>
      </c>
      <c r="CJ123" s="207">
        <v>-535167</v>
      </c>
      <c r="CK123" s="207">
        <v>0</v>
      </c>
      <c r="CL123" s="207">
        <v>0</v>
      </c>
      <c r="CM123" s="207">
        <v>-45501.57198000004</v>
      </c>
      <c r="CN123" s="207">
        <v>36810317.82822189</v>
      </c>
      <c r="CO123" s="207">
        <v>36764816.25624189</v>
      </c>
      <c r="CP123" s="207">
        <v>14575</v>
      </c>
    </row>
    <row r="124" spans="1:94" ht="9.75">
      <c r="A124" s="175">
        <v>410</v>
      </c>
      <c r="B124" s="175" t="s">
        <v>181</v>
      </c>
      <c r="C124" s="207">
        <v>18978</v>
      </c>
      <c r="D124" s="207">
        <v>70188932.28</v>
      </c>
      <c r="E124" s="207">
        <v>19359168.730048917</v>
      </c>
      <c r="F124" s="207">
        <v>2612585.479943931</v>
      </c>
      <c r="G124" s="207">
        <v>92160686.48999286</v>
      </c>
      <c r="H124" s="207">
        <v>3524.51</v>
      </c>
      <c r="I124" s="207">
        <v>66888150.78</v>
      </c>
      <c r="J124" s="207">
        <v>25272535.709992856</v>
      </c>
      <c r="K124" s="207">
        <v>393560.2798950097</v>
      </c>
      <c r="L124" s="207">
        <v>3721209.1948255124</v>
      </c>
      <c r="M124" s="207">
        <v>0</v>
      </c>
      <c r="N124" s="207">
        <v>29387305.18471338</v>
      </c>
      <c r="O124" s="207">
        <v>10556416.696998963</v>
      </c>
      <c r="P124" s="207">
        <v>39943721.88171234</v>
      </c>
      <c r="Q124" s="207">
        <v>1685</v>
      </c>
      <c r="R124" s="207">
        <v>302</v>
      </c>
      <c r="S124" s="207">
        <v>1822</v>
      </c>
      <c r="T124" s="207">
        <v>798</v>
      </c>
      <c r="U124" s="207">
        <v>707</v>
      </c>
      <c r="V124" s="207">
        <v>10064</v>
      </c>
      <c r="W124" s="207">
        <v>2163</v>
      </c>
      <c r="X124" s="207">
        <v>1018</v>
      </c>
      <c r="Y124" s="207">
        <v>419</v>
      </c>
      <c r="Z124" s="207">
        <v>21</v>
      </c>
      <c r="AA124" s="207">
        <v>2</v>
      </c>
      <c r="AB124" s="207">
        <v>18681</v>
      </c>
      <c r="AC124" s="207">
        <v>274</v>
      </c>
      <c r="AD124" s="207">
        <v>3600</v>
      </c>
      <c r="AE124" s="207">
        <v>0.9000456763062155</v>
      </c>
      <c r="AF124" s="207">
        <v>19359168.730048917</v>
      </c>
      <c r="AG124" s="207">
        <v>23825749.730980627</v>
      </c>
      <c r="AH124" s="207">
        <v>5751873.159626217</v>
      </c>
      <c r="AI124" s="207">
        <v>2296221.4538981835</v>
      </c>
      <c r="AJ124" s="207">
        <v>926</v>
      </c>
      <c r="AK124" s="207">
        <v>8592</v>
      </c>
      <c r="AL124" s="207">
        <v>0.9314101891706315</v>
      </c>
      <c r="AM124" s="207">
        <v>274</v>
      </c>
      <c r="AN124" s="207">
        <v>0.014437770049531036</v>
      </c>
      <c r="AO124" s="207">
        <v>0.009497058587080442</v>
      </c>
      <c r="AP124" s="207">
        <v>0</v>
      </c>
      <c r="AQ124" s="207">
        <v>21</v>
      </c>
      <c r="AR124" s="207">
        <v>2</v>
      </c>
      <c r="AS124" s="207">
        <v>0</v>
      </c>
      <c r="AT124" s="207">
        <v>0</v>
      </c>
      <c r="AU124" s="207">
        <v>648.49</v>
      </c>
      <c r="AV124" s="207">
        <v>29.26490770867708</v>
      </c>
      <c r="AW124" s="207">
        <v>0.6197125957489935</v>
      </c>
      <c r="AX124" s="207">
        <v>587</v>
      </c>
      <c r="AY124" s="207">
        <v>6088</v>
      </c>
      <c r="AZ124" s="207">
        <v>0.096419185282523</v>
      </c>
      <c r="BA124" s="207">
        <v>0.0352353491982885</v>
      </c>
      <c r="BB124" s="207">
        <v>0</v>
      </c>
      <c r="BC124" s="207">
        <v>5441</v>
      </c>
      <c r="BD124" s="207">
        <v>7420</v>
      </c>
      <c r="BE124" s="207">
        <v>0.7332884097035041</v>
      </c>
      <c r="BF124" s="207">
        <v>0.324381527112411</v>
      </c>
      <c r="BG124" s="207">
        <v>0</v>
      </c>
      <c r="BH124" s="207">
        <v>2</v>
      </c>
      <c r="BI124" s="207">
        <v>0</v>
      </c>
      <c r="BJ124" s="207">
        <v>-4554.72</v>
      </c>
      <c r="BK124" s="207">
        <v>-77809.79999999999</v>
      </c>
      <c r="BL124" s="207">
        <v>-5313.84</v>
      </c>
      <c r="BM124" s="207">
        <v>-7401.42</v>
      </c>
      <c r="BN124" s="207">
        <v>-379.56</v>
      </c>
      <c r="BO124" s="207">
        <v>194838</v>
      </c>
      <c r="BP124" s="207">
        <v>-848553.4124858389</v>
      </c>
      <c r="BQ124" s="207">
        <v>-1721114.82</v>
      </c>
      <c r="BR124" s="207">
        <v>-78414.6230551675</v>
      </c>
      <c r="BS124" s="207">
        <v>1303995</v>
      </c>
      <c r="BT124" s="207">
        <v>416357</v>
      </c>
      <c r="BU124" s="207">
        <v>855099.5997353231</v>
      </c>
      <c r="BV124" s="207">
        <v>20238.89504379743</v>
      </c>
      <c r="BW124" s="207">
        <v>20659.495845095145</v>
      </c>
      <c r="BX124" s="207">
        <v>443704.675469128</v>
      </c>
      <c r="BY124" s="207">
        <v>862823.3342152307</v>
      </c>
      <c r="BZ124" s="207">
        <v>1423658.3558661467</v>
      </c>
      <c r="CA124" s="207">
        <v>329080.5211485977</v>
      </c>
      <c r="CB124" s="207">
        <v>707053.806914659</v>
      </c>
      <c r="CC124" s="207">
        <v>1708.02</v>
      </c>
      <c r="CD124" s="207">
        <v>91445.98612854056</v>
      </c>
      <c r="CE124" s="207">
        <v>820229.16</v>
      </c>
      <c r="CF124" s="207">
        <v>7412477.227311351</v>
      </c>
      <c r="CG124" s="207">
        <v>3721209.1948255124</v>
      </c>
      <c r="CH124" s="207">
        <v>0</v>
      </c>
      <c r="CI124" s="207">
        <v>10556416.696998963</v>
      </c>
      <c r="CJ124" s="207">
        <v>-1888281</v>
      </c>
      <c r="CK124" s="207">
        <v>0</v>
      </c>
      <c r="CL124" s="207">
        <v>0</v>
      </c>
      <c r="CM124" s="207">
        <v>-110988.45872000005</v>
      </c>
      <c r="CN124" s="207">
        <v>38055440.88171234</v>
      </c>
      <c r="CO124" s="207">
        <v>37944452.42299234</v>
      </c>
      <c r="CP124" s="207">
        <v>18970</v>
      </c>
    </row>
    <row r="125" spans="1:94" ht="9.75">
      <c r="A125" s="175">
        <v>416</v>
      </c>
      <c r="B125" s="175" t="s">
        <v>182</v>
      </c>
      <c r="C125" s="207">
        <v>3063</v>
      </c>
      <c r="D125" s="207">
        <v>11157845.059999999</v>
      </c>
      <c r="E125" s="207">
        <v>3316013.9796986207</v>
      </c>
      <c r="F125" s="207">
        <v>547423.8266335827</v>
      </c>
      <c r="G125" s="207">
        <v>15021282.866332201</v>
      </c>
      <c r="H125" s="207">
        <v>3524.51</v>
      </c>
      <c r="I125" s="207">
        <v>10795574.13</v>
      </c>
      <c r="J125" s="207">
        <v>4225708.7363322005</v>
      </c>
      <c r="K125" s="207">
        <v>9366.324666682387</v>
      </c>
      <c r="L125" s="207">
        <v>842514.5048999677</v>
      </c>
      <c r="M125" s="207">
        <v>0</v>
      </c>
      <c r="N125" s="207">
        <v>5077589.565898851</v>
      </c>
      <c r="O125" s="207">
        <v>1847102.456708929</v>
      </c>
      <c r="P125" s="207">
        <v>6924692.022607779</v>
      </c>
      <c r="Q125" s="207">
        <v>211</v>
      </c>
      <c r="R125" s="207">
        <v>50</v>
      </c>
      <c r="S125" s="207">
        <v>219</v>
      </c>
      <c r="T125" s="207">
        <v>111</v>
      </c>
      <c r="U125" s="207">
        <v>101</v>
      </c>
      <c r="V125" s="207">
        <v>1619</v>
      </c>
      <c r="W125" s="207">
        <v>417</v>
      </c>
      <c r="X125" s="207">
        <v>234</v>
      </c>
      <c r="Y125" s="207">
        <v>101</v>
      </c>
      <c r="Z125" s="207">
        <v>3</v>
      </c>
      <c r="AA125" s="207">
        <v>0</v>
      </c>
      <c r="AB125" s="207">
        <v>2994</v>
      </c>
      <c r="AC125" s="207">
        <v>66</v>
      </c>
      <c r="AD125" s="207">
        <v>752</v>
      </c>
      <c r="AE125" s="207">
        <v>0.9552073227989277</v>
      </c>
      <c r="AF125" s="207">
        <v>3316013.9796986207</v>
      </c>
      <c r="AG125" s="207">
        <v>23566062.652712803</v>
      </c>
      <c r="AH125" s="207">
        <v>5660547.787536189</v>
      </c>
      <c r="AI125" s="207">
        <v>2617871.1517204973</v>
      </c>
      <c r="AJ125" s="207">
        <v>149</v>
      </c>
      <c r="AK125" s="207">
        <v>1419</v>
      </c>
      <c r="AL125" s="207">
        <v>0.9074613548142196</v>
      </c>
      <c r="AM125" s="207">
        <v>66</v>
      </c>
      <c r="AN125" s="207">
        <v>0.021547502448579822</v>
      </c>
      <c r="AO125" s="207">
        <v>0.01660679098612923</v>
      </c>
      <c r="AP125" s="207">
        <v>0</v>
      </c>
      <c r="AQ125" s="207">
        <v>3</v>
      </c>
      <c r="AR125" s="207">
        <v>0</v>
      </c>
      <c r="AS125" s="207">
        <v>0</v>
      </c>
      <c r="AT125" s="207">
        <v>0</v>
      </c>
      <c r="AU125" s="207">
        <v>217.87</v>
      </c>
      <c r="AV125" s="207">
        <v>14.058842428971404</v>
      </c>
      <c r="AW125" s="207">
        <v>1.28999467858933</v>
      </c>
      <c r="AX125" s="207">
        <v>98</v>
      </c>
      <c r="AY125" s="207">
        <v>921</v>
      </c>
      <c r="AZ125" s="207">
        <v>0.10640608034744843</v>
      </c>
      <c r="BA125" s="207">
        <v>0.04522224426321394</v>
      </c>
      <c r="BB125" s="207">
        <v>0</v>
      </c>
      <c r="BC125" s="207">
        <v>549</v>
      </c>
      <c r="BD125" s="207">
        <v>1202</v>
      </c>
      <c r="BE125" s="207">
        <v>0.456738768718802</v>
      </c>
      <c r="BF125" s="207">
        <v>0.04783188612770889</v>
      </c>
      <c r="BG125" s="207">
        <v>0</v>
      </c>
      <c r="BH125" s="207">
        <v>0</v>
      </c>
      <c r="BI125" s="207">
        <v>0</v>
      </c>
      <c r="BJ125" s="207">
        <v>-735.12</v>
      </c>
      <c r="BK125" s="207">
        <v>-12558.3</v>
      </c>
      <c r="BL125" s="207">
        <v>-857.6400000000001</v>
      </c>
      <c r="BM125" s="207">
        <v>-1194.57</v>
      </c>
      <c r="BN125" s="207">
        <v>-61.26</v>
      </c>
      <c r="BO125" s="207">
        <v>34956</v>
      </c>
      <c r="BP125" s="207">
        <v>-92727.20342967211</v>
      </c>
      <c r="BQ125" s="207">
        <v>-277783.47</v>
      </c>
      <c r="BR125" s="207">
        <v>-11455.423512226902</v>
      </c>
      <c r="BS125" s="207">
        <v>279320</v>
      </c>
      <c r="BT125" s="207">
        <v>82236</v>
      </c>
      <c r="BU125" s="207">
        <v>190087.50948810115</v>
      </c>
      <c r="BV125" s="207">
        <v>5433.9903436895065</v>
      </c>
      <c r="BW125" s="207">
        <v>12855.739432420762</v>
      </c>
      <c r="BX125" s="207">
        <v>85809.04218262987</v>
      </c>
      <c r="BY125" s="207">
        <v>150215.59532392293</v>
      </c>
      <c r="BZ125" s="207">
        <v>236626.36320856414</v>
      </c>
      <c r="CA125" s="207">
        <v>65877.87675757242</v>
      </c>
      <c r="CB125" s="207">
        <v>122636.70339636307</v>
      </c>
      <c r="CC125" s="207">
        <v>275.67</v>
      </c>
      <c r="CD125" s="207">
        <v>6790.5517086032305</v>
      </c>
      <c r="CE125" s="207">
        <v>132382.86</v>
      </c>
      <c r="CF125" s="207">
        <v>1394048.4783296399</v>
      </c>
      <c r="CG125" s="207">
        <v>842514.5048999677</v>
      </c>
      <c r="CH125" s="207">
        <v>0</v>
      </c>
      <c r="CI125" s="207">
        <v>1847102.456708929</v>
      </c>
      <c r="CJ125" s="207">
        <v>-616550</v>
      </c>
      <c r="CK125" s="207">
        <v>0</v>
      </c>
      <c r="CL125" s="207">
        <v>0</v>
      </c>
      <c r="CM125" s="207">
        <v>-39548.21863999999</v>
      </c>
      <c r="CN125" s="207">
        <v>6308142.022607779</v>
      </c>
      <c r="CO125" s="207">
        <v>6268593.8039677795</v>
      </c>
      <c r="CP125" s="207">
        <v>3076</v>
      </c>
    </row>
    <row r="126" spans="1:94" ht="9.75">
      <c r="A126" s="175">
        <v>418</v>
      </c>
      <c r="B126" s="175" t="s">
        <v>183</v>
      </c>
      <c r="C126" s="207">
        <v>22829</v>
      </c>
      <c r="D126" s="207">
        <v>82035859.27</v>
      </c>
      <c r="E126" s="207">
        <v>17277651.455502626</v>
      </c>
      <c r="F126" s="207">
        <v>2659363.9418985336</v>
      </c>
      <c r="G126" s="207">
        <v>101972874.66740116</v>
      </c>
      <c r="H126" s="207">
        <v>3524.51</v>
      </c>
      <c r="I126" s="207">
        <v>80461038.79</v>
      </c>
      <c r="J126" s="207">
        <v>21511835.87740116</v>
      </c>
      <c r="K126" s="207">
        <v>430533.76295316673</v>
      </c>
      <c r="L126" s="207">
        <v>3552455.7866132325</v>
      </c>
      <c r="M126" s="207">
        <v>0</v>
      </c>
      <c r="N126" s="207">
        <v>25494825.426967558</v>
      </c>
      <c r="O126" s="207">
        <v>365029.47780968674</v>
      </c>
      <c r="P126" s="207">
        <v>25859854.904777244</v>
      </c>
      <c r="Q126" s="207">
        <v>1964</v>
      </c>
      <c r="R126" s="207">
        <v>407</v>
      </c>
      <c r="S126" s="207">
        <v>2359</v>
      </c>
      <c r="T126" s="207">
        <v>955</v>
      </c>
      <c r="U126" s="207">
        <v>891</v>
      </c>
      <c r="V126" s="207">
        <v>12650</v>
      </c>
      <c r="W126" s="207">
        <v>2210</v>
      </c>
      <c r="X126" s="207">
        <v>1002</v>
      </c>
      <c r="Y126" s="207">
        <v>391</v>
      </c>
      <c r="Z126" s="207">
        <v>64</v>
      </c>
      <c r="AA126" s="207">
        <v>0</v>
      </c>
      <c r="AB126" s="207">
        <v>22251</v>
      </c>
      <c r="AC126" s="207">
        <v>514</v>
      </c>
      <c r="AD126" s="207">
        <v>3603</v>
      </c>
      <c r="AE126" s="207">
        <v>0.6677687754254357</v>
      </c>
      <c r="AF126" s="207">
        <v>17277651.455502626</v>
      </c>
      <c r="AG126" s="207">
        <v>3872456.1024163696</v>
      </c>
      <c r="AH126" s="207">
        <v>1195627.127739685</v>
      </c>
      <c r="AI126" s="207">
        <v>330584.4116507113</v>
      </c>
      <c r="AJ126" s="207">
        <v>974</v>
      </c>
      <c r="AK126" s="207">
        <v>10900</v>
      </c>
      <c r="AL126" s="207">
        <v>0.7722478808305288</v>
      </c>
      <c r="AM126" s="207">
        <v>514</v>
      </c>
      <c r="AN126" s="207">
        <v>0.02251522186692365</v>
      </c>
      <c r="AO126" s="207">
        <v>0.017574510404473057</v>
      </c>
      <c r="AP126" s="207">
        <v>0</v>
      </c>
      <c r="AQ126" s="207">
        <v>64</v>
      </c>
      <c r="AR126" s="207">
        <v>0</v>
      </c>
      <c r="AS126" s="207">
        <v>0</v>
      </c>
      <c r="AT126" s="207">
        <v>0</v>
      </c>
      <c r="AU126" s="207">
        <v>269.55</v>
      </c>
      <c r="AV126" s="207">
        <v>84.69300686329066</v>
      </c>
      <c r="AW126" s="207">
        <v>0.21413612046828623</v>
      </c>
      <c r="AX126" s="207">
        <v>629</v>
      </c>
      <c r="AY126" s="207">
        <v>8017</v>
      </c>
      <c r="AZ126" s="207">
        <v>0.0784582761631533</v>
      </c>
      <c r="BA126" s="207">
        <v>0.01727444007891881</v>
      </c>
      <c r="BB126" s="207">
        <v>0</v>
      </c>
      <c r="BC126" s="207">
        <v>6818</v>
      </c>
      <c r="BD126" s="207">
        <v>9686</v>
      </c>
      <c r="BE126" s="207">
        <v>0.70390253974809</v>
      </c>
      <c r="BF126" s="207">
        <v>0.29499565715699694</v>
      </c>
      <c r="BG126" s="207">
        <v>0</v>
      </c>
      <c r="BH126" s="207">
        <v>0</v>
      </c>
      <c r="BI126" s="207">
        <v>0</v>
      </c>
      <c r="BJ126" s="207">
        <v>-5478.96</v>
      </c>
      <c r="BK126" s="207">
        <v>-93598.9</v>
      </c>
      <c r="BL126" s="207">
        <v>-6392.120000000001</v>
      </c>
      <c r="BM126" s="207">
        <v>-8903.31</v>
      </c>
      <c r="BN126" s="207">
        <v>-456.58</v>
      </c>
      <c r="BO126" s="207">
        <v>343408</v>
      </c>
      <c r="BP126" s="207">
        <v>-940961.6705927416</v>
      </c>
      <c r="BQ126" s="207">
        <v>-2070362.01</v>
      </c>
      <c r="BR126" s="207">
        <v>-22639.194855719805</v>
      </c>
      <c r="BS126" s="207">
        <v>1342222</v>
      </c>
      <c r="BT126" s="207">
        <v>425216</v>
      </c>
      <c r="BU126" s="207">
        <v>845415.0618822824</v>
      </c>
      <c r="BV126" s="207">
        <v>8296.370292491418</v>
      </c>
      <c r="BW126" s="207">
        <v>-22793.950664415817</v>
      </c>
      <c r="BX126" s="207">
        <v>436658.97893666575</v>
      </c>
      <c r="BY126" s="207">
        <v>906480.7620530743</v>
      </c>
      <c r="BZ126" s="207">
        <v>1500871.9621401401</v>
      </c>
      <c r="CA126" s="207">
        <v>378895.34219319944</v>
      </c>
      <c r="CB126" s="207">
        <v>753953.5517261815</v>
      </c>
      <c r="CC126" s="207">
        <v>2054.61</v>
      </c>
      <c r="CD126" s="207">
        <v>28264.493502075667</v>
      </c>
      <c r="CE126" s="207">
        <v>986669.38</v>
      </c>
      <c r="CF126" s="207">
        <v>7912973.367205975</v>
      </c>
      <c r="CG126" s="207">
        <v>3552455.7866132325</v>
      </c>
      <c r="CH126" s="207">
        <v>0</v>
      </c>
      <c r="CI126" s="207">
        <v>365029.47780968674</v>
      </c>
      <c r="CJ126" s="207">
        <v>-2208151</v>
      </c>
      <c r="CK126" s="207">
        <v>0</v>
      </c>
      <c r="CL126" s="207">
        <v>0</v>
      </c>
      <c r="CM126" s="207">
        <v>-287833.4137000001</v>
      </c>
      <c r="CN126" s="207">
        <v>23651703.904777244</v>
      </c>
      <c r="CO126" s="207">
        <v>23363870.491077244</v>
      </c>
      <c r="CP126" s="207">
        <v>22745</v>
      </c>
    </row>
    <row r="127" spans="1:94" ht="9.75">
      <c r="A127" s="175">
        <v>420</v>
      </c>
      <c r="B127" s="175" t="s">
        <v>184</v>
      </c>
      <c r="C127" s="207">
        <v>9782</v>
      </c>
      <c r="D127" s="207">
        <v>34070356.21</v>
      </c>
      <c r="E127" s="207">
        <v>15620548.107604548</v>
      </c>
      <c r="F127" s="207">
        <v>2054508.874302805</v>
      </c>
      <c r="G127" s="207">
        <v>51745413.19190735</v>
      </c>
      <c r="H127" s="207">
        <v>3524.51</v>
      </c>
      <c r="I127" s="207">
        <v>34476756.82</v>
      </c>
      <c r="J127" s="207">
        <v>17268656.371907353</v>
      </c>
      <c r="K127" s="207">
        <v>227301.36682356315</v>
      </c>
      <c r="L127" s="207">
        <v>2606524.9309857655</v>
      </c>
      <c r="M127" s="207">
        <v>0</v>
      </c>
      <c r="N127" s="207">
        <v>20102482.66971668</v>
      </c>
      <c r="O127" s="207">
        <v>4825053.056888346</v>
      </c>
      <c r="P127" s="207">
        <v>24927535.726605024</v>
      </c>
      <c r="Q127" s="207">
        <v>462</v>
      </c>
      <c r="R127" s="207">
        <v>92</v>
      </c>
      <c r="S127" s="207">
        <v>601</v>
      </c>
      <c r="T127" s="207">
        <v>306</v>
      </c>
      <c r="U127" s="207">
        <v>304</v>
      </c>
      <c r="V127" s="207">
        <v>5217</v>
      </c>
      <c r="W127" s="207">
        <v>1504</v>
      </c>
      <c r="X127" s="207">
        <v>934</v>
      </c>
      <c r="Y127" s="207">
        <v>362</v>
      </c>
      <c r="Z127" s="207">
        <v>11</v>
      </c>
      <c r="AA127" s="207">
        <v>0</v>
      </c>
      <c r="AB127" s="207">
        <v>9607</v>
      </c>
      <c r="AC127" s="207">
        <v>164</v>
      </c>
      <c r="AD127" s="207">
        <v>2800</v>
      </c>
      <c r="AE127" s="207">
        <v>1.4089542695419117</v>
      </c>
      <c r="AF127" s="207">
        <v>15620548.107604548</v>
      </c>
      <c r="AG127" s="207">
        <v>22862293.732327174</v>
      </c>
      <c r="AH127" s="207">
        <v>3931789.4516251725</v>
      </c>
      <c r="AI127" s="207">
        <v>2367699.164525364</v>
      </c>
      <c r="AJ127" s="207">
        <v>481</v>
      </c>
      <c r="AK127" s="207">
        <v>4302</v>
      </c>
      <c r="AL127" s="207">
        <v>0.9662709800241851</v>
      </c>
      <c r="AM127" s="207">
        <v>164</v>
      </c>
      <c r="AN127" s="207">
        <v>0.016765487630341445</v>
      </c>
      <c r="AO127" s="207">
        <v>0.011824776167890853</v>
      </c>
      <c r="AP127" s="207">
        <v>0</v>
      </c>
      <c r="AQ127" s="207">
        <v>11</v>
      </c>
      <c r="AR127" s="207">
        <v>0</v>
      </c>
      <c r="AS127" s="207">
        <v>0</v>
      </c>
      <c r="AT127" s="207">
        <v>0</v>
      </c>
      <c r="AU127" s="207">
        <v>1136</v>
      </c>
      <c r="AV127" s="207">
        <v>8.610915492957746</v>
      </c>
      <c r="AW127" s="207">
        <v>2.106144455294098</v>
      </c>
      <c r="AX127" s="207">
        <v>321</v>
      </c>
      <c r="AY127" s="207">
        <v>2755</v>
      </c>
      <c r="AZ127" s="207">
        <v>0.11651542649727768</v>
      </c>
      <c r="BA127" s="207">
        <v>0.05533159041304319</v>
      </c>
      <c r="BB127" s="207">
        <v>0</v>
      </c>
      <c r="BC127" s="207">
        <v>2813</v>
      </c>
      <c r="BD127" s="207">
        <v>3642</v>
      </c>
      <c r="BE127" s="207">
        <v>0.772377814387699</v>
      </c>
      <c r="BF127" s="207">
        <v>0.36347093179660594</v>
      </c>
      <c r="BG127" s="207">
        <v>0</v>
      </c>
      <c r="BH127" s="207">
        <v>0</v>
      </c>
      <c r="BI127" s="207">
        <v>0</v>
      </c>
      <c r="BJ127" s="207">
        <v>-2347.68</v>
      </c>
      <c r="BK127" s="207">
        <v>-40106.2</v>
      </c>
      <c r="BL127" s="207">
        <v>-2738.96</v>
      </c>
      <c r="BM127" s="207">
        <v>-3814.98</v>
      </c>
      <c r="BN127" s="207">
        <v>-195.64000000000001</v>
      </c>
      <c r="BO127" s="207">
        <v>13462</v>
      </c>
      <c r="BP127" s="207">
        <v>-408115.40507831675</v>
      </c>
      <c r="BQ127" s="207">
        <v>-887129.58</v>
      </c>
      <c r="BR127" s="207">
        <v>-162756.96273579448</v>
      </c>
      <c r="BS127" s="207">
        <v>916807</v>
      </c>
      <c r="BT127" s="207">
        <v>274888</v>
      </c>
      <c r="BU127" s="207">
        <v>642507.6030536001</v>
      </c>
      <c r="BV127" s="207">
        <v>26076.26417859702</v>
      </c>
      <c r="BW127" s="207">
        <v>100966.89511105619</v>
      </c>
      <c r="BX127" s="207">
        <v>316588.37062268355</v>
      </c>
      <c r="BY127" s="207">
        <v>483606.50641529675</v>
      </c>
      <c r="BZ127" s="207">
        <v>771459.6196428823</v>
      </c>
      <c r="CA127" s="207">
        <v>225046.2031277343</v>
      </c>
      <c r="CB127" s="207">
        <v>416066.2286854894</v>
      </c>
      <c r="CC127" s="207">
        <v>880.38</v>
      </c>
      <c r="CD127" s="207">
        <v>31509.96796253744</v>
      </c>
      <c r="CE127" s="207">
        <v>422778.04</v>
      </c>
      <c r="CF127" s="207">
        <v>4479886.116064082</v>
      </c>
      <c r="CG127" s="207">
        <v>2606524.9309857655</v>
      </c>
      <c r="CH127" s="207">
        <v>0</v>
      </c>
      <c r="CI127" s="207">
        <v>4825053.056888346</v>
      </c>
      <c r="CJ127" s="207">
        <v>-958725</v>
      </c>
      <c r="CK127" s="207">
        <v>0</v>
      </c>
      <c r="CL127" s="207">
        <v>0</v>
      </c>
      <c r="CM127" s="207">
        <v>-147342.19508000003</v>
      </c>
      <c r="CN127" s="207">
        <v>23968810.726605024</v>
      </c>
      <c r="CO127" s="207">
        <v>23821468.531525023</v>
      </c>
      <c r="CP127" s="207">
        <v>9865</v>
      </c>
    </row>
    <row r="128" spans="1:94" ht="9.75">
      <c r="A128" s="175">
        <v>421</v>
      </c>
      <c r="B128" s="175" t="s">
        <v>185</v>
      </c>
      <c r="C128" s="207">
        <v>789</v>
      </c>
      <c r="D128" s="207">
        <v>2970895.83</v>
      </c>
      <c r="E128" s="207">
        <v>1229174.0667415662</v>
      </c>
      <c r="F128" s="207">
        <v>452935.0974597486</v>
      </c>
      <c r="G128" s="207">
        <v>4653004.994201315</v>
      </c>
      <c r="H128" s="207">
        <v>3524.51</v>
      </c>
      <c r="I128" s="207">
        <v>2780838.39</v>
      </c>
      <c r="J128" s="207">
        <v>1872166.6042013145</v>
      </c>
      <c r="K128" s="207">
        <v>172470.54046073087</v>
      </c>
      <c r="L128" s="207">
        <v>401311.7443394932</v>
      </c>
      <c r="M128" s="207">
        <v>0</v>
      </c>
      <c r="N128" s="207">
        <v>2445948.8890015385</v>
      </c>
      <c r="O128" s="207">
        <v>715141.7765099937</v>
      </c>
      <c r="P128" s="207">
        <v>3161090.665511532</v>
      </c>
      <c r="Q128" s="207">
        <v>52</v>
      </c>
      <c r="R128" s="207">
        <v>7</v>
      </c>
      <c r="S128" s="207">
        <v>49</v>
      </c>
      <c r="T128" s="207">
        <v>27</v>
      </c>
      <c r="U128" s="207">
        <v>29</v>
      </c>
      <c r="V128" s="207">
        <v>394</v>
      </c>
      <c r="W128" s="207">
        <v>128</v>
      </c>
      <c r="X128" s="207">
        <v>68</v>
      </c>
      <c r="Y128" s="207">
        <v>35</v>
      </c>
      <c r="Z128" s="207">
        <v>1</v>
      </c>
      <c r="AA128" s="207">
        <v>0</v>
      </c>
      <c r="AB128" s="207">
        <v>773</v>
      </c>
      <c r="AC128" s="207">
        <v>15</v>
      </c>
      <c r="AD128" s="207">
        <v>231</v>
      </c>
      <c r="AE128" s="207">
        <v>1.3745630738445984</v>
      </c>
      <c r="AF128" s="207">
        <v>1229174.0667415662</v>
      </c>
      <c r="AG128" s="207">
        <v>19876639.609298088</v>
      </c>
      <c r="AH128" s="207">
        <v>5066971.566142557</v>
      </c>
      <c r="AI128" s="207">
        <v>2206874.3156142076</v>
      </c>
      <c r="AJ128" s="207">
        <v>35</v>
      </c>
      <c r="AK128" s="207">
        <v>317</v>
      </c>
      <c r="AL128" s="207">
        <v>0.9541860179715075</v>
      </c>
      <c r="AM128" s="207">
        <v>15</v>
      </c>
      <c r="AN128" s="207">
        <v>0.019011406844106463</v>
      </c>
      <c r="AO128" s="207">
        <v>0.014070695381655871</v>
      </c>
      <c r="AP128" s="207">
        <v>0</v>
      </c>
      <c r="AQ128" s="207">
        <v>1</v>
      </c>
      <c r="AR128" s="207">
        <v>0</v>
      </c>
      <c r="AS128" s="207">
        <v>0</v>
      </c>
      <c r="AT128" s="207">
        <v>0</v>
      </c>
      <c r="AU128" s="207">
        <v>480.65</v>
      </c>
      <c r="AV128" s="207">
        <v>1.6415270987204829</v>
      </c>
      <c r="AW128" s="207">
        <v>11.048146530529587</v>
      </c>
      <c r="AX128" s="207">
        <v>30</v>
      </c>
      <c r="AY128" s="207">
        <v>185</v>
      </c>
      <c r="AZ128" s="207">
        <v>0.16216216216216217</v>
      </c>
      <c r="BA128" s="207">
        <v>0.10097832607792767</v>
      </c>
      <c r="BB128" s="207">
        <v>0.844066</v>
      </c>
      <c r="BC128" s="207">
        <v>289</v>
      </c>
      <c r="BD128" s="207">
        <v>276</v>
      </c>
      <c r="BE128" s="207">
        <v>1.0471014492753623</v>
      </c>
      <c r="BF128" s="207">
        <v>0.6381945666842692</v>
      </c>
      <c r="BG128" s="207">
        <v>0</v>
      </c>
      <c r="BH128" s="207">
        <v>0</v>
      </c>
      <c r="BI128" s="207">
        <v>0</v>
      </c>
      <c r="BJ128" s="207">
        <v>-189.35999999999999</v>
      </c>
      <c r="BK128" s="207">
        <v>-3234.8999999999996</v>
      </c>
      <c r="BL128" s="207">
        <v>-220.92000000000002</v>
      </c>
      <c r="BM128" s="207">
        <v>-307.71000000000004</v>
      </c>
      <c r="BN128" s="207">
        <v>-15.780000000000001</v>
      </c>
      <c r="BO128" s="207">
        <v>18127</v>
      </c>
      <c r="BP128" s="207">
        <v>10846.560242026198</v>
      </c>
      <c r="BQ128" s="207">
        <v>-71554.41</v>
      </c>
      <c r="BR128" s="207">
        <v>39125.340264778584</v>
      </c>
      <c r="BS128" s="207">
        <v>87058</v>
      </c>
      <c r="BT128" s="207">
        <v>27619</v>
      </c>
      <c r="BU128" s="207">
        <v>77405.55972526678</v>
      </c>
      <c r="BV128" s="207">
        <v>3950.5922864278295</v>
      </c>
      <c r="BW128" s="207">
        <v>13927.977188081828</v>
      </c>
      <c r="BX128" s="207">
        <v>33393.64252528982</v>
      </c>
      <c r="BY128" s="207">
        <v>41412.7244548931</v>
      </c>
      <c r="BZ128" s="207">
        <v>78470.13888235787</v>
      </c>
      <c r="CA128" s="207">
        <v>23278.63636519998</v>
      </c>
      <c r="CB128" s="207">
        <v>41380.884639625365</v>
      </c>
      <c r="CC128" s="207">
        <v>71.00999999999999</v>
      </c>
      <c r="CD128" s="207">
        <v>-10671.592234454174</v>
      </c>
      <c r="CE128" s="207">
        <v>34100.58</v>
      </c>
      <c r="CF128" s="207">
        <v>508649.494097467</v>
      </c>
      <c r="CG128" s="207">
        <v>401311.7443394932</v>
      </c>
      <c r="CH128" s="207">
        <v>0</v>
      </c>
      <c r="CI128" s="207">
        <v>715141.7765099937</v>
      </c>
      <c r="CJ128" s="207">
        <v>-147457</v>
      </c>
      <c r="CK128" s="207">
        <v>0</v>
      </c>
      <c r="CL128" s="207">
        <v>0</v>
      </c>
      <c r="CM128" s="207">
        <v>-17160.442000000003</v>
      </c>
      <c r="CN128" s="207">
        <v>3013633.665511532</v>
      </c>
      <c r="CO128" s="207">
        <v>2996473.2235115324</v>
      </c>
      <c r="CP128" s="207">
        <v>811</v>
      </c>
    </row>
    <row r="129" spans="1:94" ht="9.75">
      <c r="A129" s="175">
        <v>422</v>
      </c>
      <c r="B129" s="175" t="s">
        <v>186</v>
      </c>
      <c r="C129" s="207">
        <v>11297</v>
      </c>
      <c r="D129" s="207">
        <v>38442593.370000005</v>
      </c>
      <c r="E129" s="207">
        <v>20454057.30943051</v>
      </c>
      <c r="F129" s="207">
        <v>5214569.539020438</v>
      </c>
      <c r="G129" s="207">
        <v>64111220.21845095</v>
      </c>
      <c r="H129" s="207">
        <v>3524.51</v>
      </c>
      <c r="I129" s="207">
        <v>39816389.47</v>
      </c>
      <c r="J129" s="207">
        <v>24294830.74845095</v>
      </c>
      <c r="K129" s="207">
        <v>2537656.2655968713</v>
      </c>
      <c r="L129" s="207">
        <v>4109770.4966579787</v>
      </c>
      <c r="M129" s="207">
        <v>0</v>
      </c>
      <c r="N129" s="207">
        <v>30942257.5107058</v>
      </c>
      <c r="O129" s="207">
        <v>6781356.248033897</v>
      </c>
      <c r="P129" s="207">
        <v>37723613.758739695</v>
      </c>
      <c r="Q129" s="207">
        <v>439</v>
      </c>
      <c r="R129" s="207">
        <v>93</v>
      </c>
      <c r="S129" s="207">
        <v>490</v>
      </c>
      <c r="T129" s="207">
        <v>250</v>
      </c>
      <c r="U129" s="207">
        <v>297</v>
      </c>
      <c r="V129" s="207">
        <v>5791</v>
      </c>
      <c r="W129" s="207">
        <v>2229</v>
      </c>
      <c r="X129" s="207">
        <v>1209</v>
      </c>
      <c r="Y129" s="207">
        <v>499</v>
      </c>
      <c r="Z129" s="207">
        <v>9</v>
      </c>
      <c r="AA129" s="207">
        <v>0</v>
      </c>
      <c r="AB129" s="207">
        <v>10902</v>
      </c>
      <c r="AC129" s="207">
        <v>386</v>
      </c>
      <c r="AD129" s="207">
        <v>3937</v>
      </c>
      <c r="AE129" s="207">
        <v>1.597513830995714</v>
      </c>
      <c r="AF129" s="207">
        <v>20454057.30943051</v>
      </c>
      <c r="AG129" s="207">
        <v>1635507.1597673327</v>
      </c>
      <c r="AH129" s="207">
        <v>368242.4749189514</v>
      </c>
      <c r="AI129" s="207">
        <v>142955.42125436163</v>
      </c>
      <c r="AJ129" s="207">
        <v>897</v>
      </c>
      <c r="AK129" s="207">
        <v>4567</v>
      </c>
      <c r="AL129" s="207">
        <v>1.6974058620800163</v>
      </c>
      <c r="AM129" s="207">
        <v>386</v>
      </c>
      <c r="AN129" s="207">
        <v>0.03416836328228733</v>
      </c>
      <c r="AO129" s="207">
        <v>0.02922765181983674</v>
      </c>
      <c r="AP129" s="207">
        <v>0</v>
      </c>
      <c r="AQ129" s="207">
        <v>9</v>
      </c>
      <c r="AR129" s="207">
        <v>0</v>
      </c>
      <c r="AS129" s="207">
        <v>3</v>
      </c>
      <c r="AT129" s="207">
        <v>232</v>
      </c>
      <c r="AU129" s="207">
        <v>3417.85</v>
      </c>
      <c r="AV129" s="207">
        <v>3.305294263937856</v>
      </c>
      <c r="AW129" s="207">
        <v>5.486903879744844</v>
      </c>
      <c r="AX129" s="207">
        <v>433</v>
      </c>
      <c r="AY129" s="207">
        <v>2634</v>
      </c>
      <c r="AZ129" s="207">
        <v>0.16438876233864844</v>
      </c>
      <c r="BA129" s="207">
        <v>0.10320492625441394</v>
      </c>
      <c r="BB129" s="207">
        <v>0.874783</v>
      </c>
      <c r="BC129" s="207">
        <v>3689</v>
      </c>
      <c r="BD129" s="207">
        <v>3546</v>
      </c>
      <c r="BE129" s="207">
        <v>1.0403271291596166</v>
      </c>
      <c r="BF129" s="207">
        <v>0.6314202465685235</v>
      </c>
      <c r="BG129" s="207">
        <v>0</v>
      </c>
      <c r="BH129" s="207">
        <v>0</v>
      </c>
      <c r="BI129" s="207">
        <v>0</v>
      </c>
      <c r="BJ129" s="207">
        <v>-2711.2799999999997</v>
      </c>
      <c r="BK129" s="207">
        <v>-46317.7</v>
      </c>
      <c r="BL129" s="207">
        <v>-3163.1600000000003</v>
      </c>
      <c r="BM129" s="207">
        <v>-4405.83</v>
      </c>
      <c r="BN129" s="207">
        <v>-225.94</v>
      </c>
      <c r="BO129" s="207">
        <v>635429</v>
      </c>
      <c r="BP129" s="207">
        <v>-351700.23332417</v>
      </c>
      <c r="BQ129" s="207">
        <v>-1024524.9299999999</v>
      </c>
      <c r="BR129" s="207">
        <v>-315981.70902796835</v>
      </c>
      <c r="BS129" s="207">
        <v>1068144</v>
      </c>
      <c r="BT129" s="207">
        <v>308816</v>
      </c>
      <c r="BU129" s="207">
        <v>830643.1792137162</v>
      </c>
      <c r="BV129" s="207">
        <v>50258.222704215</v>
      </c>
      <c r="BW129" s="207">
        <v>160868.26536115995</v>
      </c>
      <c r="BX129" s="207">
        <v>477634.4870978819</v>
      </c>
      <c r="BY129" s="207">
        <v>576044.7873923811</v>
      </c>
      <c r="BZ129" s="207">
        <v>990194.3049416464</v>
      </c>
      <c r="CA129" s="207">
        <v>262197.11248605064</v>
      </c>
      <c r="CB129" s="207">
        <v>511283.1012130259</v>
      </c>
      <c r="CC129" s="207">
        <v>1016.73</v>
      </c>
      <c r="CD129" s="207">
        <v>108844.53860003932</v>
      </c>
      <c r="CE129" s="207">
        <v>488256.33999999997</v>
      </c>
      <c r="CF129" s="207">
        <v>6153648.359982149</v>
      </c>
      <c r="CG129" s="207">
        <v>4109770.4966579787</v>
      </c>
      <c r="CH129" s="207">
        <v>0</v>
      </c>
      <c r="CI129" s="207">
        <v>6781356.248033897</v>
      </c>
      <c r="CJ129" s="207">
        <v>-623829</v>
      </c>
      <c r="CK129" s="207">
        <v>0</v>
      </c>
      <c r="CL129" s="207">
        <v>0</v>
      </c>
      <c r="CM129" s="207">
        <v>190678.91129999998</v>
      </c>
      <c r="CN129" s="207">
        <v>37099784.758739695</v>
      </c>
      <c r="CO129" s="207">
        <v>37290463.6700397</v>
      </c>
      <c r="CP129" s="207">
        <v>11580</v>
      </c>
    </row>
    <row r="130" spans="1:94" ht="9.75">
      <c r="A130" s="175">
        <v>423</v>
      </c>
      <c r="B130" s="175" t="s">
        <v>187</v>
      </c>
      <c r="C130" s="207">
        <v>19596</v>
      </c>
      <c r="D130" s="207">
        <v>68640122.22</v>
      </c>
      <c r="E130" s="207">
        <v>16582275.843927281</v>
      </c>
      <c r="F130" s="207">
        <v>2401631.65626497</v>
      </c>
      <c r="G130" s="207">
        <v>87624029.72019225</v>
      </c>
      <c r="H130" s="207">
        <v>3524.51</v>
      </c>
      <c r="I130" s="207">
        <v>69066297.96000001</v>
      </c>
      <c r="J130" s="207">
        <v>18557731.760192245</v>
      </c>
      <c r="K130" s="207">
        <v>369493.95052883815</v>
      </c>
      <c r="L130" s="207">
        <v>3268740.754141161</v>
      </c>
      <c r="M130" s="207">
        <v>0</v>
      </c>
      <c r="N130" s="207">
        <v>22195966.464862242</v>
      </c>
      <c r="O130" s="207">
        <v>19686.19610868771</v>
      </c>
      <c r="P130" s="207">
        <v>22215652.66097093</v>
      </c>
      <c r="Q130" s="207">
        <v>1419</v>
      </c>
      <c r="R130" s="207">
        <v>322</v>
      </c>
      <c r="S130" s="207">
        <v>1669</v>
      </c>
      <c r="T130" s="207">
        <v>817</v>
      </c>
      <c r="U130" s="207">
        <v>770</v>
      </c>
      <c r="V130" s="207">
        <v>10959</v>
      </c>
      <c r="W130" s="207">
        <v>2161</v>
      </c>
      <c r="X130" s="207">
        <v>1063</v>
      </c>
      <c r="Y130" s="207">
        <v>416</v>
      </c>
      <c r="Z130" s="207">
        <v>274</v>
      </c>
      <c r="AA130" s="207">
        <v>0</v>
      </c>
      <c r="AB130" s="207">
        <v>18750</v>
      </c>
      <c r="AC130" s="207">
        <v>572</v>
      </c>
      <c r="AD130" s="207">
        <v>3640</v>
      </c>
      <c r="AE130" s="207">
        <v>0.7466292359735173</v>
      </c>
      <c r="AF130" s="207">
        <v>16582275.843927281</v>
      </c>
      <c r="AG130" s="207">
        <v>25894146.183258865</v>
      </c>
      <c r="AH130" s="207">
        <v>7427732.434669833</v>
      </c>
      <c r="AI130" s="207">
        <v>2269417.312412991</v>
      </c>
      <c r="AJ130" s="207">
        <v>658</v>
      </c>
      <c r="AK130" s="207">
        <v>9421</v>
      </c>
      <c r="AL130" s="207">
        <v>0.603605455121855</v>
      </c>
      <c r="AM130" s="207">
        <v>572</v>
      </c>
      <c r="AN130" s="207">
        <v>0.029189630536844254</v>
      </c>
      <c r="AO130" s="207">
        <v>0.024248919074393662</v>
      </c>
      <c r="AP130" s="207">
        <v>0</v>
      </c>
      <c r="AQ130" s="207">
        <v>274</v>
      </c>
      <c r="AR130" s="207">
        <v>0</v>
      </c>
      <c r="AS130" s="207">
        <v>0</v>
      </c>
      <c r="AT130" s="207">
        <v>0</v>
      </c>
      <c r="AU130" s="207">
        <v>300.49</v>
      </c>
      <c r="AV130" s="207">
        <v>65.2134846417518</v>
      </c>
      <c r="AW130" s="207">
        <v>0.2780994148699094</v>
      </c>
      <c r="AX130" s="207">
        <v>648</v>
      </c>
      <c r="AY130" s="207">
        <v>6955</v>
      </c>
      <c r="AZ130" s="207">
        <v>0.0931703810208483</v>
      </c>
      <c r="BA130" s="207">
        <v>0.03198654493661381</v>
      </c>
      <c r="BB130" s="207">
        <v>0</v>
      </c>
      <c r="BC130" s="207">
        <v>6146</v>
      </c>
      <c r="BD130" s="207">
        <v>8732</v>
      </c>
      <c r="BE130" s="207">
        <v>0.7038479157123225</v>
      </c>
      <c r="BF130" s="207">
        <v>0.29494103312122943</v>
      </c>
      <c r="BG130" s="207">
        <v>0</v>
      </c>
      <c r="BH130" s="207">
        <v>0</v>
      </c>
      <c r="BI130" s="207">
        <v>0</v>
      </c>
      <c r="BJ130" s="207">
        <v>-4703.04</v>
      </c>
      <c r="BK130" s="207">
        <v>-80343.59999999999</v>
      </c>
      <c r="BL130" s="207">
        <v>-5486.88</v>
      </c>
      <c r="BM130" s="207">
        <v>-7642.4400000000005</v>
      </c>
      <c r="BN130" s="207">
        <v>-391.92</v>
      </c>
      <c r="BO130" s="207">
        <v>13774</v>
      </c>
      <c r="BP130" s="207">
        <v>-373742.1602743883</v>
      </c>
      <c r="BQ130" s="207">
        <v>-1777161.24</v>
      </c>
      <c r="BR130" s="207">
        <v>-70084.70936955605</v>
      </c>
      <c r="BS130" s="207">
        <v>1240823</v>
      </c>
      <c r="BT130" s="207">
        <v>412341</v>
      </c>
      <c r="BU130" s="207">
        <v>713439.9012823217</v>
      </c>
      <c r="BV130" s="207">
        <v>8667.180460595026</v>
      </c>
      <c r="BW130" s="207">
        <v>-59692.6854276775</v>
      </c>
      <c r="BX130" s="207">
        <v>360453.8116336227</v>
      </c>
      <c r="BY130" s="207">
        <v>779973.237662184</v>
      </c>
      <c r="BZ130" s="207">
        <v>1391968.517984017</v>
      </c>
      <c r="CA130" s="207">
        <v>350090.31404010975</v>
      </c>
      <c r="CB130" s="207">
        <v>658548.9317850033</v>
      </c>
      <c r="CC130" s="207">
        <v>1763.6399999999999</v>
      </c>
      <c r="CD130" s="207">
        <v>-71237.50563507101</v>
      </c>
      <c r="CE130" s="207">
        <v>846939.12</v>
      </c>
      <c r="CF130" s="207">
        <v>6577767.754415549</v>
      </c>
      <c r="CG130" s="207">
        <v>3268740.754141161</v>
      </c>
      <c r="CH130" s="207">
        <v>0</v>
      </c>
      <c r="CI130" s="207">
        <v>19686.19610868771</v>
      </c>
      <c r="CJ130" s="207">
        <v>-1578982</v>
      </c>
      <c r="CK130" s="207">
        <v>0</v>
      </c>
      <c r="CL130" s="207">
        <v>0</v>
      </c>
      <c r="CM130" s="207">
        <v>-558163.1765600002</v>
      </c>
      <c r="CN130" s="207">
        <v>20636670.66097093</v>
      </c>
      <c r="CO130" s="207">
        <v>20078507.48441093</v>
      </c>
      <c r="CP130" s="207">
        <v>19418</v>
      </c>
    </row>
    <row r="131" spans="1:94" ht="9.75">
      <c r="A131" s="175">
        <v>425</v>
      </c>
      <c r="B131" s="175" t="s">
        <v>188</v>
      </c>
      <c r="C131" s="207">
        <v>10133</v>
      </c>
      <c r="D131" s="207">
        <v>43408251.12</v>
      </c>
      <c r="E131" s="207">
        <v>7116585.829630794</v>
      </c>
      <c r="F131" s="207">
        <v>1118084.014390004</v>
      </c>
      <c r="G131" s="207">
        <v>51642920.964020796</v>
      </c>
      <c r="H131" s="207">
        <v>3524.51</v>
      </c>
      <c r="I131" s="207">
        <v>35713859.830000006</v>
      </c>
      <c r="J131" s="207">
        <v>15929061.13402079</v>
      </c>
      <c r="K131" s="207">
        <v>107561.61632501974</v>
      </c>
      <c r="L131" s="207">
        <v>1295350.5415202389</v>
      </c>
      <c r="M131" s="207">
        <v>0</v>
      </c>
      <c r="N131" s="207">
        <v>17331973.29186605</v>
      </c>
      <c r="O131" s="207">
        <v>7067524.083123582</v>
      </c>
      <c r="P131" s="207">
        <v>24399497.374989633</v>
      </c>
      <c r="Q131" s="207">
        <v>1228</v>
      </c>
      <c r="R131" s="207">
        <v>226</v>
      </c>
      <c r="S131" s="207">
        <v>1499</v>
      </c>
      <c r="T131" s="207">
        <v>683</v>
      </c>
      <c r="U131" s="207">
        <v>524</v>
      </c>
      <c r="V131" s="207">
        <v>4998</v>
      </c>
      <c r="W131" s="207">
        <v>567</v>
      </c>
      <c r="X131" s="207">
        <v>292</v>
      </c>
      <c r="Y131" s="207">
        <v>116</v>
      </c>
      <c r="Z131" s="207">
        <v>12</v>
      </c>
      <c r="AA131" s="207">
        <v>2</v>
      </c>
      <c r="AB131" s="207">
        <v>10062</v>
      </c>
      <c r="AC131" s="207">
        <v>57</v>
      </c>
      <c r="AD131" s="207">
        <v>975</v>
      </c>
      <c r="AE131" s="207">
        <v>0.6196720901362048</v>
      </c>
      <c r="AF131" s="207">
        <v>7116585.829630794</v>
      </c>
      <c r="AG131" s="207">
        <v>20508968.843617205</v>
      </c>
      <c r="AH131" s="207">
        <v>4311370.20367225</v>
      </c>
      <c r="AI131" s="207">
        <v>2162200.7464722195</v>
      </c>
      <c r="AJ131" s="207">
        <v>359</v>
      </c>
      <c r="AK131" s="207">
        <v>4217</v>
      </c>
      <c r="AL131" s="207">
        <v>0.7357243226614144</v>
      </c>
      <c r="AM131" s="207">
        <v>57</v>
      </c>
      <c r="AN131" s="207">
        <v>0.005625185038981546</v>
      </c>
      <c r="AO131" s="207">
        <v>0.0006844735765309529</v>
      </c>
      <c r="AP131" s="207">
        <v>0</v>
      </c>
      <c r="AQ131" s="207">
        <v>12</v>
      </c>
      <c r="AR131" s="207">
        <v>2</v>
      </c>
      <c r="AS131" s="207">
        <v>0</v>
      </c>
      <c r="AT131" s="207">
        <v>0</v>
      </c>
      <c r="AU131" s="207">
        <v>637</v>
      </c>
      <c r="AV131" s="207">
        <v>15.907378335949765</v>
      </c>
      <c r="AW131" s="207">
        <v>1.140089305571683</v>
      </c>
      <c r="AX131" s="207">
        <v>213</v>
      </c>
      <c r="AY131" s="207">
        <v>3410</v>
      </c>
      <c r="AZ131" s="207">
        <v>0.0624633431085044</v>
      </c>
      <c r="BA131" s="207">
        <v>0.0012795070242699047</v>
      </c>
      <c r="BB131" s="207">
        <v>0</v>
      </c>
      <c r="BC131" s="207">
        <v>2194</v>
      </c>
      <c r="BD131" s="207">
        <v>3816</v>
      </c>
      <c r="BE131" s="207">
        <v>0.5749475890985325</v>
      </c>
      <c r="BF131" s="207">
        <v>0.1660407065074394</v>
      </c>
      <c r="BG131" s="207">
        <v>0</v>
      </c>
      <c r="BH131" s="207">
        <v>2</v>
      </c>
      <c r="BI131" s="207">
        <v>0</v>
      </c>
      <c r="BJ131" s="207">
        <v>-2431.92</v>
      </c>
      <c r="BK131" s="207">
        <v>-41545.299999999996</v>
      </c>
      <c r="BL131" s="207">
        <v>-2837.2400000000002</v>
      </c>
      <c r="BM131" s="207">
        <v>-3951.8700000000003</v>
      </c>
      <c r="BN131" s="207">
        <v>-202.66</v>
      </c>
      <c r="BO131" s="207">
        <v>40867</v>
      </c>
      <c r="BP131" s="207">
        <v>-140363.25551253674</v>
      </c>
      <c r="BQ131" s="207">
        <v>-918961.77</v>
      </c>
      <c r="BR131" s="207">
        <v>-237163.8779362552</v>
      </c>
      <c r="BS131" s="207">
        <v>593519</v>
      </c>
      <c r="BT131" s="207">
        <v>166010</v>
      </c>
      <c r="BU131" s="207">
        <v>333043.6696408922</v>
      </c>
      <c r="BV131" s="207">
        <v>-639.7687502854976</v>
      </c>
      <c r="BW131" s="207">
        <v>-12296.181836887137</v>
      </c>
      <c r="BX131" s="207">
        <v>206898.77974201023</v>
      </c>
      <c r="BY131" s="207">
        <v>384628.31613368576</v>
      </c>
      <c r="BZ131" s="207">
        <v>580936.6325078302</v>
      </c>
      <c r="CA131" s="207">
        <v>119767.59798885522</v>
      </c>
      <c r="CB131" s="207">
        <v>301142.6827639761</v>
      </c>
      <c r="CC131" s="207">
        <v>911.9699999999999</v>
      </c>
      <c r="CD131" s="207">
        <v>37961.786778954076</v>
      </c>
      <c r="CE131" s="207">
        <v>437948.26</v>
      </c>
      <c r="CF131" s="207">
        <v>2953535.8670327757</v>
      </c>
      <c r="CG131" s="207">
        <v>1295350.5415202389</v>
      </c>
      <c r="CH131" s="207">
        <v>0</v>
      </c>
      <c r="CI131" s="207">
        <v>7067524.083123582</v>
      </c>
      <c r="CJ131" s="207">
        <v>198952</v>
      </c>
      <c r="CK131" s="207">
        <v>0</v>
      </c>
      <c r="CL131" s="207">
        <v>0</v>
      </c>
      <c r="CM131" s="207">
        <v>-27232.301420000003</v>
      </c>
      <c r="CN131" s="207">
        <v>24598449.374989633</v>
      </c>
      <c r="CO131" s="207">
        <v>24571217.073569633</v>
      </c>
      <c r="CP131" s="207">
        <v>10000</v>
      </c>
    </row>
    <row r="132" spans="1:94" ht="9.75">
      <c r="A132" s="175">
        <v>426</v>
      </c>
      <c r="B132" s="175" t="s">
        <v>189</v>
      </c>
      <c r="C132" s="207">
        <v>12150</v>
      </c>
      <c r="D132" s="207">
        <v>41339275.79</v>
      </c>
      <c r="E132" s="207">
        <v>15655627.336367147</v>
      </c>
      <c r="F132" s="207">
        <v>2118878.1003322573</v>
      </c>
      <c r="G132" s="207">
        <v>59113781.226699404</v>
      </c>
      <c r="H132" s="207">
        <v>3524.51</v>
      </c>
      <c r="I132" s="207">
        <v>42822796.5</v>
      </c>
      <c r="J132" s="207">
        <v>16290984.726699404</v>
      </c>
      <c r="K132" s="207">
        <v>199950.09673141694</v>
      </c>
      <c r="L132" s="207">
        <v>3826961.915049345</v>
      </c>
      <c r="M132" s="207">
        <v>0</v>
      </c>
      <c r="N132" s="207">
        <v>20317896.738480166</v>
      </c>
      <c r="O132" s="207">
        <v>8731915.505928311</v>
      </c>
      <c r="P132" s="207">
        <v>29049812.244408477</v>
      </c>
      <c r="Q132" s="207">
        <v>861</v>
      </c>
      <c r="R132" s="207">
        <v>160</v>
      </c>
      <c r="S132" s="207">
        <v>947</v>
      </c>
      <c r="T132" s="207">
        <v>432</v>
      </c>
      <c r="U132" s="207">
        <v>428</v>
      </c>
      <c r="V132" s="207">
        <v>6817</v>
      </c>
      <c r="W132" s="207">
        <v>1508</v>
      </c>
      <c r="X132" s="207">
        <v>720</v>
      </c>
      <c r="Y132" s="207">
        <v>277</v>
      </c>
      <c r="Z132" s="207">
        <v>16</v>
      </c>
      <c r="AA132" s="207">
        <v>3</v>
      </c>
      <c r="AB132" s="207">
        <v>11941</v>
      </c>
      <c r="AC132" s="207">
        <v>190</v>
      </c>
      <c r="AD132" s="207">
        <v>2505</v>
      </c>
      <c r="AE132" s="207">
        <v>1.1369005698738759</v>
      </c>
      <c r="AF132" s="207">
        <v>15655627.336367147</v>
      </c>
      <c r="AG132" s="207">
        <v>9286528.154693034</v>
      </c>
      <c r="AH132" s="207">
        <v>1503076.3147122646</v>
      </c>
      <c r="AI132" s="207">
        <v>1170447.5115200859</v>
      </c>
      <c r="AJ132" s="207">
        <v>683</v>
      </c>
      <c r="AK132" s="207">
        <v>5684</v>
      </c>
      <c r="AL132" s="207">
        <v>1.0384626969791348</v>
      </c>
      <c r="AM132" s="207">
        <v>190</v>
      </c>
      <c r="AN132" s="207">
        <v>0.015637860082304528</v>
      </c>
      <c r="AO132" s="207">
        <v>0.010697148619853936</v>
      </c>
      <c r="AP132" s="207">
        <v>0</v>
      </c>
      <c r="AQ132" s="207">
        <v>16</v>
      </c>
      <c r="AR132" s="207">
        <v>3</v>
      </c>
      <c r="AS132" s="207">
        <v>3</v>
      </c>
      <c r="AT132" s="207">
        <v>496</v>
      </c>
      <c r="AU132" s="207">
        <v>726.87</v>
      </c>
      <c r="AV132" s="207">
        <v>16.715506211564655</v>
      </c>
      <c r="AW132" s="207">
        <v>1.084970547164865</v>
      </c>
      <c r="AX132" s="207">
        <v>332</v>
      </c>
      <c r="AY132" s="207">
        <v>3853</v>
      </c>
      <c r="AZ132" s="207">
        <v>0.08616662341032962</v>
      </c>
      <c r="BA132" s="207">
        <v>0.024982787326095122</v>
      </c>
      <c r="BB132" s="207">
        <v>0</v>
      </c>
      <c r="BC132" s="207">
        <v>3259</v>
      </c>
      <c r="BD132" s="207">
        <v>4891</v>
      </c>
      <c r="BE132" s="207">
        <v>0.6663259047229605</v>
      </c>
      <c r="BF132" s="207">
        <v>0.2574190221318674</v>
      </c>
      <c r="BG132" s="207">
        <v>0</v>
      </c>
      <c r="BH132" s="207">
        <v>3</v>
      </c>
      <c r="BI132" s="207">
        <v>0</v>
      </c>
      <c r="BJ132" s="207">
        <v>-2916</v>
      </c>
      <c r="BK132" s="207">
        <v>-49814.99999999999</v>
      </c>
      <c r="BL132" s="207">
        <v>-3402.0000000000005</v>
      </c>
      <c r="BM132" s="207">
        <v>-4738.5</v>
      </c>
      <c r="BN132" s="207">
        <v>-243</v>
      </c>
      <c r="BO132" s="207">
        <v>290281</v>
      </c>
      <c r="BP132" s="207">
        <v>-434595.44717968727</v>
      </c>
      <c r="BQ132" s="207">
        <v>-1101883.5</v>
      </c>
      <c r="BR132" s="207">
        <v>172946.06286363304</v>
      </c>
      <c r="BS132" s="207">
        <v>1003309</v>
      </c>
      <c r="BT132" s="207">
        <v>306424</v>
      </c>
      <c r="BU132" s="207">
        <v>750447.3038160001</v>
      </c>
      <c r="BV132" s="207">
        <v>30134.69636581449</v>
      </c>
      <c r="BW132" s="207">
        <v>133757.863734118</v>
      </c>
      <c r="BX132" s="207">
        <v>345272.9908266246</v>
      </c>
      <c r="BY132" s="207">
        <v>626254.9905556756</v>
      </c>
      <c r="BZ132" s="207">
        <v>1002006.8323394094</v>
      </c>
      <c r="CA132" s="207">
        <v>274048.85143614374</v>
      </c>
      <c r="CB132" s="207">
        <v>527260.1509002985</v>
      </c>
      <c r="CC132" s="207">
        <v>1093.5</v>
      </c>
      <c r="CD132" s="207">
        <v>93145.61939131506</v>
      </c>
      <c r="CE132" s="207">
        <v>525123</v>
      </c>
      <c r="CF132" s="207">
        <v>6081505.862229032</v>
      </c>
      <c r="CG132" s="207">
        <v>3826961.915049345</v>
      </c>
      <c r="CH132" s="207">
        <v>0</v>
      </c>
      <c r="CI132" s="207">
        <v>8731915.505928311</v>
      </c>
      <c r="CJ132" s="207">
        <v>-2516909</v>
      </c>
      <c r="CK132" s="207">
        <v>0</v>
      </c>
      <c r="CL132" s="207">
        <v>0</v>
      </c>
      <c r="CM132" s="207">
        <v>-701921.47933</v>
      </c>
      <c r="CN132" s="207">
        <v>26532903.244408477</v>
      </c>
      <c r="CO132" s="207">
        <v>25830981.765078478</v>
      </c>
      <c r="CP132" s="207">
        <v>12301</v>
      </c>
    </row>
    <row r="133" spans="1:94" ht="9.75">
      <c r="A133" s="175">
        <v>444</v>
      </c>
      <c r="B133" s="175" t="s">
        <v>190</v>
      </c>
      <c r="C133" s="207">
        <v>46785</v>
      </c>
      <c r="D133" s="207">
        <v>157432238.29000002</v>
      </c>
      <c r="E133" s="207">
        <v>52356773.820930146</v>
      </c>
      <c r="F133" s="207">
        <v>10748548.10193563</v>
      </c>
      <c r="G133" s="207">
        <v>220537560.2128658</v>
      </c>
      <c r="H133" s="207">
        <v>3524.51</v>
      </c>
      <c r="I133" s="207">
        <v>164894200.35000002</v>
      </c>
      <c r="J133" s="207">
        <v>55643359.862865776</v>
      </c>
      <c r="K133" s="207">
        <v>1163894.354844026</v>
      </c>
      <c r="L133" s="207">
        <v>9256384.86179926</v>
      </c>
      <c r="M133" s="207">
        <v>0</v>
      </c>
      <c r="N133" s="207">
        <v>66063639.079509065</v>
      </c>
      <c r="O133" s="207">
        <v>4192346.651526822</v>
      </c>
      <c r="P133" s="207">
        <v>70255985.73103589</v>
      </c>
      <c r="Q133" s="207">
        <v>2646</v>
      </c>
      <c r="R133" s="207">
        <v>582</v>
      </c>
      <c r="S133" s="207">
        <v>3487</v>
      </c>
      <c r="T133" s="207">
        <v>1725</v>
      </c>
      <c r="U133" s="207">
        <v>1810</v>
      </c>
      <c r="V133" s="207">
        <v>26040</v>
      </c>
      <c r="W133" s="207">
        <v>6194</v>
      </c>
      <c r="X133" s="207">
        <v>3184</v>
      </c>
      <c r="Y133" s="207">
        <v>1117</v>
      </c>
      <c r="Z133" s="207">
        <v>1643</v>
      </c>
      <c r="AA133" s="207">
        <v>5</v>
      </c>
      <c r="AB133" s="207">
        <v>43227</v>
      </c>
      <c r="AC133" s="207">
        <v>1910</v>
      </c>
      <c r="AD133" s="207">
        <v>10495</v>
      </c>
      <c r="AE133" s="207">
        <v>0.9874032020086994</v>
      </c>
      <c r="AF133" s="207">
        <v>52356773.820930146</v>
      </c>
      <c r="AG133" s="207">
        <v>7779054.462980755</v>
      </c>
      <c r="AH133" s="207">
        <v>2252834.401256472</v>
      </c>
      <c r="AI133" s="207">
        <v>580756.3988458441</v>
      </c>
      <c r="AJ133" s="207">
        <v>2347</v>
      </c>
      <c r="AK133" s="207">
        <v>22759</v>
      </c>
      <c r="AL133" s="207">
        <v>0.8912184733007146</v>
      </c>
      <c r="AM133" s="207">
        <v>1910</v>
      </c>
      <c r="AN133" s="207">
        <v>0.040825050764133806</v>
      </c>
      <c r="AO133" s="207">
        <v>0.035884339301683214</v>
      </c>
      <c r="AP133" s="207">
        <v>1</v>
      </c>
      <c r="AQ133" s="207">
        <v>1643</v>
      </c>
      <c r="AR133" s="207">
        <v>5</v>
      </c>
      <c r="AS133" s="207">
        <v>0</v>
      </c>
      <c r="AT133" s="207">
        <v>0</v>
      </c>
      <c r="AU133" s="207">
        <v>939.15</v>
      </c>
      <c r="AV133" s="207">
        <v>49.81632327104297</v>
      </c>
      <c r="AW133" s="207">
        <v>0.3640540033800713</v>
      </c>
      <c r="AX133" s="207">
        <v>2459</v>
      </c>
      <c r="AY133" s="207">
        <v>14793</v>
      </c>
      <c r="AZ133" s="207">
        <v>0.16622726965456636</v>
      </c>
      <c r="BA133" s="207">
        <v>0.10504343357033186</v>
      </c>
      <c r="BB133" s="207">
        <v>0</v>
      </c>
      <c r="BC133" s="207">
        <v>15664</v>
      </c>
      <c r="BD133" s="207">
        <v>19628</v>
      </c>
      <c r="BE133" s="207">
        <v>0.7980436111677196</v>
      </c>
      <c r="BF133" s="207">
        <v>0.3891367285766265</v>
      </c>
      <c r="BG133" s="207">
        <v>0</v>
      </c>
      <c r="BH133" s="207">
        <v>5</v>
      </c>
      <c r="BI133" s="207">
        <v>0</v>
      </c>
      <c r="BJ133" s="207">
        <v>-11228.4</v>
      </c>
      <c r="BK133" s="207">
        <v>-191818.49999999997</v>
      </c>
      <c r="BL133" s="207">
        <v>-13099.800000000001</v>
      </c>
      <c r="BM133" s="207">
        <v>-18246.15</v>
      </c>
      <c r="BN133" s="207">
        <v>-935.7</v>
      </c>
      <c r="BO133" s="207">
        <v>-48294</v>
      </c>
      <c r="BP133" s="207">
        <v>-2964302.448308668</v>
      </c>
      <c r="BQ133" s="207">
        <v>-4242931.649999999</v>
      </c>
      <c r="BR133" s="207">
        <v>624884.9542209012</v>
      </c>
      <c r="BS133" s="207">
        <v>3336584</v>
      </c>
      <c r="BT133" s="207">
        <v>1126591</v>
      </c>
      <c r="BU133" s="207">
        <v>2365028.4992995057</v>
      </c>
      <c r="BV133" s="207">
        <v>53694.91146672505</v>
      </c>
      <c r="BW133" s="207">
        <v>63083.83769646494</v>
      </c>
      <c r="BX133" s="207">
        <v>819845.1466709238</v>
      </c>
      <c r="BY133" s="207">
        <v>2276281.1469600773</v>
      </c>
      <c r="BZ133" s="207">
        <v>3548105.724815218</v>
      </c>
      <c r="CA133" s="207">
        <v>1036342.8025234072</v>
      </c>
      <c r="CB133" s="207">
        <v>1798553.4888966852</v>
      </c>
      <c r="CC133" s="207">
        <v>4210.65</v>
      </c>
      <c r="CD133" s="207">
        <v>201652.59755801904</v>
      </c>
      <c r="CE133" s="207">
        <v>2022047.7</v>
      </c>
      <c r="CF133" s="207">
        <v>19228612.460107926</v>
      </c>
      <c r="CG133" s="207">
        <v>9256384.86179926</v>
      </c>
      <c r="CH133" s="207">
        <v>0</v>
      </c>
      <c r="CI133" s="207">
        <v>4192346.651526822</v>
      </c>
      <c r="CJ133" s="207">
        <v>-2535882</v>
      </c>
      <c r="CK133" s="207">
        <v>0</v>
      </c>
      <c r="CL133" s="207">
        <v>0</v>
      </c>
      <c r="CM133" s="207">
        <v>2134436.896504</v>
      </c>
      <c r="CN133" s="207">
        <v>67720103.73103589</v>
      </c>
      <c r="CO133" s="207">
        <v>69854540.62753989</v>
      </c>
      <c r="CP133" s="207">
        <v>47149</v>
      </c>
    </row>
    <row r="134" spans="1:94" ht="9.75">
      <c r="A134" s="175">
        <v>430</v>
      </c>
      <c r="B134" s="175" t="s">
        <v>191</v>
      </c>
      <c r="C134" s="207">
        <v>16150</v>
      </c>
      <c r="D134" s="207">
        <v>58395109</v>
      </c>
      <c r="E134" s="207">
        <v>21717900.60706511</v>
      </c>
      <c r="F134" s="207">
        <v>3102638.899276975</v>
      </c>
      <c r="G134" s="207">
        <v>83215648.50634208</v>
      </c>
      <c r="H134" s="207">
        <v>3524.51</v>
      </c>
      <c r="I134" s="207">
        <v>56920836.5</v>
      </c>
      <c r="J134" s="207">
        <v>26294812.006342083</v>
      </c>
      <c r="K134" s="207">
        <v>657410.0979704933</v>
      </c>
      <c r="L134" s="207">
        <v>5105179.014349464</v>
      </c>
      <c r="M134" s="207">
        <v>0</v>
      </c>
      <c r="N134" s="207">
        <v>32057401.11866204</v>
      </c>
      <c r="O134" s="207">
        <v>10134784.971800499</v>
      </c>
      <c r="P134" s="207">
        <v>42192186.090462536</v>
      </c>
      <c r="Q134" s="207">
        <v>828</v>
      </c>
      <c r="R134" s="207">
        <v>160</v>
      </c>
      <c r="S134" s="207">
        <v>970</v>
      </c>
      <c r="T134" s="207">
        <v>502</v>
      </c>
      <c r="U134" s="207">
        <v>548</v>
      </c>
      <c r="V134" s="207">
        <v>8501</v>
      </c>
      <c r="W134" s="207">
        <v>2533</v>
      </c>
      <c r="X134" s="207">
        <v>1379</v>
      </c>
      <c r="Y134" s="207">
        <v>729</v>
      </c>
      <c r="Z134" s="207">
        <v>32</v>
      </c>
      <c r="AA134" s="207">
        <v>0</v>
      </c>
      <c r="AB134" s="207">
        <v>15632</v>
      </c>
      <c r="AC134" s="207">
        <v>486</v>
      </c>
      <c r="AD134" s="207">
        <v>4641</v>
      </c>
      <c r="AE134" s="207">
        <v>1.1865160075670713</v>
      </c>
      <c r="AF134" s="207">
        <v>21717900.60706511</v>
      </c>
      <c r="AG134" s="207">
        <v>19625620.94482077</v>
      </c>
      <c r="AH134" s="207">
        <v>5278877.387144677</v>
      </c>
      <c r="AI134" s="207">
        <v>1983506.4699042675</v>
      </c>
      <c r="AJ134" s="207">
        <v>676</v>
      </c>
      <c r="AK134" s="207">
        <v>7252</v>
      </c>
      <c r="AL134" s="207">
        <v>0.8055883309555996</v>
      </c>
      <c r="AM134" s="207">
        <v>486</v>
      </c>
      <c r="AN134" s="207">
        <v>0.030092879256965945</v>
      </c>
      <c r="AO134" s="207">
        <v>0.025152167794515352</v>
      </c>
      <c r="AP134" s="207">
        <v>0</v>
      </c>
      <c r="AQ134" s="207">
        <v>32</v>
      </c>
      <c r="AR134" s="207">
        <v>0</v>
      </c>
      <c r="AS134" s="207">
        <v>0</v>
      </c>
      <c r="AT134" s="207">
        <v>0</v>
      </c>
      <c r="AU134" s="207">
        <v>848.12</v>
      </c>
      <c r="AV134" s="207">
        <v>19.04211668160166</v>
      </c>
      <c r="AW134" s="207">
        <v>0.9524063014497594</v>
      </c>
      <c r="AX134" s="207">
        <v>691</v>
      </c>
      <c r="AY134" s="207">
        <v>4453</v>
      </c>
      <c r="AZ134" s="207">
        <v>0.1551762856501235</v>
      </c>
      <c r="BA134" s="207">
        <v>0.09399244956588901</v>
      </c>
      <c r="BB134" s="207">
        <v>0</v>
      </c>
      <c r="BC134" s="207">
        <v>6575</v>
      </c>
      <c r="BD134" s="207">
        <v>6288</v>
      </c>
      <c r="BE134" s="207">
        <v>1.0456424936386768</v>
      </c>
      <c r="BF134" s="207">
        <v>0.6367356110475837</v>
      </c>
      <c r="BG134" s="207">
        <v>0</v>
      </c>
      <c r="BH134" s="207">
        <v>0</v>
      </c>
      <c r="BI134" s="207">
        <v>0</v>
      </c>
      <c r="BJ134" s="207">
        <v>-3876</v>
      </c>
      <c r="BK134" s="207">
        <v>-66215</v>
      </c>
      <c r="BL134" s="207">
        <v>-4522</v>
      </c>
      <c r="BM134" s="207">
        <v>-6298.5</v>
      </c>
      <c r="BN134" s="207">
        <v>-323</v>
      </c>
      <c r="BO134" s="207">
        <v>-167155</v>
      </c>
      <c r="BP134" s="207">
        <v>-604084.3392653941</v>
      </c>
      <c r="BQ134" s="207">
        <v>-1464643.5</v>
      </c>
      <c r="BR134" s="207">
        <v>60458.416094228625</v>
      </c>
      <c r="BS134" s="207">
        <v>1444612</v>
      </c>
      <c r="BT134" s="207">
        <v>489811</v>
      </c>
      <c r="BU134" s="207">
        <v>1178579.4314645445</v>
      </c>
      <c r="BV134" s="207">
        <v>63543.66375985808</v>
      </c>
      <c r="BW134" s="207">
        <v>133455.7818774727</v>
      </c>
      <c r="BX134" s="207">
        <v>556060.4030972832</v>
      </c>
      <c r="BY134" s="207">
        <v>920743.5664731952</v>
      </c>
      <c r="BZ134" s="207">
        <v>1523583.406589063</v>
      </c>
      <c r="CA134" s="207">
        <v>452307.5974287652</v>
      </c>
      <c r="CB134" s="207">
        <v>755542.0088893796</v>
      </c>
      <c r="CC134" s="207">
        <v>1453.5</v>
      </c>
      <c r="CD134" s="207">
        <v>17373.077941068477</v>
      </c>
      <c r="CE134" s="207">
        <v>698003</v>
      </c>
      <c r="CF134" s="207">
        <v>8128371.853614858</v>
      </c>
      <c r="CG134" s="207">
        <v>5105179.014349464</v>
      </c>
      <c r="CH134" s="207">
        <v>0</v>
      </c>
      <c r="CI134" s="207">
        <v>10134784.971800499</v>
      </c>
      <c r="CJ134" s="207">
        <v>-2196691</v>
      </c>
      <c r="CK134" s="207">
        <v>0</v>
      </c>
      <c r="CL134" s="207">
        <v>0</v>
      </c>
      <c r="CM134" s="207">
        <v>741753.5052800004</v>
      </c>
      <c r="CN134" s="207">
        <v>39995495.090462536</v>
      </c>
      <c r="CO134" s="207">
        <v>40737248.59574254</v>
      </c>
      <c r="CP134" s="207">
        <v>16267</v>
      </c>
    </row>
    <row r="135" spans="1:94" ht="9.75">
      <c r="A135" s="175">
        <v>433</v>
      </c>
      <c r="B135" s="175" t="s">
        <v>192</v>
      </c>
      <c r="C135" s="207">
        <v>8028</v>
      </c>
      <c r="D135" s="207">
        <v>28737840.03</v>
      </c>
      <c r="E135" s="207">
        <v>8248160.216468445</v>
      </c>
      <c r="F135" s="207">
        <v>1311998.9807886658</v>
      </c>
      <c r="G135" s="207">
        <v>38297999.22725711</v>
      </c>
      <c r="H135" s="207">
        <v>3524.51</v>
      </c>
      <c r="I135" s="207">
        <v>28294766.28</v>
      </c>
      <c r="J135" s="207">
        <v>10003232.947257109</v>
      </c>
      <c r="K135" s="207">
        <v>101555.28894349084</v>
      </c>
      <c r="L135" s="207">
        <v>2321034.6739643924</v>
      </c>
      <c r="M135" s="207">
        <v>0</v>
      </c>
      <c r="N135" s="207">
        <v>12425822.910164991</v>
      </c>
      <c r="O135" s="207">
        <v>4423377.871419894</v>
      </c>
      <c r="P135" s="207">
        <v>16849200.781584885</v>
      </c>
      <c r="Q135" s="207">
        <v>474</v>
      </c>
      <c r="R135" s="207">
        <v>91</v>
      </c>
      <c r="S135" s="207">
        <v>660</v>
      </c>
      <c r="T135" s="207">
        <v>358</v>
      </c>
      <c r="U135" s="207">
        <v>284</v>
      </c>
      <c r="V135" s="207">
        <v>4256</v>
      </c>
      <c r="W135" s="207">
        <v>1102</v>
      </c>
      <c r="X135" s="207">
        <v>589</v>
      </c>
      <c r="Y135" s="207">
        <v>214</v>
      </c>
      <c r="Z135" s="207">
        <v>36</v>
      </c>
      <c r="AA135" s="207">
        <v>0</v>
      </c>
      <c r="AB135" s="207">
        <v>7820</v>
      </c>
      <c r="AC135" s="207">
        <v>172</v>
      </c>
      <c r="AD135" s="207">
        <v>1905</v>
      </c>
      <c r="AE135" s="207">
        <v>0.9065212974654141</v>
      </c>
      <c r="AF135" s="207">
        <v>8248160.216468445</v>
      </c>
      <c r="AG135" s="207">
        <v>27953542.098612886</v>
      </c>
      <c r="AH135" s="207">
        <v>6919715.703823258</v>
      </c>
      <c r="AI135" s="207">
        <v>3100345.698453968</v>
      </c>
      <c r="AJ135" s="207">
        <v>226</v>
      </c>
      <c r="AK135" s="207">
        <v>3712</v>
      </c>
      <c r="AL135" s="207">
        <v>0.5261683705319793</v>
      </c>
      <c r="AM135" s="207">
        <v>172</v>
      </c>
      <c r="AN135" s="207">
        <v>0.02142501245640259</v>
      </c>
      <c r="AO135" s="207">
        <v>0.016484300993951997</v>
      </c>
      <c r="AP135" s="207">
        <v>0</v>
      </c>
      <c r="AQ135" s="207">
        <v>36</v>
      </c>
      <c r="AR135" s="207">
        <v>0</v>
      </c>
      <c r="AS135" s="207">
        <v>0</v>
      </c>
      <c r="AT135" s="207">
        <v>0</v>
      </c>
      <c r="AU135" s="207">
        <v>597.63</v>
      </c>
      <c r="AV135" s="207">
        <v>13.433060589327845</v>
      </c>
      <c r="AW135" s="207">
        <v>1.3500893411369979</v>
      </c>
      <c r="AX135" s="207">
        <v>378</v>
      </c>
      <c r="AY135" s="207">
        <v>2554</v>
      </c>
      <c r="AZ135" s="207">
        <v>0.1480031323414252</v>
      </c>
      <c r="BA135" s="207">
        <v>0.0868192962571907</v>
      </c>
      <c r="BB135" s="207">
        <v>0</v>
      </c>
      <c r="BC135" s="207">
        <v>2040</v>
      </c>
      <c r="BD135" s="207">
        <v>3362</v>
      </c>
      <c r="BE135" s="207">
        <v>0.6067816775728733</v>
      </c>
      <c r="BF135" s="207">
        <v>0.19787479498178018</v>
      </c>
      <c r="BG135" s="207">
        <v>0</v>
      </c>
      <c r="BH135" s="207">
        <v>0</v>
      </c>
      <c r="BI135" s="207">
        <v>0</v>
      </c>
      <c r="BJ135" s="207">
        <v>-1926.72</v>
      </c>
      <c r="BK135" s="207">
        <v>-32914.799999999996</v>
      </c>
      <c r="BL135" s="207">
        <v>-2247.84</v>
      </c>
      <c r="BM135" s="207">
        <v>-3130.92</v>
      </c>
      <c r="BN135" s="207">
        <v>-160.56</v>
      </c>
      <c r="BO135" s="207">
        <v>-59608</v>
      </c>
      <c r="BP135" s="207">
        <v>-305005.6958072378</v>
      </c>
      <c r="BQ135" s="207">
        <v>-728059.32</v>
      </c>
      <c r="BR135" s="207">
        <v>177263.44181268103</v>
      </c>
      <c r="BS135" s="207">
        <v>727932</v>
      </c>
      <c r="BT135" s="207">
        <v>226573</v>
      </c>
      <c r="BU135" s="207">
        <v>508996.28072444606</v>
      </c>
      <c r="BV135" s="207">
        <v>13819.042114133674</v>
      </c>
      <c r="BW135" s="207">
        <v>58262.31202182018</v>
      </c>
      <c r="BX135" s="207">
        <v>171978.04434284213</v>
      </c>
      <c r="BY135" s="207">
        <v>428050.0253107906</v>
      </c>
      <c r="BZ135" s="207">
        <v>684417.2779968116</v>
      </c>
      <c r="CA135" s="207">
        <v>200257.29572065148</v>
      </c>
      <c r="CB135" s="207">
        <v>347559.862140443</v>
      </c>
      <c r="CC135" s="207">
        <v>722.52</v>
      </c>
      <c r="CD135" s="207">
        <v>-4638.772412989594</v>
      </c>
      <c r="CE135" s="207">
        <v>346970.16</v>
      </c>
      <c r="CF135" s="207">
        <v>3828554.48977163</v>
      </c>
      <c r="CG135" s="207">
        <v>2321034.6739643924</v>
      </c>
      <c r="CH135" s="207">
        <v>0</v>
      </c>
      <c r="CI135" s="207">
        <v>4423377.871419894</v>
      </c>
      <c r="CJ135" s="207">
        <v>-725789</v>
      </c>
      <c r="CK135" s="207">
        <v>0</v>
      </c>
      <c r="CL135" s="207">
        <v>0</v>
      </c>
      <c r="CM135" s="207">
        <v>-184210.7447</v>
      </c>
      <c r="CN135" s="207">
        <v>16123411.781584885</v>
      </c>
      <c r="CO135" s="207">
        <v>15939201.036884885</v>
      </c>
      <c r="CP135" s="207">
        <v>8098</v>
      </c>
    </row>
    <row r="136" spans="1:94" ht="9.75">
      <c r="A136" s="175">
        <v>434</v>
      </c>
      <c r="B136" s="175" t="s">
        <v>193</v>
      </c>
      <c r="C136" s="207">
        <v>15085</v>
      </c>
      <c r="D136" s="207">
        <v>51679033.27000001</v>
      </c>
      <c r="E136" s="207">
        <v>17882066.781987954</v>
      </c>
      <c r="F136" s="207">
        <v>5509335.310555603</v>
      </c>
      <c r="G136" s="207">
        <v>75070435.36254357</v>
      </c>
      <c r="H136" s="207">
        <v>3524.51</v>
      </c>
      <c r="I136" s="207">
        <v>53167233.35</v>
      </c>
      <c r="J136" s="207">
        <v>21903202.012543567</v>
      </c>
      <c r="K136" s="207">
        <v>389469.78129052883</v>
      </c>
      <c r="L136" s="207">
        <v>4075162.730614904</v>
      </c>
      <c r="M136" s="207">
        <v>0</v>
      </c>
      <c r="N136" s="207">
        <v>26367834.524449</v>
      </c>
      <c r="O136" s="207">
        <v>-515990.1066881627</v>
      </c>
      <c r="P136" s="207">
        <v>25851844.417760834</v>
      </c>
      <c r="Q136" s="207">
        <v>773</v>
      </c>
      <c r="R136" s="207">
        <v>140</v>
      </c>
      <c r="S136" s="207">
        <v>925</v>
      </c>
      <c r="T136" s="207">
        <v>471</v>
      </c>
      <c r="U136" s="207">
        <v>467</v>
      </c>
      <c r="V136" s="207">
        <v>8203</v>
      </c>
      <c r="W136" s="207">
        <v>2390</v>
      </c>
      <c r="X136" s="207">
        <v>1162</v>
      </c>
      <c r="Y136" s="207">
        <v>554</v>
      </c>
      <c r="Z136" s="207">
        <v>6150</v>
      </c>
      <c r="AA136" s="207">
        <v>0</v>
      </c>
      <c r="AB136" s="207">
        <v>8349</v>
      </c>
      <c r="AC136" s="207">
        <v>586</v>
      </c>
      <c r="AD136" s="207">
        <v>4106</v>
      </c>
      <c r="AE136" s="207">
        <v>1.0459253405164866</v>
      </c>
      <c r="AF136" s="207">
        <v>17882066.781987954</v>
      </c>
      <c r="AG136" s="207">
        <v>10872382.905966902</v>
      </c>
      <c r="AH136" s="207">
        <v>2180470.653032593</v>
      </c>
      <c r="AI136" s="207">
        <v>956014.3796385435</v>
      </c>
      <c r="AJ136" s="207">
        <v>757</v>
      </c>
      <c r="AK136" s="207">
        <v>6983</v>
      </c>
      <c r="AL136" s="207">
        <v>0.9368673494675015</v>
      </c>
      <c r="AM136" s="207">
        <v>586</v>
      </c>
      <c r="AN136" s="207">
        <v>0.038846536294332115</v>
      </c>
      <c r="AO136" s="207">
        <v>0.03390582483188152</v>
      </c>
      <c r="AP136" s="207">
        <v>1</v>
      </c>
      <c r="AQ136" s="207">
        <v>6150</v>
      </c>
      <c r="AR136" s="207">
        <v>0</v>
      </c>
      <c r="AS136" s="207">
        <v>3</v>
      </c>
      <c r="AT136" s="207">
        <v>729</v>
      </c>
      <c r="AU136" s="207">
        <v>819.76</v>
      </c>
      <c r="AV136" s="207">
        <v>18.401727334829708</v>
      </c>
      <c r="AW136" s="207">
        <v>0.9855505187370407</v>
      </c>
      <c r="AX136" s="207">
        <v>795</v>
      </c>
      <c r="AY136" s="207">
        <v>4499</v>
      </c>
      <c r="AZ136" s="207">
        <v>0.17670593465214493</v>
      </c>
      <c r="BA136" s="207">
        <v>0.11552209856791043</v>
      </c>
      <c r="BB136" s="207">
        <v>0</v>
      </c>
      <c r="BC136" s="207">
        <v>4879</v>
      </c>
      <c r="BD136" s="207">
        <v>6003</v>
      </c>
      <c r="BE136" s="207">
        <v>0.8127602865234049</v>
      </c>
      <c r="BF136" s="207">
        <v>0.40385340393231184</v>
      </c>
      <c r="BG136" s="207">
        <v>0</v>
      </c>
      <c r="BH136" s="207">
        <v>0</v>
      </c>
      <c r="BI136" s="207">
        <v>0</v>
      </c>
      <c r="BJ136" s="207">
        <v>-3620.4</v>
      </c>
      <c r="BK136" s="207">
        <v>-61848.49999999999</v>
      </c>
      <c r="BL136" s="207">
        <v>-4223.8</v>
      </c>
      <c r="BM136" s="207">
        <v>-5883.150000000001</v>
      </c>
      <c r="BN136" s="207">
        <v>-301.7</v>
      </c>
      <c r="BO136" s="207">
        <v>195042</v>
      </c>
      <c r="BP136" s="207">
        <v>-688531.7831079382</v>
      </c>
      <c r="BQ136" s="207">
        <v>-1368058.65</v>
      </c>
      <c r="BR136" s="207">
        <v>298338.15703547</v>
      </c>
      <c r="BS136" s="207">
        <v>1210696</v>
      </c>
      <c r="BT136" s="207">
        <v>410614</v>
      </c>
      <c r="BU136" s="207">
        <v>925084.892934011</v>
      </c>
      <c r="BV136" s="207">
        <v>34547.96240556766</v>
      </c>
      <c r="BW136" s="207">
        <v>125012.20418803902</v>
      </c>
      <c r="BX136" s="207">
        <v>361109.1862352993</v>
      </c>
      <c r="BY136" s="207">
        <v>740508.550524073</v>
      </c>
      <c r="BZ136" s="207">
        <v>1231942.1627163913</v>
      </c>
      <c r="CA136" s="207">
        <v>383704.22232368414</v>
      </c>
      <c r="CB136" s="207">
        <v>648453.9828344403</v>
      </c>
      <c r="CC136" s="207">
        <v>1357.6499999999999</v>
      </c>
      <c r="CD136" s="207">
        <v>-195108.0074741348</v>
      </c>
      <c r="CE136" s="207">
        <v>651973.7</v>
      </c>
      <c r="CF136" s="207">
        <v>7023276.663722842</v>
      </c>
      <c r="CG136" s="207">
        <v>4075162.730614904</v>
      </c>
      <c r="CH136" s="207">
        <v>0</v>
      </c>
      <c r="CI136" s="207">
        <v>-515990.1066881627</v>
      </c>
      <c r="CJ136" s="207">
        <v>-992532</v>
      </c>
      <c r="CK136" s="207">
        <v>0</v>
      </c>
      <c r="CL136" s="207">
        <v>0</v>
      </c>
      <c r="CM136" s="207">
        <v>638870.0553200002</v>
      </c>
      <c r="CN136" s="207">
        <v>24859312.417760834</v>
      </c>
      <c r="CO136" s="207">
        <v>25498182.473080833</v>
      </c>
      <c r="CP136" s="207">
        <v>15208</v>
      </c>
    </row>
    <row r="137" spans="1:94" ht="9.75">
      <c r="A137" s="175">
        <v>435</v>
      </c>
      <c r="B137" s="175" t="s">
        <v>194</v>
      </c>
      <c r="C137" s="207">
        <v>734</v>
      </c>
      <c r="D137" s="207">
        <v>2798309.54</v>
      </c>
      <c r="E137" s="207">
        <v>1217144.6046743765</v>
      </c>
      <c r="F137" s="207">
        <v>350032.2048225725</v>
      </c>
      <c r="G137" s="207">
        <v>4365486.349496949</v>
      </c>
      <c r="H137" s="207">
        <v>3524.51</v>
      </c>
      <c r="I137" s="207">
        <v>2586990.3400000003</v>
      </c>
      <c r="J137" s="207">
        <v>1778496.0094969491</v>
      </c>
      <c r="K137" s="207">
        <v>76187.8133243472</v>
      </c>
      <c r="L137" s="207">
        <v>507719.2333586441</v>
      </c>
      <c r="M137" s="207">
        <v>76582.8310426264</v>
      </c>
      <c r="N137" s="207">
        <v>2438985.8872225666</v>
      </c>
      <c r="O137" s="207">
        <v>614130.8693343024</v>
      </c>
      <c r="P137" s="207">
        <v>3053116.756556869</v>
      </c>
      <c r="Q137" s="207">
        <v>27</v>
      </c>
      <c r="R137" s="207">
        <v>6</v>
      </c>
      <c r="S137" s="207">
        <v>28</v>
      </c>
      <c r="T137" s="207">
        <v>18</v>
      </c>
      <c r="U137" s="207">
        <v>18</v>
      </c>
      <c r="V137" s="207">
        <v>334</v>
      </c>
      <c r="W137" s="207">
        <v>158</v>
      </c>
      <c r="X137" s="207">
        <v>101</v>
      </c>
      <c r="Y137" s="207">
        <v>44</v>
      </c>
      <c r="Z137" s="207">
        <v>0</v>
      </c>
      <c r="AA137" s="207">
        <v>0</v>
      </c>
      <c r="AB137" s="207">
        <v>730</v>
      </c>
      <c r="AC137" s="207">
        <v>4</v>
      </c>
      <c r="AD137" s="207">
        <v>303</v>
      </c>
      <c r="AE137" s="207">
        <v>1.4631013316323185</v>
      </c>
      <c r="AF137" s="207">
        <v>1217144.6046743765</v>
      </c>
      <c r="AG137" s="207">
        <v>22794540.61304512</v>
      </c>
      <c r="AH137" s="207">
        <v>5803998.27666235</v>
      </c>
      <c r="AI137" s="207">
        <v>2296221.4538981835</v>
      </c>
      <c r="AJ137" s="207">
        <v>33</v>
      </c>
      <c r="AK137" s="207">
        <v>275</v>
      </c>
      <c r="AL137" s="207">
        <v>1.037063889246747</v>
      </c>
      <c r="AM137" s="207">
        <v>4</v>
      </c>
      <c r="AN137" s="207">
        <v>0.005449591280653951</v>
      </c>
      <c r="AO137" s="207">
        <v>0.0005088798182033578</v>
      </c>
      <c r="AP137" s="207">
        <v>0</v>
      </c>
      <c r="AQ137" s="207">
        <v>0</v>
      </c>
      <c r="AR137" s="207">
        <v>0</v>
      </c>
      <c r="AS137" s="207">
        <v>3</v>
      </c>
      <c r="AT137" s="207">
        <v>329</v>
      </c>
      <c r="AU137" s="207">
        <v>214.5</v>
      </c>
      <c r="AV137" s="207">
        <v>3.421911421911422</v>
      </c>
      <c r="AW137" s="207">
        <v>5.299912734260267</v>
      </c>
      <c r="AX137" s="207">
        <v>36</v>
      </c>
      <c r="AY137" s="207">
        <v>170</v>
      </c>
      <c r="AZ137" s="207">
        <v>0.21176470588235294</v>
      </c>
      <c r="BA137" s="207">
        <v>0.15058086979811844</v>
      </c>
      <c r="BB137" s="207">
        <v>0.405533</v>
      </c>
      <c r="BC137" s="207">
        <v>172</v>
      </c>
      <c r="BD137" s="207">
        <v>247</v>
      </c>
      <c r="BE137" s="207">
        <v>0.6963562753036437</v>
      </c>
      <c r="BF137" s="207">
        <v>0.28744939271255066</v>
      </c>
      <c r="BG137" s="207">
        <v>0</v>
      </c>
      <c r="BH137" s="207">
        <v>0</v>
      </c>
      <c r="BI137" s="207">
        <v>0</v>
      </c>
      <c r="BJ137" s="207">
        <v>-176.16</v>
      </c>
      <c r="BK137" s="207">
        <v>-3009.3999999999996</v>
      </c>
      <c r="BL137" s="207">
        <v>-205.52</v>
      </c>
      <c r="BM137" s="207">
        <v>-286.26</v>
      </c>
      <c r="BN137" s="207">
        <v>-14.68</v>
      </c>
      <c r="BO137" s="207">
        <v>-1935</v>
      </c>
      <c r="BP137" s="207">
        <v>-2547.4848789868993</v>
      </c>
      <c r="BQ137" s="207">
        <v>-66566.45999999999</v>
      </c>
      <c r="BR137" s="207">
        <v>215879.84020721586</v>
      </c>
      <c r="BS137" s="207">
        <v>102847</v>
      </c>
      <c r="BT137" s="207">
        <v>28760</v>
      </c>
      <c r="BU137" s="207">
        <v>66423.33783439497</v>
      </c>
      <c r="BV137" s="207">
        <v>3815.7005838035793</v>
      </c>
      <c r="BW137" s="207">
        <v>10995.240063434358</v>
      </c>
      <c r="BX137" s="207">
        <v>27136.50793780879</v>
      </c>
      <c r="BY137" s="207">
        <v>33965.03785684048</v>
      </c>
      <c r="BZ137" s="207">
        <v>51871.14596685789</v>
      </c>
      <c r="CA137" s="207">
        <v>18718.73228490653</v>
      </c>
      <c r="CB137" s="207">
        <v>34500.188558972826</v>
      </c>
      <c r="CC137" s="207">
        <v>66.06</v>
      </c>
      <c r="CD137" s="207">
        <v>-4554.693056604385</v>
      </c>
      <c r="CE137" s="207">
        <v>31723.48</v>
      </c>
      <c r="CF137" s="207">
        <v>620212.578237631</v>
      </c>
      <c r="CG137" s="207">
        <v>507719.2333586441</v>
      </c>
      <c r="CH137" s="207">
        <v>76582.8310426264</v>
      </c>
      <c r="CI137" s="207">
        <v>614130.8693343024</v>
      </c>
      <c r="CJ137" s="207">
        <v>-174334</v>
      </c>
      <c r="CK137" s="207">
        <v>0</v>
      </c>
      <c r="CL137" s="207">
        <v>0</v>
      </c>
      <c r="CM137" s="207">
        <v>-89630.30860000003</v>
      </c>
      <c r="CN137" s="207">
        <v>2878782.756556869</v>
      </c>
      <c r="CO137" s="207">
        <v>2789152.447956869</v>
      </c>
      <c r="CP137" s="207">
        <v>756</v>
      </c>
    </row>
    <row r="138" spans="1:94" ht="9.75">
      <c r="A138" s="175">
        <v>436</v>
      </c>
      <c r="B138" s="175" t="s">
        <v>195</v>
      </c>
      <c r="C138" s="207">
        <v>2081</v>
      </c>
      <c r="D138" s="207">
        <v>8677684.870000001</v>
      </c>
      <c r="E138" s="207">
        <v>2111510.8553142557</v>
      </c>
      <c r="F138" s="207">
        <v>345081.0205221074</v>
      </c>
      <c r="G138" s="207">
        <v>11134276.745836364</v>
      </c>
      <c r="H138" s="207">
        <v>3524.51</v>
      </c>
      <c r="I138" s="207">
        <v>7334505.3100000005</v>
      </c>
      <c r="J138" s="207">
        <v>3799771.4358363636</v>
      </c>
      <c r="K138" s="207">
        <v>30427.747355653733</v>
      </c>
      <c r="L138" s="207">
        <v>552488.8709025052</v>
      </c>
      <c r="M138" s="207">
        <v>0</v>
      </c>
      <c r="N138" s="207">
        <v>4382688.054094523</v>
      </c>
      <c r="O138" s="207">
        <v>2111098.1101040617</v>
      </c>
      <c r="P138" s="207">
        <v>6493786.164198585</v>
      </c>
      <c r="Q138" s="207">
        <v>211</v>
      </c>
      <c r="R138" s="207">
        <v>44</v>
      </c>
      <c r="S138" s="207">
        <v>265</v>
      </c>
      <c r="T138" s="207">
        <v>125</v>
      </c>
      <c r="U138" s="207">
        <v>79</v>
      </c>
      <c r="V138" s="207">
        <v>1007</v>
      </c>
      <c r="W138" s="207">
        <v>200</v>
      </c>
      <c r="X138" s="207">
        <v>109</v>
      </c>
      <c r="Y138" s="207">
        <v>41</v>
      </c>
      <c r="Z138" s="207">
        <v>2</v>
      </c>
      <c r="AA138" s="207">
        <v>0</v>
      </c>
      <c r="AB138" s="207">
        <v>2064</v>
      </c>
      <c r="AC138" s="207">
        <v>15</v>
      </c>
      <c r="AD138" s="207">
        <v>350</v>
      </c>
      <c r="AE138" s="207">
        <v>0.8952607106048426</v>
      </c>
      <c r="AF138" s="207">
        <v>2111510.8553142557</v>
      </c>
      <c r="AG138" s="207">
        <v>1436067.2179591362</v>
      </c>
      <c r="AH138" s="207">
        <v>490719.0862176568</v>
      </c>
      <c r="AI138" s="207">
        <v>134020.70742596404</v>
      </c>
      <c r="AJ138" s="207">
        <v>81</v>
      </c>
      <c r="AK138" s="207">
        <v>825</v>
      </c>
      <c r="AL138" s="207">
        <v>0.8485068184746112</v>
      </c>
      <c r="AM138" s="207">
        <v>15</v>
      </c>
      <c r="AN138" s="207">
        <v>0.007208073041806823</v>
      </c>
      <c r="AO138" s="207">
        <v>0.0022673615793562304</v>
      </c>
      <c r="AP138" s="207">
        <v>0</v>
      </c>
      <c r="AQ138" s="207">
        <v>2</v>
      </c>
      <c r="AR138" s="207">
        <v>0</v>
      </c>
      <c r="AS138" s="207">
        <v>0</v>
      </c>
      <c r="AT138" s="207">
        <v>0</v>
      </c>
      <c r="AU138" s="207">
        <v>213.85</v>
      </c>
      <c r="AV138" s="207">
        <v>9.731119943885902</v>
      </c>
      <c r="AW138" s="207">
        <v>1.8636942124933737</v>
      </c>
      <c r="AX138" s="207">
        <v>57</v>
      </c>
      <c r="AY138" s="207">
        <v>568</v>
      </c>
      <c r="AZ138" s="207">
        <v>0.10035211267605634</v>
      </c>
      <c r="BA138" s="207">
        <v>0.03916827659182185</v>
      </c>
      <c r="BB138" s="207">
        <v>0</v>
      </c>
      <c r="BC138" s="207">
        <v>461</v>
      </c>
      <c r="BD138" s="207">
        <v>723</v>
      </c>
      <c r="BE138" s="207">
        <v>0.6376210235131397</v>
      </c>
      <c r="BF138" s="207">
        <v>0.22871414092204656</v>
      </c>
      <c r="BG138" s="207">
        <v>0</v>
      </c>
      <c r="BH138" s="207">
        <v>0</v>
      </c>
      <c r="BI138" s="207">
        <v>0</v>
      </c>
      <c r="BJ138" s="207">
        <v>-499.44</v>
      </c>
      <c r="BK138" s="207">
        <v>-8532.099999999999</v>
      </c>
      <c r="BL138" s="207">
        <v>-582.6800000000001</v>
      </c>
      <c r="BM138" s="207">
        <v>-811.59</v>
      </c>
      <c r="BN138" s="207">
        <v>-41.62</v>
      </c>
      <c r="BO138" s="207">
        <v>27057</v>
      </c>
      <c r="BP138" s="207">
        <v>-18426.516033600637</v>
      </c>
      <c r="BQ138" s="207">
        <v>-188725.88999999998</v>
      </c>
      <c r="BR138" s="207">
        <v>-8187.144025707617</v>
      </c>
      <c r="BS138" s="207">
        <v>152295</v>
      </c>
      <c r="BT138" s="207">
        <v>45371</v>
      </c>
      <c r="BU138" s="207">
        <v>119780.92998940397</v>
      </c>
      <c r="BV138" s="207">
        <v>4609.6513827783165</v>
      </c>
      <c r="BW138" s="207">
        <v>6310.905657128428</v>
      </c>
      <c r="BX138" s="207">
        <v>59475.10213118984</v>
      </c>
      <c r="BY138" s="207">
        <v>96539.81285947633</v>
      </c>
      <c r="BZ138" s="207">
        <v>158323.6257132645</v>
      </c>
      <c r="CA138" s="207">
        <v>36220.49153380224</v>
      </c>
      <c r="CB138" s="207">
        <v>79665.9346530349</v>
      </c>
      <c r="CC138" s="207">
        <v>187.29</v>
      </c>
      <c r="CD138" s="207">
        <v>15037.957041734993</v>
      </c>
      <c r="CE138" s="207">
        <v>89940.81999999999</v>
      </c>
      <c r="CF138" s="207">
        <v>882628.3769361059</v>
      </c>
      <c r="CG138" s="207">
        <v>552488.8709025052</v>
      </c>
      <c r="CH138" s="207">
        <v>0</v>
      </c>
      <c r="CI138" s="207">
        <v>2111098.1101040617</v>
      </c>
      <c r="CJ138" s="207">
        <v>-355820</v>
      </c>
      <c r="CK138" s="207">
        <v>0</v>
      </c>
      <c r="CL138" s="207">
        <v>0</v>
      </c>
      <c r="CM138" s="207">
        <v>-128672.954218</v>
      </c>
      <c r="CN138" s="207">
        <v>6137966.164198585</v>
      </c>
      <c r="CO138" s="207">
        <v>6009293.209980585</v>
      </c>
      <c r="CP138" s="207">
        <v>2105</v>
      </c>
    </row>
    <row r="139" spans="1:94" ht="9.75">
      <c r="A139" s="175">
        <v>440</v>
      </c>
      <c r="B139" s="175" t="s">
        <v>196</v>
      </c>
      <c r="C139" s="207">
        <v>5264</v>
      </c>
      <c r="D139" s="207">
        <v>21699767.14</v>
      </c>
      <c r="E139" s="207">
        <v>3566430.9760415745</v>
      </c>
      <c r="F139" s="207">
        <v>2371552.093808017</v>
      </c>
      <c r="G139" s="207">
        <v>27637750.209849592</v>
      </c>
      <c r="H139" s="207">
        <v>3524.51</v>
      </c>
      <c r="I139" s="207">
        <v>18553020.64</v>
      </c>
      <c r="J139" s="207">
        <v>9084729.569849592</v>
      </c>
      <c r="K139" s="207">
        <v>15705.342268748107</v>
      </c>
      <c r="L139" s="207">
        <v>1132210.5833420688</v>
      </c>
      <c r="M139" s="207">
        <v>0</v>
      </c>
      <c r="N139" s="207">
        <v>10232645.49546041</v>
      </c>
      <c r="O139" s="207">
        <v>4092056.609977418</v>
      </c>
      <c r="P139" s="207">
        <v>14324702.105437828</v>
      </c>
      <c r="Q139" s="207">
        <v>642</v>
      </c>
      <c r="R139" s="207">
        <v>125</v>
      </c>
      <c r="S139" s="207">
        <v>600</v>
      </c>
      <c r="T139" s="207">
        <v>280</v>
      </c>
      <c r="U139" s="207">
        <v>255</v>
      </c>
      <c r="V139" s="207">
        <v>2606</v>
      </c>
      <c r="W139" s="207">
        <v>448</v>
      </c>
      <c r="X139" s="207">
        <v>209</v>
      </c>
      <c r="Y139" s="207">
        <v>99</v>
      </c>
      <c r="Z139" s="207">
        <v>4831</v>
      </c>
      <c r="AA139" s="207">
        <v>0</v>
      </c>
      <c r="AB139" s="207">
        <v>305</v>
      </c>
      <c r="AC139" s="207">
        <v>128</v>
      </c>
      <c r="AD139" s="207">
        <v>756</v>
      </c>
      <c r="AE139" s="207">
        <v>0.5977866745110358</v>
      </c>
      <c r="AF139" s="207">
        <v>3566430.9760415745</v>
      </c>
      <c r="AG139" s="207">
        <v>2714309.5227671396</v>
      </c>
      <c r="AH139" s="207">
        <v>639045.4214808284</v>
      </c>
      <c r="AI139" s="207">
        <v>312714.9839939161</v>
      </c>
      <c r="AJ139" s="207">
        <v>71</v>
      </c>
      <c r="AK139" s="207">
        <v>2279</v>
      </c>
      <c r="AL139" s="207">
        <v>0.26923919897805704</v>
      </c>
      <c r="AM139" s="207">
        <v>128</v>
      </c>
      <c r="AN139" s="207">
        <v>0.0243161094224924</v>
      </c>
      <c r="AO139" s="207">
        <v>0.01937539796004181</v>
      </c>
      <c r="AP139" s="207">
        <v>3</v>
      </c>
      <c r="AQ139" s="207">
        <v>4831</v>
      </c>
      <c r="AR139" s="207">
        <v>0</v>
      </c>
      <c r="AS139" s="207">
        <v>3</v>
      </c>
      <c r="AT139" s="207">
        <v>2043</v>
      </c>
      <c r="AU139" s="207">
        <v>142.45</v>
      </c>
      <c r="AV139" s="207">
        <v>36.95331695331696</v>
      </c>
      <c r="AW139" s="207">
        <v>0.49077683455073756</v>
      </c>
      <c r="AX139" s="207">
        <v>137</v>
      </c>
      <c r="AY139" s="207">
        <v>1406</v>
      </c>
      <c r="AZ139" s="207">
        <v>0.09743954480796586</v>
      </c>
      <c r="BA139" s="207">
        <v>0.03625570872373137</v>
      </c>
      <c r="BB139" s="207">
        <v>0</v>
      </c>
      <c r="BC139" s="207">
        <v>1005</v>
      </c>
      <c r="BD139" s="207">
        <v>2206</v>
      </c>
      <c r="BE139" s="207">
        <v>0.4555757026291931</v>
      </c>
      <c r="BF139" s="207">
        <v>0.04666882003810002</v>
      </c>
      <c r="BG139" s="207">
        <v>0</v>
      </c>
      <c r="BH139" s="207">
        <v>0</v>
      </c>
      <c r="BI139" s="207">
        <v>0</v>
      </c>
      <c r="BJ139" s="207">
        <v>-1263.36</v>
      </c>
      <c r="BK139" s="207">
        <v>-21582.399999999998</v>
      </c>
      <c r="BL139" s="207">
        <v>-1473.92</v>
      </c>
      <c r="BM139" s="207">
        <v>-2052.96</v>
      </c>
      <c r="BN139" s="207">
        <v>-105.28</v>
      </c>
      <c r="BO139" s="207">
        <v>-43352</v>
      </c>
      <c r="BP139" s="207">
        <v>-69830.61115461373</v>
      </c>
      <c r="BQ139" s="207">
        <v>-477392.16</v>
      </c>
      <c r="BR139" s="207">
        <v>14361.762467931956</v>
      </c>
      <c r="BS139" s="207">
        <v>333918</v>
      </c>
      <c r="BT139" s="207">
        <v>115068</v>
      </c>
      <c r="BU139" s="207">
        <v>264249.4247212743</v>
      </c>
      <c r="BV139" s="207">
        <v>8620.971730934089</v>
      </c>
      <c r="BW139" s="207">
        <v>32415.934720927144</v>
      </c>
      <c r="BX139" s="207">
        <v>138524.35282339575</v>
      </c>
      <c r="BY139" s="207">
        <v>269394.57623006677</v>
      </c>
      <c r="BZ139" s="207">
        <v>333512.1917080896</v>
      </c>
      <c r="CA139" s="207">
        <v>102423.60818471834</v>
      </c>
      <c r="CB139" s="207">
        <v>201379.02455617866</v>
      </c>
      <c r="CC139" s="207">
        <v>473.76</v>
      </c>
      <c r="CD139" s="207">
        <v>-7963.932646833914</v>
      </c>
      <c r="CE139" s="207">
        <v>227510.08</v>
      </c>
      <c r="CF139" s="207">
        <v>1990535.7544966827</v>
      </c>
      <c r="CG139" s="207">
        <v>1132210.5833420688</v>
      </c>
      <c r="CH139" s="207">
        <v>0</v>
      </c>
      <c r="CI139" s="207">
        <v>4092056.609977418</v>
      </c>
      <c r="CJ139" s="207">
        <v>-1182875</v>
      </c>
      <c r="CK139" s="207">
        <v>0</v>
      </c>
      <c r="CL139" s="207">
        <v>0</v>
      </c>
      <c r="CM139" s="207">
        <v>-331394.5357</v>
      </c>
      <c r="CN139" s="207">
        <v>13141827.105437828</v>
      </c>
      <c r="CO139" s="207">
        <v>12810432.569737827</v>
      </c>
      <c r="CP139" s="207">
        <v>5176</v>
      </c>
    </row>
    <row r="140" spans="1:94" ht="9.75">
      <c r="A140" s="175">
        <v>441</v>
      </c>
      <c r="B140" s="175" t="s">
        <v>197</v>
      </c>
      <c r="C140" s="207">
        <v>4747</v>
      </c>
      <c r="D140" s="207">
        <v>17300059.18</v>
      </c>
      <c r="E140" s="207">
        <v>6307436.535826369</v>
      </c>
      <c r="F140" s="207">
        <v>1267419.7996683968</v>
      </c>
      <c r="G140" s="207">
        <v>24874915.515494768</v>
      </c>
      <c r="H140" s="207">
        <v>3524.51</v>
      </c>
      <c r="I140" s="207">
        <v>16730848.97</v>
      </c>
      <c r="J140" s="207">
        <v>8144066.545494767</v>
      </c>
      <c r="K140" s="207">
        <v>364385.9530776681</v>
      </c>
      <c r="L140" s="207">
        <v>1660478.7720535886</v>
      </c>
      <c r="M140" s="207">
        <v>0</v>
      </c>
      <c r="N140" s="207">
        <v>10168931.270626023</v>
      </c>
      <c r="O140" s="207">
        <v>2349949.882414296</v>
      </c>
      <c r="P140" s="207">
        <v>12518881.15304032</v>
      </c>
      <c r="Q140" s="207">
        <v>192</v>
      </c>
      <c r="R140" s="207">
        <v>51</v>
      </c>
      <c r="S140" s="207">
        <v>274</v>
      </c>
      <c r="T140" s="207">
        <v>136</v>
      </c>
      <c r="U140" s="207">
        <v>154</v>
      </c>
      <c r="V140" s="207">
        <v>2401</v>
      </c>
      <c r="W140" s="207">
        <v>829</v>
      </c>
      <c r="X140" s="207">
        <v>480</v>
      </c>
      <c r="Y140" s="207">
        <v>230</v>
      </c>
      <c r="Z140" s="207">
        <v>18</v>
      </c>
      <c r="AA140" s="207">
        <v>0</v>
      </c>
      <c r="AB140" s="207">
        <v>4581</v>
      </c>
      <c r="AC140" s="207">
        <v>148</v>
      </c>
      <c r="AD140" s="207">
        <v>1539</v>
      </c>
      <c r="AE140" s="207">
        <v>1.1723625717118575</v>
      </c>
      <c r="AF140" s="207">
        <v>6307436.535826369</v>
      </c>
      <c r="AG140" s="207">
        <v>4536536.308320597</v>
      </c>
      <c r="AH140" s="207">
        <v>1021064.0965964115</v>
      </c>
      <c r="AI140" s="207">
        <v>616495.2541594345</v>
      </c>
      <c r="AJ140" s="207">
        <v>219</v>
      </c>
      <c r="AK140" s="207">
        <v>2097</v>
      </c>
      <c r="AL140" s="207">
        <v>0.9025472569743983</v>
      </c>
      <c r="AM140" s="207">
        <v>148</v>
      </c>
      <c r="AN140" s="207">
        <v>0.031177585843690753</v>
      </c>
      <c r="AO140" s="207">
        <v>0.02623687438124016</v>
      </c>
      <c r="AP140" s="207">
        <v>0</v>
      </c>
      <c r="AQ140" s="207">
        <v>18</v>
      </c>
      <c r="AR140" s="207">
        <v>0</v>
      </c>
      <c r="AS140" s="207">
        <v>0</v>
      </c>
      <c r="AT140" s="207">
        <v>0</v>
      </c>
      <c r="AU140" s="207">
        <v>750.06</v>
      </c>
      <c r="AV140" s="207">
        <v>6.32882702717116</v>
      </c>
      <c r="AW140" s="207">
        <v>2.8655913398545354</v>
      </c>
      <c r="AX140" s="207">
        <v>165</v>
      </c>
      <c r="AY140" s="207">
        <v>1252</v>
      </c>
      <c r="AZ140" s="207">
        <v>0.13178913738019168</v>
      </c>
      <c r="BA140" s="207">
        <v>0.07060530129595718</v>
      </c>
      <c r="BB140" s="207">
        <v>0.250666</v>
      </c>
      <c r="BC140" s="207">
        <v>1395</v>
      </c>
      <c r="BD140" s="207">
        <v>1780</v>
      </c>
      <c r="BE140" s="207">
        <v>0.7837078651685393</v>
      </c>
      <c r="BF140" s="207">
        <v>0.3748009825774462</v>
      </c>
      <c r="BG140" s="207">
        <v>0</v>
      </c>
      <c r="BH140" s="207">
        <v>0</v>
      </c>
      <c r="BI140" s="207">
        <v>0</v>
      </c>
      <c r="BJ140" s="207">
        <v>-1139.28</v>
      </c>
      <c r="BK140" s="207">
        <v>-19462.699999999997</v>
      </c>
      <c r="BL140" s="207">
        <v>-1329.16</v>
      </c>
      <c r="BM140" s="207">
        <v>-1851.3300000000002</v>
      </c>
      <c r="BN140" s="207">
        <v>-94.94</v>
      </c>
      <c r="BO140" s="207">
        <v>97180</v>
      </c>
      <c r="BP140" s="207">
        <v>-106982.04501566336</v>
      </c>
      <c r="BQ140" s="207">
        <v>-430505.43</v>
      </c>
      <c r="BR140" s="207">
        <v>-3537.7496837247163</v>
      </c>
      <c r="BS140" s="207">
        <v>440971</v>
      </c>
      <c r="BT140" s="207">
        <v>142817</v>
      </c>
      <c r="BU140" s="207">
        <v>344336.52454953437</v>
      </c>
      <c r="BV140" s="207">
        <v>17832.943227524513</v>
      </c>
      <c r="BW140" s="207">
        <v>59729.45641819508</v>
      </c>
      <c r="BX140" s="207">
        <v>158241.6708336102</v>
      </c>
      <c r="BY140" s="207">
        <v>262569.6459401098</v>
      </c>
      <c r="BZ140" s="207">
        <v>409634.62053091574</v>
      </c>
      <c r="CA140" s="207">
        <v>124770.503660501</v>
      </c>
      <c r="CB140" s="207">
        <v>219985.4825288346</v>
      </c>
      <c r="CC140" s="207">
        <v>427.22999999999996</v>
      </c>
      <c r="CD140" s="207">
        <v>-1609.7209362484864</v>
      </c>
      <c r="CE140" s="207">
        <v>205165.34</v>
      </c>
      <c r="CF140" s="207">
        <v>2478513.947069252</v>
      </c>
      <c r="CG140" s="207">
        <v>1660478.7720535886</v>
      </c>
      <c r="CH140" s="207">
        <v>0</v>
      </c>
      <c r="CI140" s="207">
        <v>2349949.882414296</v>
      </c>
      <c r="CJ140" s="207">
        <v>-570690</v>
      </c>
      <c r="CK140" s="207">
        <v>0</v>
      </c>
      <c r="CL140" s="207">
        <v>0</v>
      </c>
      <c r="CM140" s="207">
        <v>-170653.99552</v>
      </c>
      <c r="CN140" s="207">
        <v>11948191.15304032</v>
      </c>
      <c r="CO140" s="207">
        <v>11777537.15752032</v>
      </c>
      <c r="CP140" s="207">
        <v>4831</v>
      </c>
    </row>
    <row r="141" spans="1:94" ht="9.75">
      <c r="A141" s="175">
        <v>475</v>
      </c>
      <c r="B141" s="175" t="s">
        <v>198</v>
      </c>
      <c r="C141" s="207">
        <v>5477</v>
      </c>
      <c r="D141" s="207">
        <v>19668071.93</v>
      </c>
      <c r="E141" s="207">
        <v>5782832.316216654</v>
      </c>
      <c r="F141" s="207">
        <v>4586814.232130716</v>
      </c>
      <c r="G141" s="207">
        <v>30037718.47834737</v>
      </c>
      <c r="H141" s="207">
        <v>3524.51</v>
      </c>
      <c r="I141" s="207">
        <v>19303741.27</v>
      </c>
      <c r="J141" s="207">
        <v>10733977.208347369</v>
      </c>
      <c r="K141" s="207">
        <v>117333.44715957933</v>
      </c>
      <c r="L141" s="207">
        <v>2018149.4803378186</v>
      </c>
      <c r="M141" s="207">
        <v>0</v>
      </c>
      <c r="N141" s="207">
        <v>12869460.135844767</v>
      </c>
      <c r="O141" s="207">
        <v>3183304.11374256</v>
      </c>
      <c r="P141" s="207">
        <v>16052764.249587327</v>
      </c>
      <c r="Q141" s="207">
        <v>314</v>
      </c>
      <c r="R141" s="207">
        <v>61</v>
      </c>
      <c r="S141" s="207">
        <v>362</v>
      </c>
      <c r="T141" s="207">
        <v>137</v>
      </c>
      <c r="U141" s="207">
        <v>167</v>
      </c>
      <c r="V141" s="207">
        <v>2934</v>
      </c>
      <c r="W141" s="207">
        <v>772</v>
      </c>
      <c r="X141" s="207">
        <v>496</v>
      </c>
      <c r="Y141" s="207">
        <v>234</v>
      </c>
      <c r="Z141" s="207">
        <v>4685</v>
      </c>
      <c r="AA141" s="207">
        <v>0</v>
      </c>
      <c r="AB141" s="207">
        <v>534</v>
      </c>
      <c r="AC141" s="207">
        <v>258</v>
      </c>
      <c r="AD141" s="207">
        <v>1502</v>
      </c>
      <c r="AE141" s="207">
        <v>0.9315928477326032</v>
      </c>
      <c r="AF141" s="207">
        <v>5782832.316216654</v>
      </c>
      <c r="AG141" s="207">
        <v>63657376.796825014</v>
      </c>
      <c r="AH141" s="207">
        <v>15197277.1624207</v>
      </c>
      <c r="AI141" s="207">
        <v>7094162.779747696</v>
      </c>
      <c r="AJ141" s="207">
        <v>194</v>
      </c>
      <c r="AK141" s="207">
        <v>2620</v>
      </c>
      <c r="AL141" s="207">
        <v>0.6399185576140869</v>
      </c>
      <c r="AM141" s="207">
        <v>258</v>
      </c>
      <c r="AN141" s="207">
        <v>0.047106079970786925</v>
      </c>
      <c r="AO141" s="207">
        <v>0.04216536850833633</v>
      </c>
      <c r="AP141" s="207">
        <v>3</v>
      </c>
      <c r="AQ141" s="207">
        <v>4685</v>
      </c>
      <c r="AR141" s="207">
        <v>0</v>
      </c>
      <c r="AS141" s="207">
        <v>1</v>
      </c>
      <c r="AT141" s="207">
        <v>0</v>
      </c>
      <c r="AU141" s="207">
        <v>521.75</v>
      </c>
      <c r="AV141" s="207">
        <v>10.497364638236704</v>
      </c>
      <c r="AW141" s="207">
        <v>1.7276557065036249</v>
      </c>
      <c r="AX141" s="207">
        <v>200</v>
      </c>
      <c r="AY141" s="207">
        <v>1576</v>
      </c>
      <c r="AZ141" s="207">
        <v>0.12690355329949238</v>
      </c>
      <c r="BA141" s="207">
        <v>0.06571971721525788</v>
      </c>
      <c r="BB141" s="207">
        <v>0</v>
      </c>
      <c r="BC141" s="207">
        <v>1738</v>
      </c>
      <c r="BD141" s="207">
        <v>2336</v>
      </c>
      <c r="BE141" s="207">
        <v>0.7440068493150684</v>
      </c>
      <c r="BF141" s="207">
        <v>0.33509996672397535</v>
      </c>
      <c r="BG141" s="207">
        <v>0</v>
      </c>
      <c r="BH141" s="207">
        <v>0</v>
      </c>
      <c r="BI141" s="207">
        <v>0</v>
      </c>
      <c r="BJ141" s="207">
        <v>-1314.48</v>
      </c>
      <c r="BK141" s="207">
        <v>-22455.699999999997</v>
      </c>
      <c r="BL141" s="207">
        <v>-1533.5600000000002</v>
      </c>
      <c r="BM141" s="207">
        <v>-2136.03</v>
      </c>
      <c r="BN141" s="207">
        <v>-109.54</v>
      </c>
      <c r="BO141" s="207">
        <v>-140850</v>
      </c>
      <c r="BP141" s="207">
        <v>-43126.93655962842</v>
      </c>
      <c r="BQ141" s="207">
        <v>-496709.13</v>
      </c>
      <c r="BR141" s="207">
        <v>102448.75923616439</v>
      </c>
      <c r="BS141" s="207">
        <v>527887</v>
      </c>
      <c r="BT141" s="207">
        <v>179692</v>
      </c>
      <c r="BU141" s="207">
        <v>440779.18001771974</v>
      </c>
      <c r="BV141" s="207">
        <v>19590.202182369918</v>
      </c>
      <c r="BW141" s="207">
        <v>73233.53154674625</v>
      </c>
      <c r="BX141" s="207">
        <v>172456.4755134179</v>
      </c>
      <c r="BY141" s="207">
        <v>309448.79501962755</v>
      </c>
      <c r="BZ141" s="207">
        <v>542673.1834396141</v>
      </c>
      <c r="CA141" s="207">
        <v>163920.23664022674</v>
      </c>
      <c r="CB141" s="207">
        <v>270575.7109624512</v>
      </c>
      <c r="CC141" s="207">
        <v>492.93</v>
      </c>
      <c r="CD141" s="207">
        <v>-17387.697660890735</v>
      </c>
      <c r="CE141" s="207">
        <v>236715.94</v>
      </c>
      <c r="CF141" s="207">
        <v>2881676.246897447</v>
      </c>
      <c r="CG141" s="207">
        <v>2018149.4803378186</v>
      </c>
      <c r="CH141" s="207">
        <v>0</v>
      </c>
      <c r="CI141" s="207">
        <v>3183304.11374256</v>
      </c>
      <c r="CJ141" s="207">
        <v>63334</v>
      </c>
      <c r="CK141" s="207">
        <v>0</v>
      </c>
      <c r="CL141" s="207">
        <v>0</v>
      </c>
      <c r="CM141" s="207">
        <v>404854.4278000001</v>
      </c>
      <c r="CN141" s="207">
        <v>16116098.249587327</v>
      </c>
      <c r="CO141" s="207">
        <v>16520952.677387327</v>
      </c>
      <c r="CP141" s="207">
        <v>5517</v>
      </c>
    </row>
    <row r="142" spans="1:94" ht="9.75">
      <c r="A142" s="175">
        <v>480</v>
      </c>
      <c r="B142" s="175" t="s">
        <v>199</v>
      </c>
      <c r="C142" s="207">
        <v>1988</v>
      </c>
      <c r="D142" s="207">
        <v>7044651.909999999</v>
      </c>
      <c r="E142" s="207">
        <v>2380184.408285062</v>
      </c>
      <c r="F142" s="207">
        <v>405043.26370708284</v>
      </c>
      <c r="G142" s="207">
        <v>9829879.581992144</v>
      </c>
      <c r="H142" s="207">
        <v>3524.51</v>
      </c>
      <c r="I142" s="207">
        <v>7006725.880000001</v>
      </c>
      <c r="J142" s="207">
        <v>2823153.701992143</v>
      </c>
      <c r="K142" s="207">
        <v>32122.366153846153</v>
      </c>
      <c r="L142" s="207">
        <v>689485.1764582142</v>
      </c>
      <c r="M142" s="207">
        <v>0</v>
      </c>
      <c r="N142" s="207">
        <v>3544761.244604203</v>
      </c>
      <c r="O142" s="207">
        <v>1320647.5064690846</v>
      </c>
      <c r="P142" s="207">
        <v>4865408.751073288</v>
      </c>
      <c r="Q142" s="207">
        <v>127</v>
      </c>
      <c r="R142" s="207">
        <v>21</v>
      </c>
      <c r="S142" s="207">
        <v>126</v>
      </c>
      <c r="T142" s="207">
        <v>59</v>
      </c>
      <c r="U142" s="207">
        <v>59</v>
      </c>
      <c r="V142" s="207">
        <v>1054</v>
      </c>
      <c r="W142" s="207">
        <v>309</v>
      </c>
      <c r="X142" s="207">
        <v>158</v>
      </c>
      <c r="Y142" s="207">
        <v>75</v>
      </c>
      <c r="Z142" s="207">
        <v>21</v>
      </c>
      <c r="AA142" s="207">
        <v>0</v>
      </c>
      <c r="AB142" s="207">
        <v>1926</v>
      </c>
      <c r="AC142" s="207">
        <v>41</v>
      </c>
      <c r="AD142" s="207">
        <v>542</v>
      </c>
      <c r="AE142" s="207">
        <v>1.0563856986670912</v>
      </c>
      <c r="AF142" s="207">
        <v>2380184.408285062</v>
      </c>
      <c r="AG142" s="207">
        <v>18531142.369908635</v>
      </c>
      <c r="AH142" s="207">
        <v>3422650.5022232546</v>
      </c>
      <c r="AI142" s="207">
        <v>2010310.6113894605</v>
      </c>
      <c r="AJ142" s="207">
        <v>78</v>
      </c>
      <c r="AK142" s="207">
        <v>909</v>
      </c>
      <c r="AL142" s="207">
        <v>0.7415748382952536</v>
      </c>
      <c r="AM142" s="207">
        <v>41</v>
      </c>
      <c r="AN142" s="207">
        <v>0.02062374245472837</v>
      </c>
      <c r="AO142" s="207">
        <v>0.015683030992277778</v>
      </c>
      <c r="AP142" s="207">
        <v>0</v>
      </c>
      <c r="AQ142" s="207">
        <v>21</v>
      </c>
      <c r="AR142" s="207">
        <v>0</v>
      </c>
      <c r="AS142" s="207">
        <v>0</v>
      </c>
      <c r="AT142" s="207">
        <v>0</v>
      </c>
      <c r="AU142" s="207">
        <v>195.3</v>
      </c>
      <c r="AV142" s="207">
        <v>10.17921146953405</v>
      </c>
      <c r="AW142" s="207">
        <v>1.781653910499726</v>
      </c>
      <c r="AX142" s="207">
        <v>100</v>
      </c>
      <c r="AY142" s="207">
        <v>609</v>
      </c>
      <c r="AZ142" s="207">
        <v>0.16420361247947454</v>
      </c>
      <c r="BA142" s="207">
        <v>0.10301977639524004</v>
      </c>
      <c r="BB142" s="207">
        <v>0</v>
      </c>
      <c r="BC142" s="207">
        <v>528</v>
      </c>
      <c r="BD142" s="207">
        <v>798</v>
      </c>
      <c r="BE142" s="207">
        <v>0.6616541353383458</v>
      </c>
      <c r="BF142" s="207">
        <v>0.25274725274725274</v>
      </c>
      <c r="BG142" s="207">
        <v>0</v>
      </c>
      <c r="BH142" s="207">
        <v>0</v>
      </c>
      <c r="BI142" s="207">
        <v>0</v>
      </c>
      <c r="BJ142" s="207">
        <v>-477.12</v>
      </c>
      <c r="BK142" s="207">
        <v>-8150.799999999999</v>
      </c>
      <c r="BL142" s="207">
        <v>-556.6400000000001</v>
      </c>
      <c r="BM142" s="207">
        <v>-775.32</v>
      </c>
      <c r="BN142" s="207">
        <v>-39.76</v>
      </c>
      <c r="BO142" s="207">
        <v>-23633</v>
      </c>
      <c r="BP142" s="207">
        <v>-54668.60525768957</v>
      </c>
      <c r="BQ142" s="207">
        <v>-180291.72</v>
      </c>
      <c r="BR142" s="207">
        <v>-2801.1581095047295</v>
      </c>
      <c r="BS142" s="207">
        <v>189435</v>
      </c>
      <c r="BT142" s="207">
        <v>64417</v>
      </c>
      <c r="BU142" s="207">
        <v>154742.8346528901</v>
      </c>
      <c r="BV142" s="207">
        <v>7161.85268333947</v>
      </c>
      <c r="BW142" s="207">
        <v>25643.29382656168</v>
      </c>
      <c r="BX142" s="207">
        <v>61135.430983444574</v>
      </c>
      <c r="BY142" s="207">
        <v>131032.9521289443</v>
      </c>
      <c r="BZ142" s="207">
        <v>184634.59575103052</v>
      </c>
      <c r="CA142" s="207">
        <v>58231.54700398651</v>
      </c>
      <c r="CB142" s="207">
        <v>97282.76340994959</v>
      </c>
      <c r="CC142" s="207">
        <v>178.92</v>
      </c>
      <c r="CD142" s="207">
        <v>8552.909385261857</v>
      </c>
      <c r="CE142" s="207">
        <v>85921.36</v>
      </c>
      <c r="CF142" s="207">
        <v>1041936.3017159038</v>
      </c>
      <c r="CG142" s="207">
        <v>689485.1764582142</v>
      </c>
      <c r="CH142" s="207">
        <v>0</v>
      </c>
      <c r="CI142" s="207">
        <v>1320647.5064690846</v>
      </c>
      <c r="CJ142" s="207">
        <v>-331160</v>
      </c>
      <c r="CK142" s="207">
        <v>0</v>
      </c>
      <c r="CL142" s="207">
        <v>0</v>
      </c>
      <c r="CM142" s="207">
        <v>-612429.7743000002</v>
      </c>
      <c r="CN142" s="207">
        <v>4534248.751073288</v>
      </c>
      <c r="CO142" s="207">
        <v>3921818.976773288</v>
      </c>
      <c r="CP142" s="207">
        <v>2021</v>
      </c>
    </row>
    <row r="143" spans="1:94" ht="9.75">
      <c r="A143" s="175">
        <v>481</v>
      </c>
      <c r="B143" s="175" t="s">
        <v>200</v>
      </c>
      <c r="C143" s="207">
        <v>9656</v>
      </c>
      <c r="D143" s="207">
        <v>33399384.75</v>
      </c>
      <c r="E143" s="207">
        <v>7252160.997121036</v>
      </c>
      <c r="F143" s="207">
        <v>873534.5126522754</v>
      </c>
      <c r="G143" s="207">
        <v>41525080.259773314</v>
      </c>
      <c r="H143" s="207">
        <v>3524.51</v>
      </c>
      <c r="I143" s="207">
        <v>34032668.56</v>
      </c>
      <c r="J143" s="207">
        <v>7492411.699773312</v>
      </c>
      <c r="K143" s="207">
        <v>61864.63663395757</v>
      </c>
      <c r="L143" s="207">
        <v>1798651.442780811</v>
      </c>
      <c r="M143" s="207">
        <v>0</v>
      </c>
      <c r="N143" s="207">
        <v>9352927.77918808</v>
      </c>
      <c r="O143" s="207">
        <v>-148557.92686486343</v>
      </c>
      <c r="P143" s="207">
        <v>9204369.852323215</v>
      </c>
      <c r="Q143" s="207">
        <v>696</v>
      </c>
      <c r="R143" s="207">
        <v>139</v>
      </c>
      <c r="S143" s="207">
        <v>919</v>
      </c>
      <c r="T143" s="207">
        <v>404</v>
      </c>
      <c r="U143" s="207">
        <v>413</v>
      </c>
      <c r="V143" s="207">
        <v>5383</v>
      </c>
      <c r="W143" s="207">
        <v>1066</v>
      </c>
      <c r="X143" s="207">
        <v>473</v>
      </c>
      <c r="Y143" s="207">
        <v>163</v>
      </c>
      <c r="Z143" s="207">
        <v>108</v>
      </c>
      <c r="AA143" s="207">
        <v>0</v>
      </c>
      <c r="AB143" s="207">
        <v>9399</v>
      </c>
      <c r="AC143" s="207">
        <v>149</v>
      </c>
      <c r="AD143" s="207">
        <v>1702</v>
      </c>
      <c r="AE143" s="207">
        <v>0.6626717654344978</v>
      </c>
      <c r="AF143" s="207">
        <v>7252160.997121036</v>
      </c>
      <c r="AG143" s="207">
        <v>7934355.240315496</v>
      </c>
      <c r="AH143" s="207">
        <v>1756465.5250705339</v>
      </c>
      <c r="AI143" s="207">
        <v>616495.2541594345</v>
      </c>
      <c r="AJ143" s="207">
        <v>301</v>
      </c>
      <c r="AK143" s="207">
        <v>4833</v>
      </c>
      <c r="AL143" s="207">
        <v>0.5382375175240893</v>
      </c>
      <c r="AM143" s="207">
        <v>149</v>
      </c>
      <c r="AN143" s="207">
        <v>0.015430820215410108</v>
      </c>
      <c r="AO143" s="207">
        <v>0.010490108752959516</v>
      </c>
      <c r="AP143" s="207">
        <v>0</v>
      </c>
      <c r="AQ143" s="207">
        <v>108</v>
      </c>
      <c r="AR143" s="207">
        <v>0</v>
      </c>
      <c r="AS143" s="207">
        <v>0</v>
      </c>
      <c r="AT143" s="207">
        <v>0</v>
      </c>
      <c r="AU143" s="207">
        <v>174.85</v>
      </c>
      <c r="AV143" s="207">
        <v>55.224478124106376</v>
      </c>
      <c r="AW143" s="207">
        <v>0.32840205170870446</v>
      </c>
      <c r="AX143" s="207">
        <v>304</v>
      </c>
      <c r="AY143" s="207">
        <v>3455</v>
      </c>
      <c r="AZ143" s="207">
        <v>0.08798842257597685</v>
      </c>
      <c r="BA143" s="207">
        <v>0.026804586491742353</v>
      </c>
      <c r="BB143" s="207">
        <v>0</v>
      </c>
      <c r="BC143" s="207">
        <v>2260</v>
      </c>
      <c r="BD143" s="207">
        <v>4439</v>
      </c>
      <c r="BE143" s="207">
        <v>0.509123676503717</v>
      </c>
      <c r="BF143" s="207">
        <v>0.10021679391262395</v>
      </c>
      <c r="BG143" s="207">
        <v>0</v>
      </c>
      <c r="BH143" s="207">
        <v>0</v>
      </c>
      <c r="BI143" s="207">
        <v>0</v>
      </c>
      <c r="BJ143" s="207">
        <v>-2317.44</v>
      </c>
      <c r="BK143" s="207">
        <v>-39589.6</v>
      </c>
      <c r="BL143" s="207">
        <v>-2703.6800000000003</v>
      </c>
      <c r="BM143" s="207">
        <v>-3765.84</v>
      </c>
      <c r="BN143" s="207">
        <v>-193.12</v>
      </c>
      <c r="BO143" s="207">
        <v>36413</v>
      </c>
      <c r="BP143" s="207">
        <v>-151480.5539977261</v>
      </c>
      <c r="BQ143" s="207">
        <v>-875702.64</v>
      </c>
      <c r="BR143" s="207">
        <v>32000.689960744232</v>
      </c>
      <c r="BS143" s="207">
        <v>621436</v>
      </c>
      <c r="BT143" s="207">
        <v>207148</v>
      </c>
      <c r="BU143" s="207">
        <v>331328.82182197727</v>
      </c>
      <c r="BV143" s="207">
        <v>-3308.595417114833</v>
      </c>
      <c r="BW143" s="207">
        <v>-53204.678997454095</v>
      </c>
      <c r="BX143" s="207">
        <v>172834.1055396685</v>
      </c>
      <c r="BY143" s="207">
        <v>408529.98781932035</v>
      </c>
      <c r="BZ143" s="207">
        <v>752960.6109749416</v>
      </c>
      <c r="CA143" s="207">
        <v>181718.37970835684</v>
      </c>
      <c r="CB143" s="207">
        <v>322529.81921711017</v>
      </c>
      <c r="CC143" s="207">
        <v>869.04</v>
      </c>
      <c r="CD143" s="207">
        <v>-32083.263849012423</v>
      </c>
      <c r="CE143" s="207">
        <v>417332.32</v>
      </c>
      <c r="CF143" s="207">
        <v>3396504.2367785373</v>
      </c>
      <c r="CG143" s="207">
        <v>1798651.442780811</v>
      </c>
      <c r="CH143" s="207">
        <v>0</v>
      </c>
      <c r="CI143" s="207">
        <v>-148557.92686486343</v>
      </c>
      <c r="CJ143" s="207">
        <v>-1725300</v>
      </c>
      <c r="CK143" s="207">
        <v>0</v>
      </c>
      <c r="CL143" s="207">
        <v>0</v>
      </c>
      <c r="CM143" s="207">
        <v>-246410.74678000004</v>
      </c>
      <c r="CN143" s="207">
        <v>7479069.852323215</v>
      </c>
      <c r="CO143" s="207">
        <v>7232659.105543215</v>
      </c>
      <c r="CP143" s="207">
        <v>9675</v>
      </c>
    </row>
    <row r="144" spans="1:94" ht="9.75">
      <c r="A144" s="175">
        <v>483</v>
      </c>
      <c r="B144" s="175" t="s">
        <v>201</v>
      </c>
      <c r="C144" s="207">
        <v>1119</v>
      </c>
      <c r="D144" s="207">
        <v>4629750.3</v>
      </c>
      <c r="E144" s="207">
        <v>1348967.209839939</v>
      </c>
      <c r="F144" s="207">
        <v>271910.2758728124</v>
      </c>
      <c r="G144" s="207">
        <v>6250627.785712752</v>
      </c>
      <c r="H144" s="207">
        <v>3524.51</v>
      </c>
      <c r="I144" s="207">
        <v>3943926.6900000004</v>
      </c>
      <c r="J144" s="207">
        <v>2306701.095712751</v>
      </c>
      <c r="K144" s="207">
        <v>18634.99248722373</v>
      </c>
      <c r="L144" s="207">
        <v>422030.43083571026</v>
      </c>
      <c r="M144" s="207">
        <v>0</v>
      </c>
      <c r="N144" s="207">
        <v>2747366.5190356853</v>
      </c>
      <c r="O144" s="207">
        <v>1616057.949223889</v>
      </c>
      <c r="P144" s="207">
        <v>4363424.468259575</v>
      </c>
      <c r="Q144" s="207">
        <v>118</v>
      </c>
      <c r="R144" s="207">
        <v>21</v>
      </c>
      <c r="S144" s="207">
        <v>92</v>
      </c>
      <c r="T144" s="207">
        <v>49</v>
      </c>
      <c r="U144" s="207">
        <v>51</v>
      </c>
      <c r="V144" s="207">
        <v>538</v>
      </c>
      <c r="W144" s="207">
        <v>137</v>
      </c>
      <c r="X144" s="207">
        <v>70</v>
      </c>
      <c r="Y144" s="207">
        <v>43</v>
      </c>
      <c r="Z144" s="207">
        <v>0</v>
      </c>
      <c r="AA144" s="207">
        <v>0</v>
      </c>
      <c r="AB144" s="207">
        <v>1111</v>
      </c>
      <c r="AC144" s="207">
        <v>8</v>
      </c>
      <c r="AD144" s="207">
        <v>250</v>
      </c>
      <c r="AE144" s="207">
        <v>1.0636520802673757</v>
      </c>
      <c r="AF144" s="207">
        <v>1348967.209839939</v>
      </c>
      <c r="AG144" s="207">
        <v>3081471.647111788</v>
      </c>
      <c r="AH144" s="207">
        <v>797316.934975838</v>
      </c>
      <c r="AI144" s="207">
        <v>294845.55633712077</v>
      </c>
      <c r="AJ144" s="207">
        <v>35</v>
      </c>
      <c r="AK144" s="207">
        <v>426</v>
      </c>
      <c r="AL144" s="207">
        <v>0.7100398302745725</v>
      </c>
      <c r="AM144" s="207">
        <v>8</v>
      </c>
      <c r="AN144" s="207">
        <v>0.0071492403932082215</v>
      </c>
      <c r="AO144" s="207">
        <v>0.0022085289307576285</v>
      </c>
      <c r="AP144" s="207">
        <v>0</v>
      </c>
      <c r="AQ144" s="207">
        <v>0</v>
      </c>
      <c r="AR144" s="207">
        <v>0</v>
      </c>
      <c r="AS144" s="207">
        <v>0</v>
      </c>
      <c r="AT144" s="207">
        <v>0</v>
      </c>
      <c r="AU144" s="207">
        <v>229.94</v>
      </c>
      <c r="AV144" s="207">
        <v>4.866486909628599</v>
      </c>
      <c r="AW144" s="207">
        <v>3.726678455584933</v>
      </c>
      <c r="AX144" s="207">
        <v>34</v>
      </c>
      <c r="AY144" s="207">
        <v>232</v>
      </c>
      <c r="AZ144" s="207">
        <v>0.14655172413793102</v>
      </c>
      <c r="BA144" s="207">
        <v>0.08536788805369652</v>
      </c>
      <c r="BB144" s="207">
        <v>0</v>
      </c>
      <c r="BC144" s="207">
        <v>245</v>
      </c>
      <c r="BD144" s="207">
        <v>366</v>
      </c>
      <c r="BE144" s="207">
        <v>0.6693989071038251</v>
      </c>
      <c r="BF144" s="207">
        <v>0.260492024512732</v>
      </c>
      <c r="BG144" s="207">
        <v>0</v>
      </c>
      <c r="BH144" s="207">
        <v>0</v>
      </c>
      <c r="BI144" s="207">
        <v>0</v>
      </c>
      <c r="BJ144" s="207">
        <v>-268.56</v>
      </c>
      <c r="BK144" s="207">
        <v>-4587.9</v>
      </c>
      <c r="BL144" s="207">
        <v>-313.32000000000005</v>
      </c>
      <c r="BM144" s="207">
        <v>-436.41</v>
      </c>
      <c r="BN144" s="207">
        <v>-22.38</v>
      </c>
      <c r="BO144" s="207">
        <v>-5108</v>
      </c>
      <c r="BP144" s="207">
        <v>-13218.622240889243</v>
      </c>
      <c r="BQ144" s="207">
        <v>-101482.11</v>
      </c>
      <c r="BR144" s="207">
        <v>-2330.2481867615134</v>
      </c>
      <c r="BS144" s="207">
        <v>112571</v>
      </c>
      <c r="BT144" s="207">
        <v>33696</v>
      </c>
      <c r="BU144" s="207">
        <v>92424.51788242359</v>
      </c>
      <c r="BV144" s="207">
        <v>5507.555395064793</v>
      </c>
      <c r="BW144" s="207">
        <v>19154.82272696823</v>
      </c>
      <c r="BX144" s="207">
        <v>43544.673574117616</v>
      </c>
      <c r="BY144" s="207">
        <v>65777.08988297192</v>
      </c>
      <c r="BZ144" s="207">
        <v>103253.28900229663</v>
      </c>
      <c r="CA144" s="207">
        <v>26737.41563920715</v>
      </c>
      <c r="CB144" s="207">
        <v>53503.323978154454</v>
      </c>
      <c r="CC144" s="207">
        <v>100.71</v>
      </c>
      <c r="CD144" s="207">
        <v>5668.733182156559</v>
      </c>
      <c r="CE144" s="207">
        <v>48363.18</v>
      </c>
      <c r="CF144" s="207">
        <v>602864.0630765995</v>
      </c>
      <c r="CG144" s="207">
        <v>422030.43083571026</v>
      </c>
      <c r="CH144" s="207">
        <v>0</v>
      </c>
      <c r="CI144" s="207">
        <v>1616057.949223889</v>
      </c>
      <c r="CJ144" s="207">
        <v>-173660</v>
      </c>
      <c r="CK144" s="207">
        <v>0</v>
      </c>
      <c r="CL144" s="207">
        <v>0</v>
      </c>
      <c r="CM144" s="207">
        <v>38346.987700000005</v>
      </c>
      <c r="CN144" s="207">
        <v>4189764.468259575</v>
      </c>
      <c r="CO144" s="207">
        <v>4228111.455959575</v>
      </c>
      <c r="CP144" s="207">
        <v>1131</v>
      </c>
    </row>
    <row r="145" spans="1:94" ht="9.75">
      <c r="A145" s="175">
        <v>484</v>
      </c>
      <c r="B145" s="175" t="s">
        <v>202</v>
      </c>
      <c r="C145" s="207">
        <v>3156</v>
      </c>
      <c r="D145" s="207">
        <v>12364752.850000001</v>
      </c>
      <c r="E145" s="207">
        <v>4236492.519696995</v>
      </c>
      <c r="F145" s="207">
        <v>857550.4881258729</v>
      </c>
      <c r="G145" s="207">
        <v>17458795.85782287</v>
      </c>
      <c r="H145" s="207">
        <v>3524.51</v>
      </c>
      <c r="I145" s="207">
        <v>11123353.56</v>
      </c>
      <c r="J145" s="207">
        <v>6335442.297822868</v>
      </c>
      <c r="K145" s="207">
        <v>489907.6451933214</v>
      </c>
      <c r="L145" s="207">
        <v>1260730.711745458</v>
      </c>
      <c r="M145" s="207">
        <v>692487.3924837912</v>
      </c>
      <c r="N145" s="207">
        <v>8778568.04724544</v>
      </c>
      <c r="O145" s="207">
        <v>2625203.899470804</v>
      </c>
      <c r="P145" s="207">
        <v>11403771.946716243</v>
      </c>
      <c r="Q145" s="207">
        <v>186</v>
      </c>
      <c r="R145" s="207">
        <v>18</v>
      </c>
      <c r="S145" s="207">
        <v>173</v>
      </c>
      <c r="T145" s="207">
        <v>101</v>
      </c>
      <c r="U145" s="207">
        <v>78</v>
      </c>
      <c r="V145" s="207">
        <v>1545</v>
      </c>
      <c r="W145" s="207">
        <v>538</v>
      </c>
      <c r="X145" s="207">
        <v>335</v>
      </c>
      <c r="Y145" s="207">
        <v>182</v>
      </c>
      <c r="Z145" s="207">
        <v>13</v>
      </c>
      <c r="AA145" s="207">
        <v>0</v>
      </c>
      <c r="AB145" s="207">
        <v>3105</v>
      </c>
      <c r="AC145" s="207">
        <v>38</v>
      </c>
      <c r="AD145" s="207">
        <v>1055</v>
      </c>
      <c r="AE145" s="207">
        <v>1.1843981942344997</v>
      </c>
      <c r="AF145" s="207">
        <v>4236492.519696995</v>
      </c>
      <c r="AG145" s="207">
        <v>9219406.06936508</v>
      </c>
      <c r="AH145" s="207">
        <v>2043250.4117481667</v>
      </c>
      <c r="AI145" s="207">
        <v>1116839.2285497002</v>
      </c>
      <c r="AJ145" s="207">
        <v>181</v>
      </c>
      <c r="AK145" s="207">
        <v>1258</v>
      </c>
      <c r="AL145" s="207">
        <v>1.2434324586225571</v>
      </c>
      <c r="AM145" s="207">
        <v>38</v>
      </c>
      <c r="AN145" s="207">
        <v>0.012040557667934094</v>
      </c>
      <c r="AO145" s="207">
        <v>0.007099846205483501</v>
      </c>
      <c r="AP145" s="207">
        <v>0</v>
      </c>
      <c r="AQ145" s="207">
        <v>13</v>
      </c>
      <c r="AR145" s="207">
        <v>0</v>
      </c>
      <c r="AS145" s="207">
        <v>0</v>
      </c>
      <c r="AT145" s="207">
        <v>0</v>
      </c>
      <c r="AU145" s="207">
        <v>446.12</v>
      </c>
      <c r="AV145" s="207">
        <v>7.074329776741684</v>
      </c>
      <c r="AW145" s="207">
        <v>2.5636113233121085</v>
      </c>
      <c r="AX145" s="207">
        <v>148</v>
      </c>
      <c r="AY145" s="207">
        <v>778</v>
      </c>
      <c r="AZ145" s="207">
        <v>0.19023136246786632</v>
      </c>
      <c r="BA145" s="207">
        <v>0.12904752638363182</v>
      </c>
      <c r="BB145" s="207">
        <v>0.5978</v>
      </c>
      <c r="BC145" s="207">
        <v>896</v>
      </c>
      <c r="BD145" s="207">
        <v>1033</v>
      </c>
      <c r="BE145" s="207">
        <v>0.8673765730880929</v>
      </c>
      <c r="BF145" s="207">
        <v>0.4584696904969998</v>
      </c>
      <c r="BG145" s="207">
        <v>0</v>
      </c>
      <c r="BH145" s="207">
        <v>0</v>
      </c>
      <c r="BI145" s="207">
        <v>0</v>
      </c>
      <c r="BJ145" s="207">
        <v>-757.4399999999999</v>
      </c>
      <c r="BK145" s="207">
        <v>-12939.599999999999</v>
      </c>
      <c r="BL145" s="207">
        <v>-883.6800000000001</v>
      </c>
      <c r="BM145" s="207">
        <v>-1230.8400000000001</v>
      </c>
      <c r="BN145" s="207">
        <v>-63.120000000000005</v>
      </c>
      <c r="BO145" s="207">
        <v>80593</v>
      </c>
      <c r="BP145" s="207">
        <v>-29790.9683428281</v>
      </c>
      <c r="BQ145" s="207">
        <v>-286217.64</v>
      </c>
      <c r="BR145" s="207">
        <v>74367.37922729924</v>
      </c>
      <c r="BS145" s="207">
        <v>331324</v>
      </c>
      <c r="BT145" s="207">
        <v>93113</v>
      </c>
      <c r="BU145" s="207">
        <v>256823.8610218016</v>
      </c>
      <c r="BV145" s="207">
        <v>13951.650723552873</v>
      </c>
      <c r="BW145" s="207">
        <v>22369.26415276425</v>
      </c>
      <c r="BX145" s="207">
        <v>113238.57277297978</v>
      </c>
      <c r="BY145" s="207">
        <v>151607.59694996048</v>
      </c>
      <c r="BZ145" s="207">
        <v>266347.51058556547</v>
      </c>
      <c r="CA145" s="207">
        <v>74204.93166680018</v>
      </c>
      <c r="CB145" s="207">
        <v>134678.30637987037</v>
      </c>
      <c r="CC145" s="207">
        <v>284.03999999999996</v>
      </c>
      <c r="CD145" s="207">
        <v>13953.486607691724</v>
      </c>
      <c r="CE145" s="207">
        <v>136402.32</v>
      </c>
      <c r="CF145" s="207">
        <v>1763258.920088286</v>
      </c>
      <c r="CG145" s="207">
        <v>1260730.711745458</v>
      </c>
      <c r="CH145" s="207">
        <v>692487.3924837912</v>
      </c>
      <c r="CI145" s="207">
        <v>2625203.899470804</v>
      </c>
      <c r="CJ145" s="207">
        <v>158597</v>
      </c>
      <c r="CK145" s="207">
        <v>0</v>
      </c>
      <c r="CL145" s="207">
        <v>0</v>
      </c>
      <c r="CM145" s="207">
        <v>14652.377399999998</v>
      </c>
      <c r="CN145" s="207">
        <v>11562368.946716243</v>
      </c>
      <c r="CO145" s="207">
        <v>11577021.324116243</v>
      </c>
      <c r="CP145" s="207">
        <v>3169</v>
      </c>
    </row>
    <row r="146" spans="1:94" ht="9.75">
      <c r="A146" s="175">
        <v>489</v>
      </c>
      <c r="B146" s="175" t="s">
        <v>203</v>
      </c>
      <c r="C146" s="207">
        <v>1992</v>
      </c>
      <c r="D146" s="207">
        <v>7343175.779999999</v>
      </c>
      <c r="E146" s="207">
        <v>4108818.610488942</v>
      </c>
      <c r="F146" s="207">
        <v>738098.2252675035</v>
      </c>
      <c r="G146" s="207">
        <v>12190092.615756445</v>
      </c>
      <c r="H146" s="207">
        <v>3524.51</v>
      </c>
      <c r="I146" s="207">
        <v>7020823.920000001</v>
      </c>
      <c r="J146" s="207">
        <v>5169268.695756444</v>
      </c>
      <c r="K146" s="207">
        <v>237269.60994921165</v>
      </c>
      <c r="L146" s="207">
        <v>925664.3288317225</v>
      </c>
      <c r="M146" s="207">
        <v>0</v>
      </c>
      <c r="N146" s="207">
        <v>6332202.634537378</v>
      </c>
      <c r="O146" s="207">
        <v>1845075.279909819</v>
      </c>
      <c r="P146" s="207">
        <v>8177277.914447198</v>
      </c>
      <c r="Q146" s="207">
        <v>61</v>
      </c>
      <c r="R146" s="207">
        <v>19</v>
      </c>
      <c r="S146" s="207">
        <v>99</v>
      </c>
      <c r="T146" s="207">
        <v>67</v>
      </c>
      <c r="U146" s="207">
        <v>52</v>
      </c>
      <c r="V146" s="207">
        <v>985</v>
      </c>
      <c r="W146" s="207">
        <v>366</v>
      </c>
      <c r="X146" s="207">
        <v>243</v>
      </c>
      <c r="Y146" s="207">
        <v>100</v>
      </c>
      <c r="Z146" s="207">
        <v>5</v>
      </c>
      <c r="AA146" s="207">
        <v>0</v>
      </c>
      <c r="AB146" s="207">
        <v>1888</v>
      </c>
      <c r="AC146" s="207">
        <v>99</v>
      </c>
      <c r="AD146" s="207">
        <v>709</v>
      </c>
      <c r="AE146" s="207">
        <v>1.8199351888832151</v>
      </c>
      <c r="AF146" s="207">
        <v>4108818.610488942</v>
      </c>
      <c r="AG146" s="207">
        <v>1935978.958857883</v>
      </c>
      <c r="AH146" s="207">
        <v>440644.9203343946</v>
      </c>
      <c r="AI146" s="207">
        <v>196563.70422474723</v>
      </c>
      <c r="AJ146" s="207">
        <v>87</v>
      </c>
      <c r="AK146" s="207">
        <v>802</v>
      </c>
      <c r="AL146" s="207">
        <v>0.9374954111021092</v>
      </c>
      <c r="AM146" s="207">
        <v>99</v>
      </c>
      <c r="AN146" s="207">
        <v>0.04969879518072289</v>
      </c>
      <c r="AO146" s="207">
        <v>0.0447580837182723</v>
      </c>
      <c r="AP146" s="207">
        <v>0</v>
      </c>
      <c r="AQ146" s="207">
        <v>5</v>
      </c>
      <c r="AR146" s="207">
        <v>0</v>
      </c>
      <c r="AS146" s="207">
        <v>0</v>
      </c>
      <c r="AT146" s="207">
        <v>0</v>
      </c>
      <c r="AU146" s="207">
        <v>422.24</v>
      </c>
      <c r="AV146" s="207">
        <v>4.717696097006442</v>
      </c>
      <c r="AW146" s="207">
        <v>3.844213689815009</v>
      </c>
      <c r="AX146" s="207">
        <v>111</v>
      </c>
      <c r="AY146" s="207">
        <v>548</v>
      </c>
      <c r="AZ146" s="207">
        <v>0.20255474452554745</v>
      </c>
      <c r="BA146" s="207">
        <v>0.14137090844131295</v>
      </c>
      <c r="BB146" s="207">
        <v>0.467666</v>
      </c>
      <c r="BC146" s="207">
        <v>495</v>
      </c>
      <c r="BD146" s="207">
        <v>677</v>
      </c>
      <c r="BE146" s="207">
        <v>0.7311669128508124</v>
      </c>
      <c r="BF146" s="207">
        <v>0.3222600302597193</v>
      </c>
      <c r="BG146" s="207">
        <v>0</v>
      </c>
      <c r="BH146" s="207">
        <v>0</v>
      </c>
      <c r="BI146" s="207">
        <v>0</v>
      </c>
      <c r="BJ146" s="207">
        <v>-478.08</v>
      </c>
      <c r="BK146" s="207">
        <v>-8167.199999999999</v>
      </c>
      <c r="BL146" s="207">
        <v>-557.7600000000001</v>
      </c>
      <c r="BM146" s="207">
        <v>-776.88</v>
      </c>
      <c r="BN146" s="207">
        <v>-39.84</v>
      </c>
      <c r="BO146" s="207">
        <v>-49160</v>
      </c>
      <c r="BP146" s="207">
        <v>15053.527932798723</v>
      </c>
      <c r="BQ146" s="207">
        <v>-180654.47999999998</v>
      </c>
      <c r="BR146" s="207">
        <v>129195.3782286048</v>
      </c>
      <c r="BS146" s="207">
        <v>244042</v>
      </c>
      <c r="BT146" s="207">
        <v>68380</v>
      </c>
      <c r="BU146" s="207">
        <v>194514.60255742777</v>
      </c>
      <c r="BV146" s="207">
        <v>9286.78962930894</v>
      </c>
      <c r="BW146" s="207">
        <v>31055.31105772127</v>
      </c>
      <c r="BX146" s="207">
        <v>85533.22699393757</v>
      </c>
      <c r="BY146" s="207">
        <v>101389.57729098982</v>
      </c>
      <c r="BZ146" s="207">
        <v>167634.94692412065</v>
      </c>
      <c r="CA146" s="207">
        <v>52449.19624394667</v>
      </c>
      <c r="CB146" s="207">
        <v>93097.11665887535</v>
      </c>
      <c r="CC146" s="207">
        <v>179.28</v>
      </c>
      <c r="CD146" s="207">
        <v>-4699.1846860089645</v>
      </c>
      <c r="CE146" s="207">
        <v>86094.23999999999</v>
      </c>
      <c r="CF146" s="207">
        <v>1208992.4808989237</v>
      </c>
      <c r="CG146" s="207">
        <v>925664.3288317225</v>
      </c>
      <c r="CH146" s="207">
        <v>0</v>
      </c>
      <c r="CI146" s="207">
        <v>1845075.279909819</v>
      </c>
      <c r="CJ146" s="207">
        <v>-401836</v>
      </c>
      <c r="CK146" s="207">
        <v>0</v>
      </c>
      <c r="CL146" s="207">
        <v>0</v>
      </c>
      <c r="CM146" s="207">
        <v>-1260170.4581000002</v>
      </c>
      <c r="CN146" s="207">
        <v>7775441.914447198</v>
      </c>
      <c r="CO146" s="207">
        <v>6515271.456347197</v>
      </c>
      <c r="CP146" s="207">
        <v>2034</v>
      </c>
    </row>
    <row r="147" spans="1:94" ht="9.75">
      <c r="A147" s="175">
        <v>491</v>
      </c>
      <c r="B147" s="175" t="s">
        <v>204</v>
      </c>
      <c r="C147" s="207">
        <v>54261</v>
      </c>
      <c r="D147" s="207">
        <v>180285387.55999997</v>
      </c>
      <c r="E147" s="207">
        <v>77826992.65199833</v>
      </c>
      <c r="F147" s="207">
        <v>11277696.982640246</v>
      </c>
      <c r="G147" s="207">
        <v>269390077.19463855</v>
      </c>
      <c r="H147" s="207">
        <v>3524.51</v>
      </c>
      <c r="I147" s="207">
        <v>191243437.11</v>
      </c>
      <c r="J147" s="207">
        <v>78146640.08463854</v>
      </c>
      <c r="K147" s="207">
        <v>2200884.3593815314</v>
      </c>
      <c r="L147" s="207">
        <v>13257786.239479765</v>
      </c>
      <c r="M147" s="207">
        <v>0</v>
      </c>
      <c r="N147" s="207">
        <v>93605310.68349983</v>
      </c>
      <c r="O147" s="207">
        <v>21271198.728614528</v>
      </c>
      <c r="P147" s="207">
        <v>114876509.41211435</v>
      </c>
      <c r="Q147" s="207">
        <v>2900</v>
      </c>
      <c r="R147" s="207">
        <v>536</v>
      </c>
      <c r="S147" s="207">
        <v>3222</v>
      </c>
      <c r="T147" s="207">
        <v>1663</v>
      </c>
      <c r="U147" s="207">
        <v>1714</v>
      </c>
      <c r="V147" s="207">
        <v>30638</v>
      </c>
      <c r="W147" s="207">
        <v>7671</v>
      </c>
      <c r="X147" s="207">
        <v>4205</v>
      </c>
      <c r="Y147" s="207">
        <v>1712</v>
      </c>
      <c r="Z147" s="207">
        <v>79</v>
      </c>
      <c r="AA147" s="207">
        <v>0</v>
      </c>
      <c r="AB147" s="207">
        <v>52136</v>
      </c>
      <c r="AC147" s="207">
        <v>2046</v>
      </c>
      <c r="AD147" s="207">
        <v>13588</v>
      </c>
      <c r="AE147" s="207">
        <v>1.265525040756328</v>
      </c>
      <c r="AF147" s="207">
        <v>77826992.65199833</v>
      </c>
      <c r="AG147" s="207">
        <v>5621117.613847404</v>
      </c>
      <c r="AH147" s="207">
        <v>1153524.5833185187</v>
      </c>
      <c r="AI147" s="207">
        <v>607560.540331037</v>
      </c>
      <c r="AJ147" s="207">
        <v>2988</v>
      </c>
      <c r="AK147" s="207">
        <v>25165</v>
      </c>
      <c r="AL147" s="207">
        <v>1.0261430893003776</v>
      </c>
      <c r="AM147" s="207">
        <v>2046</v>
      </c>
      <c r="AN147" s="207">
        <v>0.03770664012826892</v>
      </c>
      <c r="AO147" s="207">
        <v>0.03276592866581833</v>
      </c>
      <c r="AP147" s="207">
        <v>0</v>
      </c>
      <c r="AQ147" s="207">
        <v>79</v>
      </c>
      <c r="AR147" s="207">
        <v>0</v>
      </c>
      <c r="AS147" s="207">
        <v>3</v>
      </c>
      <c r="AT147" s="207">
        <v>329</v>
      </c>
      <c r="AU147" s="207">
        <v>2548.54</v>
      </c>
      <c r="AV147" s="207">
        <v>21.2910136784198</v>
      </c>
      <c r="AW147" s="207">
        <v>0.8518068793916169</v>
      </c>
      <c r="AX147" s="207">
        <v>1770</v>
      </c>
      <c r="AY147" s="207">
        <v>15514</v>
      </c>
      <c r="AZ147" s="207">
        <v>0.11409049890421555</v>
      </c>
      <c r="BA147" s="207">
        <v>0.052906662819981055</v>
      </c>
      <c r="BB147" s="207">
        <v>0</v>
      </c>
      <c r="BC147" s="207">
        <v>22543</v>
      </c>
      <c r="BD147" s="207">
        <v>21606</v>
      </c>
      <c r="BE147" s="207">
        <v>1.0433675830787743</v>
      </c>
      <c r="BF147" s="207">
        <v>0.6344607004876812</v>
      </c>
      <c r="BG147" s="207">
        <v>0</v>
      </c>
      <c r="BH147" s="207">
        <v>0</v>
      </c>
      <c r="BI147" s="207">
        <v>0</v>
      </c>
      <c r="BJ147" s="207">
        <v>-13022.64</v>
      </c>
      <c r="BK147" s="207">
        <v>-222470.09999999998</v>
      </c>
      <c r="BL147" s="207">
        <v>-15193.080000000002</v>
      </c>
      <c r="BM147" s="207">
        <v>-21161.79</v>
      </c>
      <c r="BN147" s="207">
        <v>-1085.22</v>
      </c>
      <c r="BO147" s="207">
        <v>692000</v>
      </c>
      <c r="BP147" s="207">
        <v>-3420367.867076103</v>
      </c>
      <c r="BQ147" s="207">
        <v>-4920930.09</v>
      </c>
      <c r="BR147" s="207">
        <v>23894.41926728841</v>
      </c>
      <c r="BS147" s="207">
        <v>4322833</v>
      </c>
      <c r="BT147" s="207">
        <v>1361978</v>
      </c>
      <c r="BU147" s="207">
        <v>3066998.8023660365</v>
      </c>
      <c r="BV147" s="207">
        <v>122168.39431532685</v>
      </c>
      <c r="BW147" s="207">
        <v>340435.90893708135</v>
      </c>
      <c r="BX147" s="207">
        <v>1609040.7155045995</v>
      </c>
      <c r="BY147" s="207">
        <v>2742251.6253696885</v>
      </c>
      <c r="BZ147" s="207">
        <v>4236835.159566074</v>
      </c>
      <c r="CA147" s="207">
        <v>1338821.7239010881</v>
      </c>
      <c r="CB147" s="207">
        <v>2333577.0332820513</v>
      </c>
      <c r="CC147" s="207">
        <v>4883.49</v>
      </c>
      <c r="CD147" s="207">
        <v>265030.60404663614</v>
      </c>
      <c r="CE147" s="207">
        <v>2345160.42</v>
      </c>
      <c r="CF147" s="207">
        <v>24805909.29655587</v>
      </c>
      <c r="CG147" s="207">
        <v>13257786.239479765</v>
      </c>
      <c r="CH147" s="207">
        <v>0</v>
      </c>
      <c r="CI147" s="207">
        <v>21271198.728614528</v>
      </c>
      <c r="CJ147" s="207">
        <v>21922</v>
      </c>
      <c r="CK147" s="207">
        <v>0</v>
      </c>
      <c r="CL147" s="207">
        <v>0</v>
      </c>
      <c r="CM147" s="207">
        <v>278157.5644800002</v>
      </c>
      <c r="CN147" s="207">
        <v>114898431.41211435</v>
      </c>
      <c r="CO147" s="207">
        <v>115176588.97659436</v>
      </c>
      <c r="CP147" s="207">
        <v>54517</v>
      </c>
    </row>
    <row r="148" spans="1:94" ht="9.75">
      <c r="A148" s="175">
        <v>494</v>
      </c>
      <c r="B148" s="175" t="s">
        <v>205</v>
      </c>
      <c r="C148" s="207">
        <v>9019</v>
      </c>
      <c r="D148" s="207">
        <v>35365896.24</v>
      </c>
      <c r="E148" s="207">
        <v>11733701.025165118</v>
      </c>
      <c r="F148" s="207">
        <v>1575196.4150884105</v>
      </c>
      <c r="G148" s="207">
        <v>48674793.68025353</v>
      </c>
      <c r="H148" s="207">
        <v>3524.51</v>
      </c>
      <c r="I148" s="207">
        <v>31787555.69</v>
      </c>
      <c r="J148" s="207">
        <v>16887237.990253527</v>
      </c>
      <c r="K148" s="207">
        <v>198579.4334350642</v>
      </c>
      <c r="L148" s="207">
        <v>1620184.087692105</v>
      </c>
      <c r="M148" s="207">
        <v>0</v>
      </c>
      <c r="N148" s="207">
        <v>18706001.511380695</v>
      </c>
      <c r="O148" s="207">
        <v>6663736.107654303</v>
      </c>
      <c r="P148" s="207">
        <v>25369737.619034998</v>
      </c>
      <c r="Q148" s="207">
        <v>799</v>
      </c>
      <c r="R148" s="207">
        <v>164</v>
      </c>
      <c r="S148" s="207">
        <v>922</v>
      </c>
      <c r="T148" s="207">
        <v>479</v>
      </c>
      <c r="U148" s="207">
        <v>392</v>
      </c>
      <c r="V148" s="207">
        <v>4733</v>
      </c>
      <c r="W148" s="207">
        <v>842</v>
      </c>
      <c r="X148" s="207">
        <v>462</v>
      </c>
      <c r="Y148" s="207">
        <v>226</v>
      </c>
      <c r="Z148" s="207">
        <v>9</v>
      </c>
      <c r="AA148" s="207">
        <v>0</v>
      </c>
      <c r="AB148" s="207">
        <v>8886</v>
      </c>
      <c r="AC148" s="207">
        <v>124</v>
      </c>
      <c r="AD148" s="207">
        <v>1530</v>
      </c>
      <c r="AE148" s="207">
        <v>1.1479022799293799</v>
      </c>
      <c r="AF148" s="207">
        <v>11733701.025165118</v>
      </c>
      <c r="AG148" s="207">
        <v>4886029.481950515</v>
      </c>
      <c r="AH148" s="207">
        <v>1378084.385961927</v>
      </c>
      <c r="AI148" s="207">
        <v>562886.971189049</v>
      </c>
      <c r="AJ148" s="207">
        <v>446</v>
      </c>
      <c r="AK148" s="207">
        <v>3880</v>
      </c>
      <c r="AL148" s="207">
        <v>0.9934074196822362</v>
      </c>
      <c r="AM148" s="207">
        <v>124</v>
      </c>
      <c r="AN148" s="207">
        <v>0.013748752633329638</v>
      </c>
      <c r="AO148" s="207">
        <v>0.008808041170879046</v>
      </c>
      <c r="AP148" s="207">
        <v>0</v>
      </c>
      <c r="AQ148" s="207">
        <v>9</v>
      </c>
      <c r="AR148" s="207">
        <v>0</v>
      </c>
      <c r="AS148" s="207">
        <v>0</v>
      </c>
      <c r="AT148" s="207">
        <v>0</v>
      </c>
      <c r="AU148" s="207">
        <v>783.64</v>
      </c>
      <c r="AV148" s="207">
        <v>11.509111326629576</v>
      </c>
      <c r="AW148" s="207">
        <v>1.5757803887548327</v>
      </c>
      <c r="AX148" s="207">
        <v>237</v>
      </c>
      <c r="AY148" s="207">
        <v>2737</v>
      </c>
      <c r="AZ148" s="207">
        <v>0.0865911582024114</v>
      </c>
      <c r="BA148" s="207">
        <v>0.025407322118176902</v>
      </c>
      <c r="BB148" s="207">
        <v>0</v>
      </c>
      <c r="BC148" s="207">
        <v>2501</v>
      </c>
      <c r="BD148" s="207">
        <v>3320</v>
      </c>
      <c r="BE148" s="207">
        <v>0.7533132530120482</v>
      </c>
      <c r="BF148" s="207">
        <v>0.3444063704209551</v>
      </c>
      <c r="BG148" s="207">
        <v>0</v>
      </c>
      <c r="BH148" s="207">
        <v>0</v>
      </c>
      <c r="BI148" s="207">
        <v>0</v>
      </c>
      <c r="BJ148" s="207">
        <v>-2164.56</v>
      </c>
      <c r="BK148" s="207">
        <v>-36977.899999999994</v>
      </c>
      <c r="BL148" s="207">
        <v>-2525.32</v>
      </c>
      <c r="BM148" s="207">
        <v>-3517.4100000000003</v>
      </c>
      <c r="BN148" s="207">
        <v>-180.38</v>
      </c>
      <c r="BO148" s="207">
        <v>-149101</v>
      </c>
      <c r="BP148" s="207">
        <v>-320727.9234923256</v>
      </c>
      <c r="BQ148" s="207">
        <v>-817933.11</v>
      </c>
      <c r="BR148" s="207">
        <v>-106345.7427293472</v>
      </c>
      <c r="BS148" s="207">
        <v>653139</v>
      </c>
      <c r="BT148" s="207">
        <v>192506</v>
      </c>
      <c r="BU148" s="207">
        <v>447332.6942989805</v>
      </c>
      <c r="BV148" s="207">
        <v>11353.484939487833</v>
      </c>
      <c r="BW148" s="207">
        <v>31511.033225112184</v>
      </c>
      <c r="BX148" s="207">
        <v>234842.3314750822</v>
      </c>
      <c r="BY148" s="207">
        <v>426890.521875695</v>
      </c>
      <c r="BZ148" s="207">
        <v>628463.0091237711</v>
      </c>
      <c r="CA148" s="207">
        <v>151492.253400503</v>
      </c>
      <c r="CB148" s="207">
        <v>335902.63491397357</v>
      </c>
      <c r="CC148" s="207">
        <v>811.7099999999999</v>
      </c>
      <c r="CD148" s="207">
        <v>43268.91066117222</v>
      </c>
      <c r="CE148" s="207">
        <v>389801.18</v>
      </c>
      <c r="CF148" s="207">
        <v>3291868.0211844305</v>
      </c>
      <c r="CG148" s="207">
        <v>1620184.087692105</v>
      </c>
      <c r="CH148" s="207">
        <v>0</v>
      </c>
      <c r="CI148" s="207">
        <v>6663736.107654303</v>
      </c>
      <c r="CJ148" s="207">
        <v>-271818</v>
      </c>
      <c r="CK148" s="207">
        <v>0</v>
      </c>
      <c r="CL148" s="207">
        <v>0</v>
      </c>
      <c r="CM148" s="207">
        <v>189266.47492</v>
      </c>
      <c r="CN148" s="207">
        <v>25097919.619034998</v>
      </c>
      <c r="CO148" s="207">
        <v>25287186.093955</v>
      </c>
      <c r="CP148" s="207">
        <v>8995</v>
      </c>
    </row>
    <row r="149" spans="1:94" ht="9.75">
      <c r="A149" s="175">
        <v>495</v>
      </c>
      <c r="B149" s="175" t="s">
        <v>206</v>
      </c>
      <c r="C149" s="207">
        <v>1636</v>
      </c>
      <c r="D149" s="207">
        <v>6564265.7700000005</v>
      </c>
      <c r="E149" s="207">
        <v>2354545.2559334766</v>
      </c>
      <c r="F149" s="207">
        <v>704093.3921662767</v>
      </c>
      <c r="G149" s="207">
        <v>9622904.418099755</v>
      </c>
      <c r="H149" s="207">
        <v>3524.51</v>
      </c>
      <c r="I149" s="207">
        <v>5766098.36</v>
      </c>
      <c r="J149" s="207">
        <v>3856806.058099755</v>
      </c>
      <c r="K149" s="207">
        <v>149243.1938456965</v>
      </c>
      <c r="L149" s="207">
        <v>718969.8638312583</v>
      </c>
      <c r="M149" s="207">
        <v>0</v>
      </c>
      <c r="N149" s="207">
        <v>4725019.11577671</v>
      </c>
      <c r="O149" s="207">
        <v>1261095.7953038781</v>
      </c>
      <c r="P149" s="207">
        <v>5986114.911080589</v>
      </c>
      <c r="Q149" s="207">
        <v>70</v>
      </c>
      <c r="R149" s="207">
        <v>18</v>
      </c>
      <c r="S149" s="207">
        <v>110</v>
      </c>
      <c r="T149" s="207">
        <v>61</v>
      </c>
      <c r="U149" s="207">
        <v>43</v>
      </c>
      <c r="V149" s="207">
        <v>800</v>
      </c>
      <c r="W149" s="207">
        <v>264</v>
      </c>
      <c r="X149" s="207">
        <v>172</v>
      </c>
      <c r="Y149" s="207">
        <v>98</v>
      </c>
      <c r="Z149" s="207">
        <v>1</v>
      </c>
      <c r="AA149" s="207">
        <v>0</v>
      </c>
      <c r="AB149" s="207">
        <v>1618</v>
      </c>
      <c r="AC149" s="207">
        <v>17</v>
      </c>
      <c r="AD149" s="207">
        <v>534</v>
      </c>
      <c r="AE149" s="207">
        <v>1.269848850460467</v>
      </c>
      <c r="AF149" s="207">
        <v>2354545.2559334766</v>
      </c>
      <c r="AG149" s="207">
        <v>92613565.42387214</v>
      </c>
      <c r="AH149" s="207">
        <v>27242745.466371577</v>
      </c>
      <c r="AI149" s="207">
        <v>9292102.381533505</v>
      </c>
      <c r="AJ149" s="207">
        <v>71</v>
      </c>
      <c r="AK149" s="207">
        <v>654</v>
      </c>
      <c r="AL149" s="207">
        <v>0.9382203890993761</v>
      </c>
      <c r="AM149" s="207">
        <v>17</v>
      </c>
      <c r="AN149" s="207">
        <v>0.01039119804400978</v>
      </c>
      <c r="AO149" s="207">
        <v>0.005450486581559186</v>
      </c>
      <c r="AP149" s="207">
        <v>0</v>
      </c>
      <c r="AQ149" s="207">
        <v>1</v>
      </c>
      <c r="AR149" s="207">
        <v>0</v>
      </c>
      <c r="AS149" s="207">
        <v>0</v>
      </c>
      <c r="AT149" s="207">
        <v>0</v>
      </c>
      <c r="AU149" s="207">
        <v>733.27</v>
      </c>
      <c r="AV149" s="207">
        <v>2.2311017769716477</v>
      </c>
      <c r="AW149" s="207">
        <v>8.128643931750796</v>
      </c>
      <c r="AX149" s="207">
        <v>48</v>
      </c>
      <c r="AY149" s="207">
        <v>379</v>
      </c>
      <c r="AZ149" s="207">
        <v>0.1266490765171504</v>
      </c>
      <c r="BA149" s="207">
        <v>0.0654652404329159</v>
      </c>
      <c r="BB149" s="207">
        <v>0.223333</v>
      </c>
      <c r="BC149" s="207">
        <v>594</v>
      </c>
      <c r="BD149" s="207">
        <v>540</v>
      </c>
      <c r="BE149" s="207">
        <v>1.1</v>
      </c>
      <c r="BF149" s="207">
        <v>0.691093117408907</v>
      </c>
      <c r="BG149" s="207">
        <v>0</v>
      </c>
      <c r="BH149" s="207">
        <v>0</v>
      </c>
      <c r="BI149" s="207">
        <v>0</v>
      </c>
      <c r="BJ149" s="207">
        <v>-392.64</v>
      </c>
      <c r="BK149" s="207">
        <v>-6707.599999999999</v>
      </c>
      <c r="BL149" s="207">
        <v>-458.08000000000004</v>
      </c>
      <c r="BM149" s="207">
        <v>-638.0400000000001</v>
      </c>
      <c r="BN149" s="207">
        <v>-32.72</v>
      </c>
      <c r="BO149" s="207">
        <v>35851</v>
      </c>
      <c r="BP149" s="207">
        <v>-249.49718821437273</v>
      </c>
      <c r="BQ149" s="207">
        <v>-148368.84</v>
      </c>
      <c r="BR149" s="207">
        <v>30935.09080532845</v>
      </c>
      <c r="BS149" s="207">
        <v>201000</v>
      </c>
      <c r="BT149" s="207">
        <v>58208</v>
      </c>
      <c r="BU149" s="207">
        <v>145030.28769449375</v>
      </c>
      <c r="BV149" s="207">
        <v>7608.706656098017</v>
      </c>
      <c r="BW149" s="207">
        <v>11383.485910040366</v>
      </c>
      <c r="BX149" s="207">
        <v>76181.8023706329</v>
      </c>
      <c r="BY149" s="207">
        <v>89379.49012113403</v>
      </c>
      <c r="BZ149" s="207">
        <v>138868.57876536797</v>
      </c>
      <c r="CA149" s="207">
        <v>39101.05290441499</v>
      </c>
      <c r="CB149" s="207">
        <v>76872.69028395084</v>
      </c>
      <c r="CC149" s="207">
        <v>147.23999999999998</v>
      </c>
      <c r="CD149" s="207">
        <v>-16999.544491988687</v>
      </c>
      <c r="CE149" s="207">
        <v>70707.92</v>
      </c>
      <c r="CF149" s="207">
        <v>964275.8010194727</v>
      </c>
      <c r="CG149" s="207">
        <v>718969.8638312583</v>
      </c>
      <c r="CH149" s="207">
        <v>0</v>
      </c>
      <c r="CI149" s="207">
        <v>1261095.7953038781</v>
      </c>
      <c r="CJ149" s="207">
        <v>-160463</v>
      </c>
      <c r="CK149" s="207">
        <v>0</v>
      </c>
      <c r="CL149" s="207">
        <v>0</v>
      </c>
      <c r="CM149" s="207">
        <v>-28644.737800000006</v>
      </c>
      <c r="CN149" s="207">
        <v>5825651.911080589</v>
      </c>
      <c r="CO149" s="207">
        <v>5797007.173280588</v>
      </c>
      <c r="CP149" s="207">
        <v>1663</v>
      </c>
    </row>
    <row r="150" spans="1:94" ht="9.75">
      <c r="A150" s="175">
        <v>498</v>
      </c>
      <c r="B150" s="175" t="s">
        <v>207</v>
      </c>
      <c r="C150" s="207">
        <v>2332</v>
      </c>
      <c r="D150" s="207">
        <v>7873698.6499999985</v>
      </c>
      <c r="E150" s="207">
        <v>2578666.689247258</v>
      </c>
      <c r="F150" s="207">
        <v>1804307.5833729263</v>
      </c>
      <c r="G150" s="207">
        <v>12256672.922620183</v>
      </c>
      <c r="H150" s="207">
        <v>3524.51</v>
      </c>
      <c r="I150" s="207">
        <v>8219157.32</v>
      </c>
      <c r="J150" s="207">
        <v>4037515.6026201826</v>
      </c>
      <c r="K150" s="207">
        <v>2697687.8474067096</v>
      </c>
      <c r="L150" s="207">
        <v>1072713.471718866</v>
      </c>
      <c r="M150" s="207">
        <v>0</v>
      </c>
      <c r="N150" s="207">
        <v>7807916.9217457585</v>
      </c>
      <c r="O150" s="207">
        <v>1225415.2978902536</v>
      </c>
      <c r="P150" s="207">
        <v>9033332.219636012</v>
      </c>
      <c r="Q150" s="207">
        <v>125</v>
      </c>
      <c r="R150" s="207">
        <v>31</v>
      </c>
      <c r="S150" s="207">
        <v>165</v>
      </c>
      <c r="T150" s="207">
        <v>69</v>
      </c>
      <c r="U150" s="207">
        <v>67</v>
      </c>
      <c r="V150" s="207">
        <v>1280</v>
      </c>
      <c r="W150" s="207">
        <v>335</v>
      </c>
      <c r="X150" s="207">
        <v>193</v>
      </c>
      <c r="Y150" s="207">
        <v>67</v>
      </c>
      <c r="Z150" s="207">
        <v>15</v>
      </c>
      <c r="AA150" s="207">
        <v>5</v>
      </c>
      <c r="AB150" s="207">
        <v>2225</v>
      </c>
      <c r="AC150" s="207">
        <v>87</v>
      </c>
      <c r="AD150" s="207">
        <v>595</v>
      </c>
      <c r="AE150" s="207">
        <v>0.9756520272277961</v>
      </c>
      <c r="AF150" s="207">
        <v>2578666.689247258</v>
      </c>
      <c r="AG150" s="207">
        <v>14719165.890145512</v>
      </c>
      <c r="AH150" s="207">
        <v>3110248.0747305383</v>
      </c>
      <c r="AI150" s="207">
        <v>1831616.3348215085</v>
      </c>
      <c r="AJ150" s="207">
        <v>163</v>
      </c>
      <c r="AK150" s="207">
        <v>1077</v>
      </c>
      <c r="AL150" s="207">
        <v>1.3079651342248513</v>
      </c>
      <c r="AM150" s="207">
        <v>87</v>
      </c>
      <c r="AN150" s="207">
        <v>0.037307032590051456</v>
      </c>
      <c r="AO150" s="207">
        <v>0.032366321127600864</v>
      </c>
      <c r="AP150" s="207">
        <v>0</v>
      </c>
      <c r="AQ150" s="207">
        <v>15</v>
      </c>
      <c r="AR150" s="207">
        <v>5</v>
      </c>
      <c r="AS150" s="207">
        <v>0</v>
      </c>
      <c r="AT150" s="207">
        <v>0</v>
      </c>
      <c r="AU150" s="207">
        <v>1906</v>
      </c>
      <c r="AV150" s="207">
        <v>1.223504721930745</v>
      </c>
      <c r="AW150" s="207">
        <v>14.822854048229457</v>
      </c>
      <c r="AX150" s="207">
        <v>87</v>
      </c>
      <c r="AY150" s="207">
        <v>652</v>
      </c>
      <c r="AZ150" s="207">
        <v>0.1334355828220859</v>
      </c>
      <c r="BA150" s="207">
        <v>0.0722517467378514</v>
      </c>
      <c r="BB150" s="207">
        <v>1.766666</v>
      </c>
      <c r="BC150" s="207">
        <v>986</v>
      </c>
      <c r="BD150" s="207">
        <v>947</v>
      </c>
      <c r="BE150" s="207">
        <v>1.041182682154171</v>
      </c>
      <c r="BF150" s="207">
        <v>0.6322757995630779</v>
      </c>
      <c r="BG150" s="207">
        <v>0</v>
      </c>
      <c r="BH150" s="207">
        <v>5</v>
      </c>
      <c r="BI150" s="207">
        <v>0</v>
      </c>
      <c r="BJ150" s="207">
        <v>-559.68</v>
      </c>
      <c r="BK150" s="207">
        <v>-9561.199999999999</v>
      </c>
      <c r="BL150" s="207">
        <v>-652.96</v>
      </c>
      <c r="BM150" s="207">
        <v>-909.48</v>
      </c>
      <c r="BN150" s="207">
        <v>-46.64</v>
      </c>
      <c r="BO150" s="207">
        <v>21632</v>
      </c>
      <c r="BP150" s="207">
        <v>-12995.584878986901</v>
      </c>
      <c r="BQ150" s="207">
        <v>-211489.08</v>
      </c>
      <c r="BR150" s="207">
        <v>250073.0429299483</v>
      </c>
      <c r="BS150" s="207">
        <v>181502</v>
      </c>
      <c r="BT150" s="207">
        <v>72651</v>
      </c>
      <c r="BU150" s="207">
        <v>189835.50121662323</v>
      </c>
      <c r="BV150" s="207">
        <v>9827.294284804399</v>
      </c>
      <c r="BW150" s="207">
        <v>18290.03388256738</v>
      </c>
      <c r="BX150" s="207">
        <v>66345.62201419225</v>
      </c>
      <c r="BY150" s="207">
        <v>141999.74252757968</v>
      </c>
      <c r="BZ150" s="207">
        <v>202939.75100335455</v>
      </c>
      <c r="CA150" s="207">
        <v>74196.18839086179</v>
      </c>
      <c r="CB150" s="207">
        <v>119805.01513015835</v>
      </c>
      <c r="CC150" s="207">
        <v>209.88</v>
      </c>
      <c r="CD150" s="207">
        <v>-15076.774782236955</v>
      </c>
      <c r="CE150" s="207">
        <v>100789.04</v>
      </c>
      <c r="CF150" s="207">
        <v>1435019.3365978529</v>
      </c>
      <c r="CG150" s="207">
        <v>1072713.471718866</v>
      </c>
      <c r="CH150" s="207">
        <v>0</v>
      </c>
      <c r="CI150" s="207">
        <v>1225415.2978902536</v>
      </c>
      <c r="CJ150" s="207">
        <v>129022</v>
      </c>
      <c r="CK150" s="207">
        <v>0</v>
      </c>
      <c r="CL150" s="207">
        <v>0</v>
      </c>
      <c r="CM150" s="207">
        <v>62041.598</v>
      </c>
      <c r="CN150" s="207">
        <v>9162354.219636012</v>
      </c>
      <c r="CO150" s="207">
        <v>9224395.817636011</v>
      </c>
      <c r="CP150" s="207">
        <v>2350</v>
      </c>
    </row>
    <row r="151" spans="1:94" ht="9.75">
      <c r="A151" s="175">
        <v>499</v>
      </c>
      <c r="B151" s="175" t="s">
        <v>208</v>
      </c>
      <c r="C151" s="207">
        <v>19384</v>
      </c>
      <c r="D151" s="207">
        <v>71344358.58</v>
      </c>
      <c r="E151" s="207">
        <v>17283967.371375933</v>
      </c>
      <c r="F151" s="207">
        <v>6661679.674271004</v>
      </c>
      <c r="G151" s="207">
        <v>95290005.62564693</v>
      </c>
      <c r="H151" s="207">
        <v>3524.51</v>
      </c>
      <c r="I151" s="207">
        <v>68319101.84</v>
      </c>
      <c r="J151" s="207">
        <v>26970903.78564693</v>
      </c>
      <c r="K151" s="207">
        <v>188668.00321037986</v>
      </c>
      <c r="L151" s="207">
        <v>4537984.703447428</v>
      </c>
      <c r="M151" s="207">
        <v>0</v>
      </c>
      <c r="N151" s="207">
        <v>31697556.49230474</v>
      </c>
      <c r="O151" s="207">
        <v>3296563.536505167</v>
      </c>
      <c r="P151" s="207">
        <v>34994120.028809905</v>
      </c>
      <c r="Q151" s="207">
        <v>1533</v>
      </c>
      <c r="R151" s="207">
        <v>292</v>
      </c>
      <c r="S151" s="207">
        <v>1599</v>
      </c>
      <c r="T151" s="207">
        <v>722</v>
      </c>
      <c r="U151" s="207">
        <v>663</v>
      </c>
      <c r="V151" s="207">
        <v>10514</v>
      </c>
      <c r="W151" s="207">
        <v>2239</v>
      </c>
      <c r="X151" s="207">
        <v>1213</v>
      </c>
      <c r="Y151" s="207">
        <v>609</v>
      </c>
      <c r="Z151" s="207">
        <v>13359</v>
      </c>
      <c r="AA151" s="207">
        <v>1</v>
      </c>
      <c r="AB151" s="207">
        <v>5550</v>
      </c>
      <c r="AC151" s="207">
        <v>474</v>
      </c>
      <c r="AD151" s="207">
        <v>4061</v>
      </c>
      <c r="AE151" s="207">
        <v>0.7867347328127064</v>
      </c>
      <c r="AF151" s="207">
        <v>17283967.371375933</v>
      </c>
      <c r="AG151" s="207">
        <v>3072238.62399394</v>
      </c>
      <c r="AH151" s="207">
        <v>949629.0809700575</v>
      </c>
      <c r="AI151" s="207">
        <v>259106.7010235305</v>
      </c>
      <c r="AJ151" s="207">
        <v>596</v>
      </c>
      <c r="AK151" s="207">
        <v>9544</v>
      </c>
      <c r="AL151" s="207">
        <v>0.5396846867063612</v>
      </c>
      <c r="AM151" s="207">
        <v>474</v>
      </c>
      <c r="AN151" s="207">
        <v>0.02445315724308708</v>
      </c>
      <c r="AO151" s="207">
        <v>0.01951244578063649</v>
      </c>
      <c r="AP151" s="207">
        <v>3</v>
      </c>
      <c r="AQ151" s="207">
        <v>13359</v>
      </c>
      <c r="AR151" s="207">
        <v>1</v>
      </c>
      <c r="AS151" s="207">
        <v>3</v>
      </c>
      <c r="AT151" s="207">
        <v>2141</v>
      </c>
      <c r="AU151" s="207">
        <v>849.07</v>
      </c>
      <c r="AV151" s="207">
        <v>22.829684242759726</v>
      </c>
      <c r="AW151" s="207">
        <v>0.7943969670211559</v>
      </c>
      <c r="AX151" s="207">
        <v>479</v>
      </c>
      <c r="AY151" s="207">
        <v>6430</v>
      </c>
      <c r="AZ151" s="207">
        <v>0.0744945567651633</v>
      </c>
      <c r="BA151" s="207">
        <v>0.013310720680928805</v>
      </c>
      <c r="BB151" s="207">
        <v>0</v>
      </c>
      <c r="BC151" s="207">
        <v>4900</v>
      </c>
      <c r="BD151" s="207">
        <v>8732</v>
      </c>
      <c r="BE151" s="207">
        <v>0.5611543747136968</v>
      </c>
      <c r="BF151" s="207">
        <v>0.1522474921226037</v>
      </c>
      <c r="BG151" s="207">
        <v>0</v>
      </c>
      <c r="BH151" s="207">
        <v>1</v>
      </c>
      <c r="BI151" s="207">
        <v>0</v>
      </c>
      <c r="BJ151" s="207">
        <v>-4652.16</v>
      </c>
      <c r="BK151" s="207">
        <v>-79474.4</v>
      </c>
      <c r="BL151" s="207">
        <v>-5427.52</v>
      </c>
      <c r="BM151" s="207">
        <v>-7559.76</v>
      </c>
      <c r="BN151" s="207">
        <v>-387.68</v>
      </c>
      <c r="BO151" s="207">
        <v>-186509</v>
      </c>
      <c r="BP151" s="207">
        <v>-161519.89048144346</v>
      </c>
      <c r="BQ151" s="207">
        <v>-1757934.96</v>
      </c>
      <c r="BR151" s="207">
        <v>184900.8623964414</v>
      </c>
      <c r="BS151" s="207">
        <v>1354331</v>
      </c>
      <c r="BT151" s="207">
        <v>457111</v>
      </c>
      <c r="BU151" s="207">
        <v>972889.3078533442</v>
      </c>
      <c r="BV151" s="207">
        <v>21636.19619890987</v>
      </c>
      <c r="BW151" s="207">
        <v>12412.837833004593</v>
      </c>
      <c r="BX151" s="207">
        <v>412351.04040340486</v>
      </c>
      <c r="BY151" s="207">
        <v>922743.1690326901</v>
      </c>
      <c r="BZ151" s="207">
        <v>1507483.560543186</v>
      </c>
      <c r="CA151" s="207">
        <v>416792.2585272256</v>
      </c>
      <c r="CB151" s="207">
        <v>740084.8058070397</v>
      </c>
      <c r="CC151" s="207">
        <v>1744.56</v>
      </c>
      <c r="CD151" s="207">
        <v>-52714.12466637585</v>
      </c>
      <c r="CE151" s="207">
        <v>837776.48</v>
      </c>
      <c r="CF151" s="207">
        <v>7603033.953928871</v>
      </c>
      <c r="CG151" s="207">
        <v>4537984.703447428</v>
      </c>
      <c r="CH151" s="207">
        <v>0</v>
      </c>
      <c r="CI151" s="207">
        <v>3296563.536505167</v>
      </c>
      <c r="CJ151" s="207">
        <v>-1851480</v>
      </c>
      <c r="CK151" s="207">
        <v>0</v>
      </c>
      <c r="CL151" s="207">
        <v>0</v>
      </c>
      <c r="CM151" s="207">
        <v>18440.874979999848</v>
      </c>
      <c r="CN151" s="207">
        <v>33142640.028809905</v>
      </c>
      <c r="CO151" s="207">
        <v>33161080.903789908</v>
      </c>
      <c r="CP151" s="207">
        <v>19380</v>
      </c>
    </row>
    <row r="152" spans="1:94" ht="9.75">
      <c r="A152" s="175">
        <v>500</v>
      </c>
      <c r="B152" s="175" t="s">
        <v>209</v>
      </c>
      <c r="C152" s="207">
        <v>10097</v>
      </c>
      <c r="D152" s="207">
        <v>35385058.059999995</v>
      </c>
      <c r="E152" s="207">
        <v>9137617.413809648</v>
      </c>
      <c r="F152" s="207">
        <v>1009262.1564667588</v>
      </c>
      <c r="G152" s="207">
        <v>45531937.630276404</v>
      </c>
      <c r="H152" s="207">
        <v>3524.51</v>
      </c>
      <c r="I152" s="207">
        <v>35586977.47</v>
      </c>
      <c r="J152" s="207">
        <v>9944960.160276406</v>
      </c>
      <c r="K152" s="207">
        <v>156195.28262154208</v>
      </c>
      <c r="L152" s="207">
        <v>1097284.4195975517</v>
      </c>
      <c r="M152" s="207">
        <v>0</v>
      </c>
      <c r="N152" s="207">
        <v>11198439.862495499</v>
      </c>
      <c r="O152" s="207">
        <v>-4266.992801975056</v>
      </c>
      <c r="P152" s="207">
        <v>11194172.869693523</v>
      </c>
      <c r="Q152" s="207">
        <v>797</v>
      </c>
      <c r="R152" s="207">
        <v>166</v>
      </c>
      <c r="S152" s="207">
        <v>957</v>
      </c>
      <c r="T152" s="207">
        <v>455</v>
      </c>
      <c r="U152" s="207">
        <v>404</v>
      </c>
      <c r="V152" s="207">
        <v>5637</v>
      </c>
      <c r="W152" s="207">
        <v>1046</v>
      </c>
      <c r="X152" s="207">
        <v>484</v>
      </c>
      <c r="Y152" s="207">
        <v>151</v>
      </c>
      <c r="Z152" s="207">
        <v>12</v>
      </c>
      <c r="AA152" s="207">
        <v>1</v>
      </c>
      <c r="AB152" s="207">
        <v>9935</v>
      </c>
      <c r="AC152" s="207">
        <v>149</v>
      </c>
      <c r="AD152" s="207">
        <v>1681</v>
      </c>
      <c r="AE152" s="207">
        <v>0.7984889333385384</v>
      </c>
      <c r="AF152" s="207">
        <v>9137617.413809648</v>
      </c>
      <c r="AG152" s="207">
        <v>3360222.5932560335</v>
      </c>
      <c r="AH152" s="207">
        <v>806255.9862270231</v>
      </c>
      <c r="AI152" s="207">
        <v>214433.13188154245</v>
      </c>
      <c r="AJ152" s="207">
        <v>449</v>
      </c>
      <c r="AK152" s="207">
        <v>4793</v>
      </c>
      <c r="AL152" s="207">
        <v>0.8095863520964418</v>
      </c>
      <c r="AM152" s="207">
        <v>149</v>
      </c>
      <c r="AN152" s="207">
        <v>0.014756858472813708</v>
      </c>
      <c r="AO152" s="207">
        <v>0.009816147010363114</v>
      </c>
      <c r="AP152" s="207">
        <v>0</v>
      </c>
      <c r="AQ152" s="207">
        <v>12</v>
      </c>
      <c r="AR152" s="207">
        <v>1</v>
      </c>
      <c r="AS152" s="207">
        <v>0</v>
      </c>
      <c r="AT152" s="207">
        <v>0</v>
      </c>
      <c r="AU152" s="207">
        <v>144.05</v>
      </c>
      <c r="AV152" s="207">
        <v>70.09371745921554</v>
      </c>
      <c r="AW152" s="207">
        <v>0.25873691078022</v>
      </c>
      <c r="AX152" s="207">
        <v>215</v>
      </c>
      <c r="AY152" s="207">
        <v>3514</v>
      </c>
      <c r="AZ152" s="207">
        <v>0.06118383608423449</v>
      </c>
      <c r="BA152" s="207">
        <v>0</v>
      </c>
      <c r="BB152" s="207">
        <v>0</v>
      </c>
      <c r="BC152" s="207">
        <v>2804</v>
      </c>
      <c r="BD152" s="207">
        <v>4308</v>
      </c>
      <c r="BE152" s="207">
        <v>0.6508820798514392</v>
      </c>
      <c r="BF152" s="207">
        <v>0.2419751972603461</v>
      </c>
      <c r="BG152" s="207">
        <v>0</v>
      </c>
      <c r="BH152" s="207">
        <v>1</v>
      </c>
      <c r="BI152" s="207">
        <v>0</v>
      </c>
      <c r="BJ152" s="207">
        <v>-2423.2799999999997</v>
      </c>
      <c r="BK152" s="207">
        <v>-41397.7</v>
      </c>
      <c r="BL152" s="207">
        <v>-2827.1600000000003</v>
      </c>
      <c r="BM152" s="207">
        <v>-3937.83</v>
      </c>
      <c r="BN152" s="207">
        <v>-201.94</v>
      </c>
      <c r="BO152" s="207">
        <v>104302</v>
      </c>
      <c r="BP152" s="207">
        <v>-259008.51051253674</v>
      </c>
      <c r="BQ152" s="207">
        <v>-915696.9299999999</v>
      </c>
      <c r="BR152" s="207">
        <v>-63532.664028301835</v>
      </c>
      <c r="BS152" s="207">
        <v>581389</v>
      </c>
      <c r="BT152" s="207">
        <v>183400</v>
      </c>
      <c r="BU152" s="207">
        <v>363140.8708062557</v>
      </c>
      <c r="BV152" s="207">
        <v>3914.9002659224384</v>
      </c>
      <c r="BW152" s="207">
        <v>-423439.1547483835</v>
      </c>
      <c r="BX152" s="207">
        <v>128225.02205424709</v>
      </c>
      <c r="BY152" s="207">
        <v>386549.5045330577</v>
      </c>
      <c r="BZ152" s="207">
        <v>667376.9982023478</v>
      </c>
      <c r="CA152" s="207">
        <v>167680.14204433767</v>
      </c>
      <c r="CB152" s="207">
        <v>323116.8319311075</v>
      </c>
      <c r="CC152" s="207">
        <v>908.73</v>
      </c>
      <c r="CD152" s="207">
        <v>9298.039049497762</v>
      </c>
      <c r="CE152" s="207">
        <v>436392.33999999997</v>
      </c>
      <c r="CF152" s="207">
        <v>2868722.5601100884</v>
      </c>
      <c r="CG152" s="207">
        <v>1097284.4195975517</v>
      </c>
      <c r="CH152" s="207">
        <v>0</v>
      </c>
      <c r="CI152" s="207">
        <v>-4266.992801975056</v>
      </c>
      <c r="CJ152" s="207">
        <v>-655973</v>
      </c>
      <c r="CK152" s="207">
        <v>0</v>
      </c>
      <c r="CL152" s="207">
        <v>0</v>
      </c>
      <c r="CM152" s="207">
        <v>-248232.39370000002</v>
      </c>
      <c r="CN152" s="207">
        <v>10538199.869693523</v>
      </c>
      <c r="CO152" s="207">
        <v>10289967.475993523</v>
      </c>
      <c r="CP152" s="207">
        <v>9941</v>
      </c>
    </row>
    <row r="153" spans="1:94" ht="9.75">
      <c r="A153" s="175">
        <v>503</v>
      </c>
      <c r="B153" s="175" t="s">
        <v>210</v>
      </c>
      <c r="C153" s="207">
        <v>7838</v>
      </c>
      <c r="D153" s="207">
        <v>27232206.119999997</v>
      </c>
      <c r="E153" s="207">
        <v>8323748.11149383</v>
      </c>
      <c r="F153" s="207">
        <v>1280640.7380574406</v>
      </c>
      <c r="G153" s="207">
        <v>36836594.96955127</v>
      </c>
      <c r="H153" s="207">
        <v>3524.51</v>
      </c>
      <c r="I153" s="207">
        <v>27625109.380000003</v>
      </c>
      <c r="J153" s="207">
        <v>9211485.58955127</v>
      </c>
      <c r="K153" s="207">
        <v>101244.05671709644</v>
      </c>
      <c r="L153" s="207">
        <v>2256168.448608999</v>
      </c>
      <c r="M153" s="207">
        <v>0</v>
      </c>
      <c r="N153" s="207">
        <v>11568898.094877366</v>
      </c>
      <c r="O153" s="207">
        <v>3777888.2668434633</v>
      </c>
      <c r="P153" s="207">
        <v>15346786.36172083</v>
      </c>
      <c r="Q153" s="207">
        <v>426</v>
      </c>
      <c r="R153" s="207">
        <v>86</v>
      </c>
      <c r="S153" s="207">
        <v>522</v>
      </c>
      <c r="T153" s="207">
        <v>262</v>
      </c>
      <c r="U153" s="207">
        <v>296</v>
      </c>
      <c r="V153" s="207">
        <v>4308</v>
      </c>
      <c r="W153" s="207">
        <v>1082</v>
      </c>
      <c r="X153" s="207">
        <v>583</v>
      </c>
      <c r="Y153" s="207">
        <v>273</v>
      </c>
      <c r="Z153" s="207">
        <v>63</v>
      </c>
      <c r="AA153" s="207">
        <v>0</v>
      </c>
      <c r="AB153" s="207">
        <v>7637</v>
      </c>
      <c r="AC153" s="207">
        <v>138</v>
      </c>
      <c r="AD153" s="207">
        <v>1938</v>
      </c>
      <c r="AE153" s="207">
        <v>0.9370051058725707</v>
      </c>
      <c r="AF153" s="207">
        <v>8323748.11149383</v>
      </c>
      <c r="AG153" s="207">
        <v>20706283.197369494</v>
      </c>
      <c r="AH153" s="207">
        <v>6489519.025211029</v>
      </c>
      <c r="AI153" s="207">
        <v>1518901.3508275922</v>
      </c>
      <c r="AJ153" s="207">
        <v>301</v>
      </c>
      <c r="AK153" s="207">
        <v>3670</v>
      </c>
      <c r="AL153" s="207">
        <v>0.7088016136768185</v>
      </c>
      <c r="AM153" s="207">
        <v>138</v>
      </c>
      <c r="AN153" s="207">
        <v>0.01760653227864251</v>
      </c>
      <c r="AO153" s="207">
        <v>0.012665820816191917</v>
      </c>
      <c r="AP153" s="207">
        <v>0</v>
      </c>
      <c r="AQ153" s="207">
        <v>63</v>
      </c>
      <c r="AR153" s="207">
        <v>0</v>
      </c>
      <c r="AS153" s="207">
        <v>0</v>
      </c>
      <c r="AT153" s="207">
        <v>0</v>
      </c>
      <c r="AU153" s="207">
        <v>519.79</v>
      </c>
      <c r="AV153" s="207">
        <v>15.07916658650609</v>
      </c>
      <c r="AW153" s="207">
        <v>1.202707843066621</v>
      </c>
      <c r="AX153" s="207">
        <v>336</v>
      </c>
      <c r="AY153" s="207">
        <v>2403</v>
      </c>
      <c r="AZ153" s="207">
        <v>0.13982521847690388</v>
      </c>
      <c r="BA153" s="207">
        <v>0.07864138239266938</v>
      </c>
      <c r="BB153" s="207">
        <v>0</v>
      </c>
      <c r="BC153" s="207">
        <v>1985</v>
      </c>
      <c r="BD153" s="207">
        <v>3249</v>
      </c>
      <c r="BE153" s="207">
        <v>0.6109572176054171</v>
      </c>
      <c r="BF153" s="207">
        <v>0.202050335014324</v>
      </c>
      <c r="BG153" s="207">
        <v>0</v>
      </c>
      <c r="BH153" s="207">
        <v>0</v>
      </c>
      <c r="BI153" s="207">
        <v>0</v>
      </c>
      <c r="BJ153" s="207">
        <v>-1881.12</v>
      </c>
      <c r="BK153" s="207">
        <v>-32135.799999999996</v>
      </c>
      <c r="BL153" s="207">
        <v>-2194.6400000000003</v>
      </c>
      <c r="BM153" s="207">
        <v>-3056.82</v>
      </c>
      <c r="BN153" s="207">
        <v>-156.76</v>
      </c>
      <c r="BO153" s="207">
        <v>-137561</v>
      </c>
      <c r="BP153" s="207">
        <v>-151416.0373063851</v>
      </c>
      <c r="BQ153" s="207">
        <v>-710828.22</v>
      </c>
      <c r="BR153" s="207">
        <v>16050.776211857796</v>
      </c>
      <c r="BS153" s="207">
        <v>672555</v>
      </c>
      <c r="BT153" s="207">
        <v>216780</v>
      </c>
      <c r="BU153" s="207">
        <v>474562.0938275964</v>
      </c>
      <c r="BV153" s="207">
        <v>15988.73824683974</v>
      </c>
      <c r="BW153" s="207">
        <v>78732.96706707103</v>
      </c>
      <c r="BX153" s="207">
        <v>195548.96349423224</v>
      </c>
      <c r="BY153" s="207">
        <v>430684.55735492456</v>
      </c>
      <c r="BZ153" s="207">
        <v>726253.7460421171</v>
      </c>
      <c r="CA153" s="207">
        <v>200202.43590228446</v>
      </c>
      <c r="CB153" s="207">
        <v>347871.3990283382</v>
      </c>
      <c r="CC153" s="207">
        <v>705.42</v>
      </c>
      <c r="CD153" s="207">
        <v>4505.048740123515</v>
      </c>
      <c r="CE153" s="207">
        <v>338758.36</v>
      </c>
      <c r="CF153" s="207">
        <v>3581638.5059153843</v>
      </c>
      <c r="CG153" s="207">
        <v>2256168.448608999</v>
      </c>
      <c r="CH153" s="207">
        <v>0</v>
      </c>
      <c r="CI153" s="207">
        <v>3777888.2668434633</v>
      </c>
      <c r="CJ153" s="207">
        <v>-240042</v>
      </c>
      <c r="CK153" s="207">
        <v>0</v>
      </c>
      <c r="CL153" s="207">
        <v>0</v>
      </c>
      <c r="CM153" s="207">
        <v>106698.34822000001</v>
      </c>
      <c r="CN153" s="207">
        <v>15106744.36172083</v>
      </c>
      <c r="CO153" s="207">
        <v>15213442.70994083</v>
      </c>
      <c r="CP153" s="207">
        <v>7842</v>
      </c>
    </row>
    <row r="154" spans="1:94" ht="9.75">
      <c r="A154" s="175">
        <v>504</v>
      </c>
      <c r="B154" s="175" t="s">
        <v>211</v>
      </c>
      <c r="C154" s="207">
        <v>1969</v>
      </c>
      <c r="D154" s="207">
        <v>6988624.81</v>
      </c>
      <c r="E154" s="207">
        <v>2139570.288574602</v>
      </c>
      <c r="F154" s="207">
        <v>612005.8519553104</v>
      </c>
      <c r="G154" s="207">
        <v>9740200.95052991</v>
      </c>
      <c r="H154" s="207">
        <v>3524.51</v>
      </c>
      <c r="I154" s="207">
        <v>6939760.19</v>
      </c>
      <c r="J154" s="207">
        <v>2800440.76052991</v>
      </c>
      <c r="K154" s="207">
        <v>24217.93006188549</v>
      </c>
      <c r="L154" s="207">
        <v>843576.662089513</v>
      </c>
      <c r="M154" s="207">
        <v>0</v>
      </c>
      <c r="N154" s="207">
        <v>3668235.352681309</v>
      </c>
      <c r="O154" s="207">
        <v>1427351.1843202976</v>
      </c>
      <c r="P154" s="207">
        <v>5095586.537001606</v>
      </c>
      <c r="Q154" s="207">
        <v>113</v>
      </c>
      <c r="R154" s="207">
        <v>19</v>
      </c>
      <c r="S154" s="207">
        <v>144</v>
      </c>
      <c r="T154" s="207">
        <v>66</v>
      </c>
      <c r="U154" s="207">
        <v>47</v>
      </c>
      <c r="V154" s="207">
        <v>1052</v>
      </c>
      <c r="W154" s="207">
        <v>306</v>
      </c>
      <c r="X154" s="207">
        <v>149</v>
      </c>
      <c r="Y154" s="207">
        <v>73</v>
      </c>
      <c r="Z154" s="207">
        <v>181</v>
      </c>
      <c r="AA154" s="207">
        <v>0</v>
      </c>
      <c r="AB154" s="207">
        <v>1718</v>
      </c>
      <c r="AC154" s="207">
        <v>70</v>
      </c>
      <c r="AD154" s="207">
        <v>528</v>
      </c>
      <c r="AE154" s="207">
        <v>0.9587582840299748</v>
      </c>
      <c r="AF154" s="207">
        <v>2139570.288574602</v>
      </c>
      <c r="AG154" s="207">
        <v>11009616.184826428</v>
      </c>
      <c r="AH154" s="207">
        <v>2414549.964800641</v>
      </c>
      <c r="AI154" s="207">
        <v>1125773.942378098</v>
      </c>
      <c r="AJ154" s="207">
        <v>111</v>
      </c>
      <c r="AK154" s="207">
        <v>902</v>
      </c>
      <c r="AL154" s="207">
        <v>1.0635078686843027</v>
      </c>
      <c r="AM154" s="207">
        <v>70</v>
      </c>
      <c r="AN154" s="207">
        <v>0.03555104113763331</v>
      </c>
      <c r="AO154" s="207">
        <v>0.03061032967518272</v>
      </c>
      <c r="AP154" s="207">
        <v>1</v>
      </c>
      <c r="AQ154" s="207">
        <v>181</v>
      </c>
      <c r="AR154" s="207">
        <v>0</v>
      </c>
      <c r="AS154" s="207">
        <v>0</v>
      </c>
      <c r="AT154" s="207">
        <v>0</v>
      </c>
      <c r="AU154" s="207">
        <v>200.36</v>
      </c>
      <c r="AV154" s="207">
        <v>9.827310840487122</v>
      </c>
      <c r="AW154" s="207">
        <v>1.8454521501224888</v>
      </c>
      <c r="AX154" s="207">
        <v>103</v>
      </c>
      <c r="AY154" s="207">
        <v>577</v>
      </c>
      <c r="AZ154" s="207">
        <v>0.17850953206239167</v>
      </c>
      <c r="BA154" s="207">
        <v>0.11732569597815717</v>
      </c>
      <c r="BB154" s="207">
        <v>0</v>
      </c>
      <c r="BC154" s="207">
        <v>463</v>
      </c>
      <c r="BD154" s="207">
        <v>770</v>
      </c>
      <c r="BE154" s="207">
        <v>0.6012987012987013</v>
      </c>
      <c r="BF154" s="207">
        <v>0.19239181870760824</v>
      </c>
      <c r="BG154" s="207">
        <v>0</v>
      </c>
      <c r="BH154" s="207">
        <v>0</v>
      </c>
      <c r="BI154" s="207">
        <v>0</v>
      </c>
      <c r="BJ154" s="207">
        <v>-472.56</v>
      </c>
      <c r="BK154" s="207">
        <v>-8072.9</v>
      </c>
      <c r="BL154" s="207">
        <v>-551.32</v>
      </c>
      <c r="BM154" s="207">
        <v>-767.9100000000001</v>
      </c>
      <c r="BN154" s="207">
        <v>-39.38</v>
      </c>
      <c r="BO154" s="207">
        <v>-5293</v>
      </c>
      <c r="BP154" s="207">
        <v>-47459.01455011671</v>
      </c>
      <c r="BQ154" s="207">
        <v>-178568.61</v>
      </c>
      <c r="BR154" s="207">
        <v>166062.03001650702</v>
      </c>
      <c r="BS154" s="207">
        <v>195468</v>
      </c>
      <c r="BT154" s="207">
        <v>62369</v>
      </c>
      <c r="BU154" s="207">
        <v>141372.8779053007</v>
      </c>
      <c r="BV154" s="207">
        <v>6568.424044971691</v>
      </c>
      <c r="BW154" s="207">
        <v>18572.25033574297</v>
      </c>
      <c r="BX154" s="207">
        <v>55129.76659964208</v>
      </c>
      <c r="BY154" s="207">
        <v>116165.3091711666</v>
      </c>
      <c r="BZ154" s="207">
        <v>177216.08435129444</v>
      </c>
      <c r="CA154" s="207">
        <v>61755.48162109174</v>
      </c>
      <c r="CB154" s="207">
        <v>92708.74512305671</v>
      </c>
      <c r="CC154" s="207">
        <v>177.20999999999998</v>
      </c>
      <c r="CD154" s="207">
        <v>12599.827470855751</v>
      </c>
      <c r="CE154" s="207">
        <v>85100.18</v>
      </c>
      <c r="CF154" s="207">
        <v>1185972.1866396298</v>
      </c>
      <c r="CG154" s="207">
        <v>843576.662089513</v>
      </c>
      <c r="CH154" s="207">
        <v>0</v>
      </c>
      <c r="CI154" s="207">
        <v>1427351.1843202976</v>
      </c>
      <c r="CJ154" s="207">
        <v>-429168</v>
      </c>
      <c r="CK154" s="207">
        <v>0</v>
      </c>
      <c r="CL154" s="207">
        <v>0</v>
      </c>
      <c r="CM154" s="207">
        <v>-765114.1469780001</v>
      </c>
      <c r="CN154" s="207">
        <v>4666418.537001606</v>
      </c>
      <c r="CO154" s="207">
        <v>3901304.390023606</v>
      </c>
      <c r="CP154" s="207">
        <v>1986</v>
      </c>
    </row>
    <row r="155" spans="1:94" ht="9.75">
      <c r="A155" s="175">
        <v>505</v>
      </c>
      <c r="B155" s="175" t="s">
        <v>212</v>
      </c>
      <c r="C155" s="207">
        <v>20803</v>
      </c>
      <c r="D155" s="207">
        <v>72410545.25</v>
      </c>
      <c r="E155" s="207">
        <v>20350866.958941728</v>
      </c>
      <c r="F155" s="207">
        <v>3197990.1818351625</v>
      </c>
      <c r="G155" s="207">
        <v>95959402.39077689</v>
      </c>
      <c r="H155" s="207">
        <v>3524.51</v>
      </c>
      <c r="I155" s="207">
        <v>73320381.53</v>
      </c>
      <c r="J155" s="207">
        <v>22639020.860776886</v>
      </c>
      <c r="K155" s="207">
        <v>328231.42457342794</v>
      </c>
      <c r="L155" s="207">
        <v>3598545.3291170844</v>
      </c>
      <c r="M155" s="207">
        <v>0</v>
      </c>
      <c r="N155" s="207">
        <v>26565797.6144674</v>
      </c>
      <c r="O155" s="207">
        <v>5371490.97939293</v>
      </c>
      <c r="P155" s="207">
        <v>31937288.593860332</v>
      </c>
      <c r="Q155" s="207">
        <v>1508</v>
      </c>
      <c r="R155" s="207">
        <v>306</v>
      </c>
      <c r="S155" s="207">
        <v>1862</v>
      </c>
      <c r="T155" s="207">
        <v>895</v>
      </c>
      <c r="U155" s="207">
        <v>870</v>
      </c>
      <c r="V155" s="207">
        <v>11670</v>
      </c>
      <c r="W155" s="207">
        <v>2242</v>
      </c>
      <c r="X155" s="207">
        <v>1057</v>
      </c>
      <c r="Y155" s="207">
        <v>393</v>
      </c>
      <c r="Z155" s="207">
        <v>196</v>
      </c>
      <c r="AA155" s="207">
        <v>3</v>
      </c>
      <c r="AB155" s="207">
        <v>19983</v>
      </c>
      <c r="AC155" s="207">
        <v>621</v>
      </c>
      <c r="AD155" s="207">
        <v>3692</v>
      </c>
      <c r="AE155" s="207">
        <v>0.8631479298732765</v>
      </c>
      <c r="AF155" s="207">
        <v>20350866.958941728</v>
      </c>
      <c r="AG155" s="207">
        <v>9965122.141541503</v>
      </c>
      <c r="AH155" s="207">
        <v>2637213.6050574332</v>
      </c>
      <c r="AI155" s="207">
        <v>1170447.5115200856</v>
      </c>
      <c r="AJ155" s="207">
        <v>694</v>
      </c>
      <c r="AK155" s="207">
        <v>10113</v>
      </c>
      <c r="AL155" s="207">
        <v>0.593066959307527</v>
      </c>
      <c r="AM155" s="207">
        <v>621</v>
      </c>
      <c r="AN155" s="207">
        <v>0.029851463731192615</v>
      </c>
      <c r="AO155" s="207">
        <v>0.024910752268742023</v>
      </c>
      <c r="AP155" s="207">
        <v>0</v>
      </c>
      <c r="AQ155" s="207">
        <v>196</v>
      </c>
      <c r="AR155" s="207">
        <v>3</v>
      </c>
      <c r="AS155" s="207">
        <v>0</v>
      </c>
      <c r="AT155" s="207">
        <v>0</v>
      </c>
      <c r="AU155" s="207">
        <v>580.82</v>
      </c>
      <c r="AV155" s="207">
        <v>35.81660411142867</v>
      </c>
      <c r="AW155" s="207">
        <v>0.5063526364497539</v>
      </c>
      <c r="AX155" s="207">
        <v>1045</v>
      </c>
      <c r="AY155" s="207">
        <v>6976</v>
      </c>
      <c r="AZ155" s="207">
        <v>0.1497993119266055</v>
      </c>
      <c r="BA155" s="207">
        <v>0.088615475842371</v>
      </c>
      <c r="BB155" s="207">
        <v>0</v>
      </c>
      <c r="BC155" s="207">
        <v>6064</v>
      </c>
      <c r="BD155" s="207">
        <v>9248</v>
      </c>
      <c r="BE155" s="207">
        <v>0.6557093425605537</v>
      </c>
      <c r="BF155" s="207">
        <v>0.2468024599694606</v>
      </c>
      <c r="BG155" s="207">
        <v>0</v>
      </c>
      <c r="BH155" s="207">
        <v>3</v>
      </c>
      <c r="BI155" s="207">
        <v>0</v>
      </c>
      <c r="BJ155" s="207">
        <v>-4992.72</v>
      </c>
      <c r="BK155" s="207">
        <v>-85292.29999999999</v>
      </c>
      <c r="BL155" s="207">
        <v>-5824.84</v>
      </c>
      <c r="BM155" s="207">
        <v>-8113.17</v>
      </c>
      <c r="BN155" s="207">
        <v>-416.06</v>
      </c>
      <c r="BO155" s="207">
        <v>-224658</v>
      </c>
      <c r="BP155" s="207">
        <v>-1056104.2457284336</v>
      </c>
      <c r="BQ155" s="207">
        <v>-1886624.07</v>
      </c>
      <c r="BR155" s="207">
        <v>80214.3359831199</v>
      </c>
      <c r="BS155" s="207">
        <v>1479734</v>
      </c>
      <c r="BT155" s="207">
        <v>475013</v>
      </c>
      <c r="BU155" s="207">
        <v>989053.6281817912</v>
      </c>
      <c r="BV155" s="207">
        <v>9088.89205300404</v>
      </c>
      <c r="BW155" s="207">
        <v>13788.275486488605</v>
      </c>
      <c r="BX155" s="207">
        <v>313030.11754291435</v>
      </c>
      <c r="BY155" s="207">
        <v>1002537.4279780103</v>
      </c>
      <c r="BZ155" s="207">
        <v>1537345.6575770497</v>
      </c>
      <c r="CA155" s="207">
        <v>427475.5058452923</v>
      </c>
      <c r="CB155" s="207">
        <v>779475.2186518909</v>
      </c>
      <c r="CC155" s="207">
        <v>1872.27</v>
      </c>
      <c r="CD155" s="207">
        <v>-12345.044454043076</v>
      </c>
      <c r="CE155" s="207">
        <v>899105.66</v>
      </c>
      <c r="CF155" s="207">
        <v>7770730.944845518</v>
      </c>
      <c r="CG155" s="207">
        <v>3598545.3291170844</v>
      </c>
      <c r="CH155" s="207">
        <v>0</v>
      </c>
      <c r="CI155" s="207">
        <v>5371490.97939293</v>
      </c>
      <c r="CJ155" s="207">
        <v>-2328656</v>
      </c>
      <c r="CK155" s="207">
        <v>0</v>
      </c>
      <c r="CL155" s="207">
        <v>0</v>
      </c>
      <c r="CM155" s="207">
        <v>-727048.3265199999</v>
      </c>
      <c r="CN155" s="207">
        <v>29608632.593860332</v>
      </c>
      <c r="CO155" s="207">
        <v>28881584.267340332</v>
      </c>
      <c r="CP155" s="207">
        <v>20853</v>
      </c>
    </row>
    <row r="156" spans="1:94" ht="9.75">
      <c r="A156" s="175">
        <v>508</v>
      </c>
      <c r="B156" s="175" t="s">
        <v>213</v>
      </c>
      <c r="C156" s="207">
        <v>10256</v>
      </c>
      <c r="D156" s="207">
        <v>36647089.269999996</v>
      </c>
      <c r="E156" s="207">
        <v>15580461.146141876</v>
      </c>
      <c r="F156" s="207">
        <v>2075013.2704363205</v>
      </c>
      <c r="G156" s="207">
        <v>54302563.686578184</v>
      </c>
      <c r="H156" s="207">
        <v>3524.51</v>
      </c>
      <c r="I156" s="207">
        <v>36147374.56</v>
      </c>
      <c r="J156" s="207">
        <v>18155189.126578182</v>
      </c>
      <c r="K156" s="207">
        <v>424778.55881298083</v>
      </c>
      <c r="L156" s="207">
        <v>2729970.4958732137</v>
      </c>
      <c r="M156" s="207">
        <v>0</v>
      </c>
      <c r="N156" s="207">
        <v>21309938.181264374</v>
      </c>
      <c r="O156" s="207">
        <v>4425999.121556403</v>
      </c>
      <c r="P156" s="207">
        <v>25735937.30282078</v>
      </c>
      <c r="Q156" s="207">
        <v>420</v>
      </c>
      <c r="R156" s="207">
        <v>90</v>
      </c>
      <c r="S156" s="207">
        <v>539</v>
      </c>
      <c r="T156" s="207">
        <v>296</v>
      </c>
      <c r="U156" s="207">
        <v>359</v>
      </c>
      <c r="V156" s="207">
        <v>5230</v>
      </c>
      <c r="W156" s="207">
        <v>1840</v>
      </c>
      <c r="X156" s="207">
        <v>1000</v>
      </c>
      <c r="Y156" s="207">
        <v>482</v>
      </c>
      <c r="Z156" s="207">
        <v>18</v>
      </c>
      <c r="AA156" s="207">
        <v>3</v>
      </c>
      <c r="AB156" s="207">
        <v>9953</v>
      </c>
      <c r="AC156" s="207">
        <v>282</v>
      </c>
      <c r="AD156" s="207">
        <v>3322</v>
      </c>
      <c r="AE156" s="207">
        <v>1.3403881591871605</v>
      </c>
      <c r="AF156" s="207">
        <v>15580461.146141876</v>
      </c>
      <c r="AG156" s="207">
        <v>24187166.125111647</v>
      </c>
      <c r="AH156" s="207">
        <v>5707526.178094364</v>
      </c>
      <c r="AI156" s="207">
        <v>2832304.2836020393</v>
      </c>
      <c r="AJ156" s="207">
        <v>519</v>
      </c>
      <c r="AK156" s="207">
        <v>4359</v>
      </c>
      <c r="AL156" s="207">
        <v>1.0289748384932738</v>
      </c>
      <c r="AM156" s="207">
        <v>282</v>
      </c>
      <c r="AN156" s="207">
        <v>0.02749609984399376</v>
      </c>
      <c r="AO156" s="207">
        <v>0.022555388381543168</v>
      </c>
      <c r="AP156" s="207">
        <v>0</v>
      </c>
      <c r="AQ156" s="207">
        <v>18</v>
      </c>
      <c r="AR156" s="207">
        <v>3</v>
      </c>
      <c r="AS156" s="207">
        <v>0</v>
      </c>
      <c r="AT156" s="207">
        <v>0</v>
      </c>
      <c r="AU156" s="207">
        <v>534.85</v>
      </c>
      <c r="AV156" s="207">
        <v>19.17546975787604</v>
      </c>
      <c r="AW156" s="207">
        <v>0.945782927328285</v>
      </c>
      <c r="AX156" s="207">
        <v>385</v>
      </c>
      <c r="AY156" s="207">
        <v>2669</v>
      </c>
      <c r="AZ156" s="207">
        <v>0.14424878231547397</v>
      </c>
      <c r="BA156" s="207">
        <v>0.08306494623123947</v>
      </c>
      <c r="BB156" s="207">
        <v>0</v>
      </c>
      <c r="BC156" s="207">
        <v>3835</v>
      </c>
      <c r="BD156" s="207">
        <v>3629</v>
      </c>
      <c r="BE156" s="207">
        <v>1.056764949021769</v>
      </c>
      <c r="BF156" s="207">
        <v>0.6478580664306759</v>
      </c>
      <c r="BG156" s="207">
        <v>0</v>
      </c>
      <c r="BH156" s="207">
        <v>3</v>
      </c>
      <c r="BI156" s="207">
        <v>0</v>
      </c>
      <c r="BJ156" s="207">
        <v>-2461.44</v>
      </c>
      <c r="BK156" s="207">
        <v>-42049.6</v>
      </c>
      <c r="BL156" s="207">
        <v>-2871.6800000000003</v>
      </c>
      <c r="BM156" s="207">
        <v>-3999.84</v>
      </c>
      <c r="BN156" s="207">
        <v>-205.12</v>
      </c>
      <c r="BO156" s="207">
        <v>69280</v>
      </c>
      <c r="BP156" s="207">
        <v>-390831.16284016834</v>
      </c>
      <c r="BQ156" s="207">
        <v>-930116.64</v>
      </c>
      <c r="BR156" s="207">
        <v>12822.151121586561</v>
      </c>
      <c r="BS156" s="207">
        <v>803272</v>
      </c>
      <c r="BT156" s="207">
        <v>260536</v>
      </c>
      <c r="BU156" s="207">
        <v>594607.0055709057</v>
      </c>
      <c r="BV156" s="207">
        <v>29984.572558197375</v>
      </c>
      <c r="BW156" s="207">
        <v>81713.79125779483</v>
      </c>
      <c r="BX156" s="207">
        <v>348205.48234426253</v>
      </c>
      <c r="BY156" s="207">
        <v>470837.27244409214</v>
      </c>
      <c r="BZ156" s="207">
        <v>887671.2259239312</v>
      </c>
      <c r="CA156" s="207">
        <v>228034.70317835227</v>
      </c>
      <c r="CB156" s="207">
        <v>418329.02621177264</v>
      </c>
      <c r="CC156" s="207">
        <v>923.04</v>
      </c>
      <c r="CD156" s="207">
        <v>7567.308102485476</v>
      </c>
      <c r="CE156" s="207">
        <v>443264.32</v>
      </c>
      <c r="CF156" s="207">
        <v>4657047.898713382</v>
      </c>
      <c r="CG156" s="207">
        <v>2729970.4958732137</v>
      </c>
      <c r="CH156" s="207">
        <v>0</v>
      </c>
      <c r="CI156" s="207">
        <v>4425999.121556403</v>
      </c>
      <c r="CJ156" s="207">
        <v>-1156414</v>
      </c>
      <c r="CK156" s="207">
        <v>0</v>
      </c>
      <c r="CL156" s="207">
        <v>0</v>
      </c>
      <c r="CM156" s="207">
        <v>154509.9797</v>
      </c>
      <c r="CN156" s="207">
        <v>24579523.30282078</v>
      </c>
      <c r="CO156" s="207">
        <v>24734033.28252078</v>
      </c>
      <c r="CP156" s="207">
        <v>10448</v>
      </c>
    </row>
    <row r="157" spans="1:94" ht="9.75">
      <c r="A157" s="175">
        <v>507</v>
      </c>
      <c r="B157" s="175" t="s">
        <v>214</v>
      </c>
      <c r="C157" s="207">
        <v>6054</v>
      </c>
      <c r="D157" s="207">
        <v>21459447.270000003</v>
      </c>
      <c r="E157" s="207">
        <v>10498545.594906079</v>
      </c>
      <c r="F157" s="207">
        <v>1666153.569924432</v>
      </c>
      <c r="G157" s="207">
        <v>33624146.43483051</v>
      </c>
      <c r="H157" s="207">
        <v>3524.51</v>
      </c>
      <c r="I157" s="207">
        <v>21337383.540000003</v>
      </c>
      <c r="J157" s="207">
        <v>12286762.894830506</v>
      </c>
      <c r="K157" s="207">
        <v>430923.2337582334</v>
      </c>
      <c r="L157" s="207">
        <v>1807119.788303828</v>
      </c>
      <c r="M157" s="207">
        <v>0</v>
      </c>
      <c r="N157" s="207">
        <v>14524805.916892568</v>
      </c>
      <c r="O157" s="207">
        <v>3627840.7373683774</v>
      </c>
      <c r="P157" s="207">
        <v>18152646.654260945</v>
      </c>
      <c r="Q157" s="207">
        <v>260</v>
      </c>
      <c r="R157" s="207">
        <v>42</v>
      </c>
      <c r="S157" s="207">
        <v>321</v>
      </c>
      <c r="T157" s="207">
        <v>162</v>
      </c>
      <c r="U157" s="207">
        <v>181</v>
      </c>
      <c r="V157" s="207">
        <v>3003</v>
      </c>
      <c r="W157" s="207">
        <v>1169</v>
      </c>
      <c r="X157" s="207">
        <v>648</v>
      </c>
      <c r="Y157" s="207">
        <v>268</v>
      </c>
      <c r="Z157" s="207">
        <v>11</v>
      </c>
      <c r="AA157" s="207">
        <v>0</v>
      </c>
      <c r="AB157" s="207">
        <v>5916</v>
      </c>
      <c r="AC157" s="207">
        <v>127</v>
      </c>
      <c r="AD157" s="207">
        <v>2085</v>
      </c>
      <c r="AE157" s="207">
        <v>1.5300830681319033</v>
      </c>
      <c r="AF157" s="207">
        <v>10498545.594906079</v>
      </c>
      <c r="AG157" s="207">
        <v>2413372.7512893598</v>
      </c>
      <c r="AH157" s="207">
        <v>641057.6754421343</v>
      </c>
      <c r="AI157" s="207">
        <v>241237.27336673523</v>
      </c>
      <c r="AJ157" s="207">
        <v>296</v>
      </c>
      <c r="AK157" s="207">
        <v>2504</v>
      </c>
      <c r="AL157" s="207">
        <v>1.0216018078309275</v>
      </c>
      <c r="AM157" s="207">
        <v>127</v>
      </c>
      <c r="AN157" s="207">
        <v>0.020977865873802445</v>
      </c>
      <c r="AO157" s="207">
        <v>0.016037154411351853</v>
      </c>
      <c r="AP157" s="207">
        <v>0</v>
      </c>
      <c r="AQ157" s="207">
        <v>11</v>
      </c>
      <c r="AR157" s="207">
        <v>0</v>
      </c>
      <c r="AS157" s="207">
        <v>0</v>
      </c>
      <c r="AT157" s="207">
        <v>0</v>
      </c>
      <c r="AU157" s="207">
        <v>980.87</v>
      </c>
      <c r="AV157" s="207">
        <v>6.172071732237708</v>
      </c>
      <c r="AW157" s="207">
        <v>2.938370243782599</v>
      </c>
      <c r="AX157" s="207">
        <v>247</v>
      </c>
      <c r="AY157" s="207">
        <v>1464</v>
      </c>
      <c r="AZ157" s="207">
        <v>0.1687158469945355</v>
      </c>
      <c r="BA157" s="207">
        <v>0.10753201091030101</v>
      </c>
      <c r="BB157" s="207">
        <v>0.1874</v>
      </c>
      <c r="BC157" s="207">
        <v>1845</v>
      </c>
      <c r="BD157" s="207">
        <v>2039</v>
      </c>
      <c r="BE157" s="207">
        <v>0.9048553212359</v>
      </c>
      <c r="BF157" s="207">
        <v>0.49594843864480687</v>
      </c>
      <c r="BG157" s="207">
        <v>0</v>
      </c>
      <c r="BH157" s="207">
        <v>0</v>
      </c>
      <c r="BI157" s="207">
        <v>0</v>
      </c>
      <c r="BJ157" s="207">
        <v>-1452.96</v>
      </c>
      <c r="BK157" s="207">
        <v>-24821.399999999998</v>
      </c>
      <c r="BL157" s="207">
        <v>-1695.1200000000001</v>
      </c>
      <c r="BM157" s="207">
        <v>-2361.06</v>
      </c>
      <c r="BN157" s="207">
        <v>-121.08</v>
      </c>
      <c r="BO157" s="207">
        <v>-181678</v>
      </c>
      <c r="BP157" s="207">
        <v>-268847.98318423505</v>
      </c>
      <c r="BQ157" s="207">
        <v>-549037.26</v>
      </c>
      <c r="BR157" s="207">
        <v>122414.00437887199</v>
      </c>
      <c r="BS157" s="207">
        <v>612511</v>
      </c>
      <c r="BT157" s="207">
        <v>180567</v>
      </c>
      <c r="BU157" s="207">
        <v>450385.43213346513</v>
      </c>
      <c r="BV157" s="207">
        <v>24541.28516919258</v>
      </c>
      <c r="BW157" s="207">
        <v>82977.25452723737</v>
      </c>
      <c r="BX157" s="207">
        <v>229492.8758543228</v>
      </c>
      <c r="BY157" s="207">
        <v>315091.644873337</v>
      </c>
      <c r="BZ157" s="207">
        <v>509287.6136667533</v>
      </c>
      <c r="CA157" s="207">
        <v>144620.6813741098</v>
      </c>
      <c r="CB157" s="207">
        <v>270129.4987416424</v>
      </c>
      <c r="CC157" s="207">
        <v>544.86</v>
      </c>
      <c r="CD157" s="207">
        <v>-39742.59923086878</v>
      </c>
      <c r="CE157" s="207">
        <v>261653.88</v>
      </c>
      <c r="CF157" s="207">
        <v>2982796.431488063</v>
      </c>
      <c r="CG157" s="207">
        <v>1807119.788303828</v>
      </c>
      <c r="CH157" s="207">
        <v>0</v>
      </c>
      <c r="CI157" s="207">
        <v>3627840.7373683774</v>
      </c>
      <c r="CJ157" s="207">
        <v>-236299</v>
      </c>
      <c r="CK157" s="207">
        <v>0</v>
      </c>
      <c r="CL157" s="207">
        <v>0</v>
      </c>
      <c r="CM157" s="207">
        <v>159869.31774000003</v>
      </c>
      <c r="CN157" s="207">
        <v>17916347.654260945</v>
      </c>
      <c r="CO157" s="207">
        <v>18076216.972000945</v>
      </c>
      <c r="CP157" s="207">
        <v>6097</v>
      </c>
    </row>
    <row r="158" spans="1:94" ht="9.75">
      <c r="A158" s="175">
        <v>529</v>
      </c>
      <c r="B158" s="175" t="s">
        <v>215</v>
      </c>
      <c r="C158" s="207">
        <v>19167</v>
      </c>
      <c r="D158" s="207">
        <v>63434588.62</v>
      </c>
      <c r="E158" s="207">
        <v>18770336.8251393</v>
      </c>
      <c r="F158" s="207">
        <v>3613552.6096188547</v>
      </c>
      <c r="G158" s="207">
        <v>85818478.05475815</v>
      </c>
      <c r="H158" s="207">
        <v>3524.51</v>
      </c>
      <c r="I158" s="207">
        <v>67554283.17</v>
      </c>
      <c r="J158" s="207">
        <v>18264194.884758145</v>
      </c>
      <c r="K158" s="207">
        <v>372754.98593394924</v>
      </c>
      <c r="L158" s="207">
        <v>2173454.0406358535</v>
      </c>
      <c r="M158" s="207">
        <v>0</v>
      </c>
      <c r="N158" s="207">
        <v>20810403.911327947</v>
      </c>
      <c r="O158" s="207">
        <v>-4311786.671732435</v>
      </c>
      <c r="P158" s="207">
        <v>16498617.239595512</v>
      </c>
      <c r="Q158" s="207">
        <v>1026</v>
      </c>
      <c r="R158" s="207">
        <v>204</v>
      </c>
      <c r="S158" s="207">
        <v>1337</v>
      </c>
      <c r="T158" s="207">
        <v>680</v>
      </c>
      <c r="U158" s="207">
        <v>680</v>
      </c>
      <c r="V158" s="207">
        <v>10627</v>
      </c>
      <c r="W158" s="207">
        <v>2840</v>
      </c>
      <c r="X158" s="207">
        <v>1290</v>
      </c>
      <c r="Y158" s="207">
        <v>483</v>
      </c>
      <c r="Z158" s="207">
        <v>260</v>
      </c>
      <c r="AA158" s="207">
        <v>1</v>
      </c>
      <c r="AB158" s="207">
        <v>18480</v>
      </c>
      <c r="AC158" s="207">
        <v>426</v>
      </c>
      <c r="AD158" s="207">
        <v>4613</v>
      </c>
      <c r="AE158" s="207">
        <v>0.8640645949003641</v>
      </c>
      <c r="AF158" s="207">
        <v>18770336.8251393</v>
      </c>
      <c r="AG158" s="207">
        <v>11846367.207959771</v>
      </c>
      <c r="AH158" s="207">
        <v>4293724.28431926</v>
      </c>
      <c r="AI158" s="207">
        <v>1215121.0806620738</v>
      </c>
      <c r="AJ158" s="207">
        <v>749</v>
      </c>
      <c r="AK158" s="207">
        <v>8921</v>
      </c>
      <c r="AL158" s="207">
        <v>0.7255920982754301</v>
      </c>
      <c r="AM158" s="207">
        <v>426</v>
      </c>
      <c r="AN158" s="207">
        <v>0.022225700422601347</v>
      </c>
      <c r="AO158" s="207">
        <v>0.017284988960150755</v>
      </c>
      <c r="AP158" s="207">
        <v>0</v>
      </c>
      <c r="AQ158" s="207">
        <v>260</v>
      </c>
      <c r="AR158" s="207">
        <v>1</v>
      </c>
      <c r="AS158" s="207">
        <v>3</v>
      </c>
      <c r="AT158" s="207">
        <v>4346</v>
      </c>
      <c r="AU158" s="207">
        <v>312.37</v>
      </c>
      <c r="AV158" s="207">
        <v>61.3599257291033</v>
      </c>
      <c r="AW158" s="207">
        <v>0.2955647632392275</v>
      </c>
      <c r="AX158" s="207">
        <v>657</v>
      </c>
      <c r="AY158" s="207">
        <v>6074</v>
      </c>
      <c r="AZ158" s="207">
        <v>0.10816595324333224</v>
      </c>
      <c r="BA158" s="207">
        <v>0.046982117159097746</v>
      </c>
      <c r="BB158" s="207">
        <v>0</v>
      </c>
      <c r="BC158" s="207">
        <v>5722</v>
      </c>
      <c r="BD158" s="207">
        <v>8024</v>
      </c>
      <c r="BE158" s="207">
        <v>0.713110667996012</v>
      </c>
      <c r="BF158" s="207">
        <v>0.3042037854049189</v>
      </c>
      <c r="BG158" s="207">
        <v>0</v>
      </c>
      <c r="BH158" s="207">
        <v>1</v>
      </c>
      <c r="BI158" s="207">
        <v>0</v>
      </c>
      <c r="BJ158" s="207">
        <v>-4600.08</v>
      </c>
      <c r="BK158" s="207">
        <v>-78584.7</v>
      </c>
      <c r="BL158" s="207">
        <v>-5366.76</v>
      </c>
      <c r="BM158" s="207">
        <v>-7475.13</v>
      </c>
      <c r="BN158" s="207">
        <v>-383.34000000000003</v>
      </c>
      <c r="BO158" s="207">
        <v>-111370</v>
      </c>
      <c r="BP158" s="207">
        <v>-543022.974535052</v>
      </c>
      <c r="BQ158" s="207">
        <v>-1738255.23</v>
      </c>
      <c r="BR158" s="207">
        <v>-180401.39770806208</v>
      </c>
      <c r="BS158" s="207">
        <v>1126269</v>
      </c>
      <c r="BT158" s="207">
        <v>399804</v>
      </c>
      <c r="BU158" s="207">
        <v>766201.2766296709</v>
      </c>
      <c r="BV158" s="207">
        <v>14389.925838253772</v>
      </c>
      <c r="BW158" s="207">
        <v>-431494.31892511674</v>
      </c>
      <c r="BX158" s="207">
        <v>292074.77072624414</v>
      </c>
      <c r="BY158" s="207">
        <v>716649.1748623804</v>
      </c>
      <c r="BZ158" s="207">
        <v>1313253.560745515</v>
      </c>
      <c r="CA158" s="207">
        <v>386703.96748320304</v>
      </c>
      <c r="CB158" s="207">
        <v>671825.3355864485</v>
      </c>
      <c r="CC158" s="207">
        <v>1725.03</v>
      </c>
      <c r="CD158" s="207">
        <v>-206526.12006763177</v>
      </c>
      <c r="CE158" s="207">
        <v>828397.74</v>
      </c>
      <c r="CF158" s="207">
        <v>5587501.945170905</v>
      </c>
      <c r="CG158" s="207">
        <v>2173454.0406358535</v>
      </c>
      <c r="CH158" s="207">
        <v>0</v>
      </c>
      <c r="CI158" s="207">
        <v>-4311786.671732435</v>
      </c>
      <c r="CJ158" s="207">
        <v>-1051212</v>
      </c>
      <c r="CK158" s="207">
        <v>0</v>
      </c>
      <c r="CL158" s="207">
        <v>0</v>
      </c>
      <c r="CM158" s="207">
        <v>-92996.39530000003</v>
      </c>
      <c r="CN158" s="207">
        <v>15447405.239595512</v>
      </c>
      <c r="CO158" s="207">
        <v>15354408.844295511</v>
      </c>
      <c r="CP158" s="207">
        <v>19068</v>
      </c>
    </row>
    <row r="159" spans="1:94" ht="9.75">
      <c r="A159" s="175">
        <v>531</v>
      </c>
      <c r="B159" s="175" t="s">
        <v>216</v>
      </c>
      <c r="C159" s="207">
        <v>5521</v>
      </c>
      <c r="D159" s="207">
        <v>19573003.47</v>
      </c>
      <c r="E159" s="207">
        <v>6037159.81074282</v>
      </c>
      <c r="F159" s="207">
        <v>813920.5796182728</v>
      </c>
      <c r="G159" s="207">
        <v>26424083.860361088</v>
      </c>
      <c r="H159" s="207">
        <v>3524.51</v>
      </c>
      <c r="I159" s="207">
        <v>19458819.71</v>
      </c>
      <c r="J159" s="207">
        <v>6965264.150361087</v>
      </c>
      <c r="K159" s="207">
        <v>107513.20407199913</v>
      </c>
      <c r="L159" s="207">
        <v>1353359.1417253194</v>
      </c>
      <c r="M159" s="207">
        <v>0</v>
      </c>
      <c r="N159" s="207">
        <v>8426136.496158406</v>
      </c>
      <c r="O159" s="207">
        <v>3083423.711493952</v>
      </c>
      <c r="P159" s="207">
        <v>11509560.207652358</v>
      </c>
      <c r="Q159" s="207">
        <v>293</v>
      </c>
      <c r="R159" s="207">
        <v>65</v>
      </c>
      <c r="S159" s="207">
        <v>383</v>
      </c>
      <c r="T159" s="207">
        <v>196</v>
      </c>
      <c r="U159" s="207">
        <v>220</v>
      </c>
      <c r="V159" s="207">
        <v>2871</v>
      </c>
      <c r="W159" s="207">
        <v>838</v>
      </c>
      <c r="X159" s="207">
        <v>475</v>
      </c>
      <c r="Y159" s="207">
        <v>180</v>
      </c>
      <c r="Z159" s="207">
        <v>26</v>
      </c>
      <c r="AA159" s="207">
        <v>0</v>
      </c>
      <c r="AB159" s="207">
        <v>5422</v>
      </c>
      <c r="AC159" s="207">
        <v>73</v>
      </c>
      <c r="AD159" s="207">
        <v>1493</v>
      </c>
      <c r="AE159" s="207">
        <v>0.9648131461455551</v>
      </c>
      <c r="AF159" s="207">
        <v>6037159.81074282</v>
      </c>
      <c r="AG159" s="207">
        <v>20471073.594057973</v>
      </c>
      <c r="AH159" s="207">
        <v>5480451.057999324</v>
      </c>
      <c r="AI159" s="207">
        <v>1965637.042247472</v>
      </c>
      <c r="AJ159" s="207">
        <v>271</v>
      </c>
      <c r="AK159" s="207">
        <v>2455</v>
      </c>
      <c r="AL159" s="207">
        <v>0.9539861302982636</v>
      </c>
      <c r="AM159" s="207">
        <v>73</v>
      </c>
      <c r="AN159" s="207">
        <v>0.013222242347400832</v>
      </c>
      <c r="AO159" s="207">
        <v>0.00828153088495024</v>
      </c>
      <c r="AP159" s="207">
        <v>0</v>
      </c>
      <c r="AQ159" s="207">
        <v>26</v>
      </c>
      <c r="AR159" s="207">
        <v>0</v>
      </c>
      <c r="AS159" s="207">
        <v>0</v>
      </c>
      <c r="AT159" s="207">
        <v>0</v>
      </c>
      <c r="AU159" s="207">
        <v>182.91</v>
      </c>
      <c r="AV159" s="207">
        <v>30.18424361707944</v>
      </c>
      <c r="AW159" s="207">
        <v>0.6008377135624836</v>
      </c>
      <c r="AX159" s="207">
        <v>201</v>
      </c>
      <c r="AY159" s="207">
        <v>1619</v>
      </c>
      <c r="AZ159" s="207">
        <v>0.12415071031500927</v>
      </c>
      <c r="BA159" s="207">
        <v>0.06296687423077477</v>
      </c>
      <c r="BB159" s="207">
        <v>0</v>
      </c>
      <c r="BC159" s="207">
        <v>1452</v>
      </c>
      <c r="BD159" s="207">
        <v>2035</v>
      </c>
      <c r="BE159" s="207">
        <v>0.7135135135135136</v>
      </c>
      <c r="BF159" s="207">
        <v>0.30460663092242046</v>
      </c>
      <c r="BG159" s="207">
        <v>0</v>
      </c>
      <c r="BH159" s="207">
        <v>0</v>
      </c>
      <c r="BI159" s="207">
        <v>0</v>
      </c>
      <c r="BJ159" s="207">
        <v>-1325.04</v>
      </c>
      <c r="BK159" s="207">
        <v>-22636.1</v>
      </c>
      <c r="BL159" s="207">
        <v>-1545.88</v>
      </c>
      <c r="BM159" s="207">
        <v>-2153.19</v>
      </c>
      <c r="BN159" s="207">
        <v>-110.42</v>
      </c>
      <c r="BO159" s="207">
        <v>-28716</v>
      </c>
      <c r="BP159" s="207">
        <v>-190643.45885820725</v>
      </c>
      <c r="BQ159" s="207">
        <v>-500699.49</v>
      </c>
      <c r="BR159" s="207">
        <v>-12822.98214763403</v>
      </c>
      <c r="BS159" s="207">
        <v>438841</v>
      </c>
      <c r="BT159" s="207">
        <v>144033</v>
      </c>
      <c r="BU159" s="207">
        <v>315657.2615734365</v>
      </c>
      <c r="BV159" s="207">
        <v>13267.612924917235</v>
      </c>
      <c r="BW159" s="207">
        <v>5784.877426108886</v>
      </c>
      <c r="BX159" s="207">
        <v>154824.90383729787</v>
      </c>
      <c r="BY159" s="207">
        <v>277279.57392231474</v>
      </c>
      <c r="BZ159" s="207">
        <v>446750.8001192693</v>
      </c>
      <c r="CA159" s="207">
        <v>120873.6093740913</v>
      </c>
      <c r="CB159" s="207">
        <v>226991.36700585016</v>
      </c>
      <c r="CC159" s="207">
        <v>496.89</v>
      </c>
      <c r="CD159" s="207">
        <v>29113.656547874874</v>
      </c>
      <c r="CE159" s="207">
        <v>238617.62</v>
      </c>
      <c r="CF159" s="207">
        <v>2370993.1905835266</v>
      </c>
      <c r="CG159" s="207">
        <v>1353359.1417253194</v>
      </c>
      <c r="CH159" s="207">
        <v>0</v>
      </c>
      <c r="CI159" s="207">
        <v>3083423.711493952</v>
      </c>
      <c r="CJ159" s="207">
        <v>-456012</v>
      </c>
      <c r="CK159" s="207">
        <v>0</v>
      </c>
      <c r="CL159" s="207">
        <v>0</v>
      </c>
      <c r="CM159" s="207">
        <v>-129442.53404000003</v>
      </c>
      <c r="CN159" s="207">
        <v>11053548.207652358</v>
      </c>
      <c r="CO159" s="207">
        <v>10924105.673612358</v>
      </c>
      <c r="CP159" s="207">
        <v>5548</v>
      </c>
    </row>
    <row r="160" spans="1:94" ht="9.75">
      <c r="A160" s="175">
        <v>535</v>
      </c>
      <c r="B160" s="175" t="s">
        <v>217</v>
      </c>
      <c r="C160" s="207">
        <v>10815</v>
      </c>
      <c r="D160" s="207">
        <v>43030728.92</v>
      </c>
      <c r="E160" s="207">
        <v>17029497.45412758</v>
      </c>
      <c r="F160" s="207">
        <v>1540463.885363555</v>
      </c>
      <c r="G160" s="207">
        <v>61600690.25949114</v>
      </c>
      <c r="H160" s="207">
        <v>3524.51</v>
      </c>
      <c r="I160" s="207">
        <v>38117575.650000006</v>
      </c>
      <c r="J160" s="207">
        <v>23483114.609491132</v>
      </c>
      <c r="K160" s="207">
        <v>339365.49155365676</v>
      </c>
      <c r="L160" s="207">
        <v>3364228.3651142716</v>
      </c>
      <c r="M160" s="207">
        <v>0</v>
      </c>
      <c r="N160" s="207">
        <v>27186708.46615906</v>
      </c>
      <c r="O160" s="207">
        <v>11062684.207626922</v>
      </c>
      <c r="P160" s="207">
        <v>38249392.673785985</v>
      </c>
      <c r="Q160" s="207">
        <v>949</v>
      </c>
      <c r="R160" s="207">
        <v>176</v>
      </c>
      <c r="S160" s="207">
        <v>1060</v>
      </c>
      <c r="T160" s="207">
        <v>509</v>
      </c>
      <c r="U160" s="207">
        <v>465</v>
      </c>
      <c r="V160" s="207">
        <v>5376</v>
      </c>
      <c r="W160" s="207">
        <v>1258</v>
      </c>
      <c r="X160" s="207">
        <v>693</v>
      </c>
      <c r="Y160" s="207">
        <v>329</v>
      </c>
      <c r="Z160" s="207">
        <v>7</v>
      </c>
      <c r="AA160" s="207">
        <v>0</v>
      </c>
      <c r="AB160" s="207">
        <v>10715</v>
      </c>
      <c r="AC160" s="207">
        <v>93</v>
      </c>
      <c r="AD160" s="207">
        <v>2280</v>
      </c>
      <c r="AE160" s="207">
        <v>1.3893241835377825</v>
      </c>
      <c r="AF160" s="207">
        <v>17029497.45412758</v>
      </c>
      <c r="AG160" s="207">
        <v>23606980.222789016</v>
      </c>
      <c r="AH160" s="207">
        <v>4578535.6142271515</v>
      </c>
      <c r="AI160" s="207">
        <v>2742957.1453180634</v>
      </c>
      <c r="AJ160" s="207">
        <v>489</v>
      </c>
      <c r="AK160" s="207">
        <v>4448</v>
      </c>
      <c r="AL160" s="207">
        <v>0.9500978751529888</v>
      </c>
      <c r="AM160" s="207">
        <v>93</v>
      </c>
      <c r="AN160" s="207">
        <v>0.008599167822468794</v>
      </c>
      <c r="AO160" s="207">
        <v>0.003658456360018201</v>
      </c>
      <c r="AP160" s="207">
        <v>0</v>
      </c>
      <c r="AQ160" s="207">
        <v>7</v>
      </c>
      <c r="AR160" s="207">
        <v>0</v>
      </c>
      <c r="AS160" s="207">
        <v>0</v>
      </c>
      <c r="AT160" s="207">
        <v>0</v>
      </c>
      <c r="AU160" s="207">
        <v>527.89</v>
      </c>
      <c r="AV160" s="207">
        <v>20.48722271685389</v>
      </c>
      <c r="AW160" s="207">
        <v>0.8852264736488412</v>
      </c>
      <c r="AX160" s="207">
        <v>306</v>
      </c>
      <c r="AY160" s="207">
        <v>2863</v>
      </c>
      <c r="AZ160" s="207">
        <v>0.10688089416695774</v>
      </c>
      <c r="BA160" s="207">
        <v>0.04569705808272325</v>
      </c>
      <c r="BB160" s="207">
        <v>0</v>
      </c>
      <c r="BC160" s="207">
        <v>3500</v>
      </c>
      <c r="BD160" s="207">
        <v>3890</v>
      </c>
      <c r="BE160" s="207">
        <v>0.8997429305912596</v>
      </c>
      <c r="BF160" s="207">
        <v>0.49083604800016656</v>
      </c>
      <c r="BG160" s="207">
        <v>0</v>
      </c>
      <c r="BH160" s="207">
        <v>0</v>
      </c>
      <c r="BI160" s="207">
        <v>0</v>
      </c>
      <c r="BJ160" s="207">
        <v>-2595.6</v>
      </c>
      <c r="BK160" s="207">
        <v>-44341.49999999999</v>
      </c>
      <c r="BL160" s="207">
        <v>-3028.2000000000003</v>
      </c>
      <c r="BM160" s="207">
        <v>-4217.85</v>
      </c>
      <c r="BN160" s="207">
        <v>-216.3</v>
      </c>
      <c r="BO160" s="207">
        <v>-75295</v>
      </c>
      <c r="BP160" s="207">
        <v>-225652.8727690893</v>
      </c>
      <c r="BQ160" s="207">
        <v>-980812.35</v>
      </c>
      <c r="BR160" s="207">
        <v>74965.71019779146</v>
      </c>
      <c r="BS160" s="207">
        <v>959779</v>
      </c>
      <c r="BT160" s="207">
        <v>298038</v>
      </c>
      <c r="BU160" s="207">
        <v>742244.5716010841</v>
      </c>
      <c r="BV160" s="207">
        <v>31395.044960570765</v>
      </c>
      <c r="BW160" s="207">
        <v>86216.86642767818</v>
      </c>
      <c r="BX160" s="207">
        <v>384828.58999843674</v>
      </c>
      <c r="BY160" s="207">
        <v>586699.586095908</v>
      </c>
      <c r="BZ160" s="207">
        <v>917056.1474282783</v>
      </c>
      <c r="CA160" s="207">
        <v>236083.63672031384</v>
      </c>
      <c r="CB160" s="207">
        <v>483486.1247853721</v>
      </c>
      <c r="CC160" s="207">
        <v>973.3499999999999</v>
      </c>
      <c r="CD160" s="207">
        <v>15964.159667927612</v>
      </c>
      <c r="CE160" s="207">
        <v>467424.3</v>
      </c>
      <c r="CF160" s="207">
        <v>5209860.087883361</v>
      </c>
      <c r="CG160" s="207">
        <v>3364228.3651142716</v>
      </c>
      <c r="CH160" s="207">
        <v>0</v>
      </c>
      <c r="CI160" s="207">
        <v>11062684.207626922</v>
      </c>
      <c r="CJ160" s="207">
        <v>-965486</v>
      </c>
      <c r="CK160" s="207">
        <v>0</v>
      </c>
      <c r="CL160" s="207">
        <v>0</v>
      </c>
      <c r="CM160" s="207">
        <v>-124201.99906000006</v>
      </c>
      <c r="CN160" s="207">
        <v>37283906.673785985</v>
      </c>
      <c r="CO160" s="207">
        <v>37159704.67472599</v>
      </c>
      <c r="CP160" s="207">
        <v>10889</v>
      </c>
    </row>
    <row r="161" spans="1:94" ht="9.75">
      <c r="A161" s="175">
        <v>536</v>
      </c>
      <c r="B161" s="175" t="s">
        <v>218</v>
      </c>
      <c r="C161" s="207">
        <v>33322</v>
      </c>
      <c r="D161" s="207">
        <v>114862445.86</v>
      </c>
      <c r="E161" s="207">
        <v>30952101.216882516</v>
      </c>
      <c r="F161" s="207">
        <v>4822811.489641193</v>
      </c>
      <c r="G161" s="207">
        <v>150637358.5665237</v>
      </c>
      <c r="H161" s="207">
        <v>3524.51</v>
      </c>
      <c r="I161" s="207">
        <v>117443722.22000001</v>
      </c>
      <c r="J161" s="207">
        <v>33193636.346523687</v>
      </c>
      <c r="K161" s="207">
        <v>850743.720653194</v>
      </c>
      <c r="L161" s="207">
        <v>4820130.478686197</v>
      </c>
      <c r="M161" s="207">
        <v>0</v>
      </c>
      <c r="N161" s="207">
        <v>38864510.54586308</v>
      </c>
      <c r="O161" s="207">
        <v>2367321.0385419936</v>
      </c>
      <c r="P161" s="207">
        <v>41231831.58440507</v>
      </c>
      <c r="Q161" s="207">
        <v>2297</v>
      </c>
      <c r="R161" s="207">
        <v>463</v>
      </c>
      <c r="S161" s="207">
        <v>2857</v>
      </c>
      <c r="T161" s="207">
        <v>1241</v>
      </c>
      <c r="U161" s="207">
        <v>1151</v>
      </c>
      <c r="V161" s="207">
        <v>18711</v>
      </c>
      <c r="W161" s="207">
        <v>3959</v>
      </c>
      <c r="X161" s="207">
        <v>1873</v>
      </c>
      <c r="Y161" s="207">
        <v>770</v>
      </c>
      <c r="Z161" s="207">
        <v>102</v>
      </c>
      <c r="AA161" s="207">
        <v>0</v>
      </c>
      <c r="AB161" s="207">
        <v>32397</v>
      </c>
      <c r="AC161" s="207">
        <v>823</v>
      </c>
      <c r="AD161" s="207">
        <v>6602</v>
      </c>
      <c r="AE161" s="207">
        <v>0.8195724744057841</v>
      </c>
      <c r="AF161" s="207">
        <v>30952101.216882516</v>
      </c>
      <c r="AG161" s="207">
        <v>7886097.748983719</v>
      </c>
      <c r="AH161" s="207">
        <v>1277703.8710460209</v>
      </c>
      <c r="AI161" s="207">
        <v>902406.0966681577</v>
      </c>
      <c r="AJ161" s="207">
        <v>1807</v>
      </c>
      <c r="AK161" s="207">
        <v>15970</v>
      </c>
      <c r="AL161" s="207">
        <v>0.9778618492323481</v>
      </c>
      <c r="AM161" s="207">
        <v>823</v>
      </c>
      <c r="AN161" s="207">
        <v>0.024698397455134746</v>
      </c>
      <c r="AO161" s="207">
        <v>0.019757685992684154</v>
      </c>
      <c r="AP161" s="207">
        <v>0</v>
      </c>
      <c r="AQ161" s="207">
        <v>102</v>
      </c>
      <c r="AR161" s="207">
        <v>0</v>
      </c>
      <c r="AS161" s="207">
        <v>0</v>
      </c>
      <c r="AT161" s="207">
        <v>0</v>
      </c>
      <c r="AU161" s="207">
        <v>288.28</v>
      </c>
      <c r="AV161" s="207">
        <v>115.58901068405717</v>
      </c>
      <c r="AW161" s="207">
        <v>0.15689927453458533</v>
      </c>
      <c r="AX161" s="207">
        <v>1136</v>
      </c>
      <c r="AY161" s="207">
        <v>11429</v>
      </c>
      <c r="AZ161" s="207">
        <v>0.099396272639776</v>
      </c>
      <c r="BA161" s="207">
        <v>0.03821243655554151</v>
      </c>
      <c r="BB161" s="207">
        <v>0</v>
      </c>
      <c r="BC161" s="207">
        <v>11011</v>
      </c>
      <c r="BD161" s="207">
        <v>13623</v>
      </c>
      <c r="BE161" s="207">
        <v>0.8082654334581223</v>
      </c>
      <c r="BF161" s="207">
        <v>0.3993585508670292</v>
      </c>
      <c r="BG161" s="207">
        <v>0</v>
      </c>
      <c r="BH161" s="207">
        <v>0</v>
      </c>
      <c r="BI161" s="207">
        <v>0</v>
      </c>
      <c r="BJ161" s="207">
        <v>-7997.28</v>
      </c>
      <c r="BK161" s="207">
        <v>-136620.19999999998</v>
      </c>
      <c r="BL161" s="207">
        <v>-9330.160000000002</v>
      </c>
      <c r="BM161" s="207">
        <v>-12995.58</v>
      </c>
      <c r="BN161" s="207">
        <v>-666.44</v>
      </c>
      <c r="BO161" s="207">
        <v>591491</v>
      </c>
      <c r="BP161" s="207">
        <v>-1623072.8321298852</v>
      </c>
      <c r="BQ161" s="207">
        <v>-3021972.1799999997</v>
      </c>
      <c r="BR161" s="207">
        <v>-794237.1566494778</v>
      </c>
      <c r="BS161" s="207">
        <v>2025008</v>
      </c>
      <c r="BT161" s="207">
        <v>639058</v>
      </c>
      <c r="BU161" s="207">
        <v>1293658.0277316587</v>
      </c>
      <c r="BV161" s="207">
        <v>16113.233209466209</v>
      </c>
      <c r="BW161" s="207">
        <v>29726.065003372754</v>
      </c>
      <c r="BX161" s="207">
        <v>685453.0718300026</v>
      </c>
      <c r="BY161" s="207">
        <v>1344889.1313814824</v>
      </c>
      <c r="BZ161" s="207">
        <v>2233952.074535946</v>
      </c>
      <c r="CA161" s="207">
        <v>578686.8977107815</v>
      </c>
      <c r="CB161" s="207">
        <v>1155887.2384274635</v>
      </c>
      <c r="CC161" s="207">
        <v>2998.98</v>
      </c>
      <c r="CD161" s="207">
        <v>191644.28763538686</v>
      </c>
      <c r="CE161" s="207">
        <v>1440176.8399999999</v>
      </c>
      <c r="CF161" s="207">
        <v>11434505.690816082</v>
      </c>
      <c r="CG161" s="207">
        <v>4820130.478686197</v>
      </c>
      <c r="CH161" s="207">
        <v>0</v>
      </c>
      <c r="CI161" s="207">
        <v>2367321.0385419936</v>
      </c>
      <c r="CJ161" s="207">
        <v>-2444957</v>
      </c>
      <c r="CK161" s="207">
        <v>0</v>
      </c>
      <c r="CL161" s="207">
        <v>0</v>
      </c>
      <c r="CM161" s="207">
        <v>-276943.1331999998</v>
      </c>
      <c r="CN161" s="207">
        <v>38786874.58440507</v>
      </c>
      <c r="CO161" s="207">
        <v>38509931.451205075</v>
      </c>
      <c r="CP161" s="207">
        <v>33210</v>
      </c>
    </row>
    <row r="162" spans="1:94" ht="9.75">
      <c r="A162" s="175">
        <v>538</v>
      </c>
      <c r="B162" s="175" t="s">
        <v>219</v>
      </c>
      <c r="C162" s="207">
        <v>4813</v>
      </c>
      <c r="D162" s="207">
        <v>17205068.21</v>
      </c>
      <c r="E162" s="207">
        <v>4374282.565201991</v>
      </c>
      <c r="F162" s="207">
        <v>556142.8929543673</v>
      </c>
      <c r="G162" s="207">
        <v>22135493.66815636</v>
      </c>
      <c r="H162" s="207">
        <v>3524.51</v>
      </c>
      <c r="I162" s="207">
        <v>16963466.630000003</v>
      </c>
      <c r="J162" s="207">
        <v>5172027.038156357</v>
      </c>
      <c r="K162" s="207">
        <v>13873.786971595966</v>
      </c>
      <c r="L162" s="207">
        <v>1299743.5480724368</v>
      </c>
      <c r="M162" s="207">
        <v>0</v>
      </c>
      <c r="N162" s="207">
        <v>6485644.37320039</v>
      </c>
      <c r="O162" s="207">
        <v>1824844.4087692108</v>
      </c>
      <c r="P162" s="207">
        <v>8310488.7819696</v>
      </c>
      <c r="Q162" s="207">
        <v>352</v>
      </c>
      <c r="R162" s="207">
        <v>71</v>
      </c>
      <c r="S162" s="207">
        <v>427</v>
      </c>
      <c r="T162" s="207">
        <v>185</v>
      </c>
      <c r="U162" s="207">
        <v>205</v>
      </c>
      <c r="V162" s="207">
        <v>2679</v>
      </c>
      <c r="W162" s="207">
        <v>531</v>
      </c>
      <c r="X162" s="207">
        <v>230</v>
      </c>
      <c r="Y162" s="207">
        <v>133</v>
      </c>
      <c r="Z162" s="207">
        <v>36</v>
      </c>
      <c r="AA162" s="207">
        <v>1</v>
      </c>
      <c r="AB162" s="207">
        <v>4714</v>
      </c>
      <c r="AC162" s="207">
        <v>62</v>
      </c>
      <c r="AD162" s="207">
        <v>894</v>
      </c>
      <c r="AE162" s="207">
        <v>0.8018982380209126</v>
      </c>
      <c r="AF162" s="207">
        <v>4374282.565201991</v>
      </c>
      <c r="AG162" s="207">
        <v>19429402.5974098</v>
      </c>
      <c r="AH162" s="207">
        <v>5845442.968826936</v>
      </c>
      <c r="AI162" s="207">
        <v>2001375.8975610626</v>
      </c>
      <c r="AJ162" s="207">
        <v>166</v>
      </c>
      <c r="AK162" s="207">
        <v>2393</v>
      </c>
      <c r="AL162" s="207">
        <v>0.5995006463816689</v>
      </c>
      <c r="AM162" s="207">
        <v>62</v>
      </c>
      <c r="AN162" s="207">
        <v>0.012881778516517764</v>
      </c>
      <c r="AO162" s="207">
        <v>0.00794106705406717</v>
      </c>
      <c r="AP162" s="207">
        <v>0</v>
      </c>
      <c r="AQ162" s="207">
        <v>36</v>
      </c>
      <c r="AR162" s="207">
        <v>1</v>
      </c>
      <c r="AS162" s="207">
        <v>0</v>
      </c>
      <c r="AT162" s="207">
        <v>0</v>
      </c>
      <c r="AU162" s="207">
        <v>198.98</v>
      </c>
      <c r="AV162" s="207">
        <v>24.188360639260228</v>
      </c>
      <c r="AW162" s="207">
        <v>0.7497751580180534</v>
      </c>
      <c r="AX162" s="207">
        <v>181</v>
      </c>
      <c r="AY162" s="207">
        <v>1653</v>
      </c>
      <c r="AZ162" s="207">
        <v>0.10949788263762855</v>
      </c>
      <c r="BA162" s="207">
        <v>0.04831404655339406</v>
      </c>
      <c r="BB162" s="207">
        <v>0</v>
      </c>
      <c r="BC162" s="207">
        <v>977</v>
      </c>
      <c r="BD162" s="207">
        <v>2152</v>
      </c>
      <c r="BE162" s="207">
        <v>0.45399628252788105</v>
      </c>
      <c r="BF162" s="207">
        <v>0.045089399936787955</v>
      </c>
      <c r="BG162" s="207">
        <v>0</v>
      </c>
      <c r="BH162" s="207">
        <v>1</v>
      </c>
      <c r="BI162" s="207">
        <v>0</v>
      </c>
      <c r="BJ162" s="207">
        <v>-1155.12</v>
      </c>
      <c r="BK162" s="207">
        <v>-19733.3</v>
      </c>
      <c r="BL162" s="207">
        <v>-1347.64</v>
      </c>
      <c r="BM162" s="207">
        <v>-1877.0700000000002</v>
      </c>
      <c r="BN162" s="207">
        <v>-96.26</v>
      </c>
      <c r="BO162" s="207">
        <v>-33501</v>
      </c>
      <c r="BP162" s="207">
        <v>-71667.95595712108</v>
      </c>
      <c r="BQ162" s="207">
        <v>-436490.97</v>
      </c>
      <c r="BR162" s="207">
        <v>79742.1947365161</v>
      </c>
      <c r="BS162" s="207">
        <v>391270</v>
      </c>
      <c r="BT162" s="207">
        <v>123013</v>
      </c>
      <c r="BU162" s="207">
        <v>242596.63038865852</v>
      </c>
      <c r="BV162" s="207">
        <v>3579.7945299190155</v>
      </c>
      <c r="BW162" s="207">
        <v>17659.404046923213</v>
      </c>
      <c r="BX162" s="207">
        <v>96120.12557031705</v>
      </c>
      <c r="BY162" s="207">
        <v>243463.35821764384</v>
      </c>
      <c r="BZ162" s="207">
        <v>418804.3747541638</v>
      </c>
      <c r="CA162" s="207">
        <v>102384.76512897338</v>
      </c>
      <c r="CB162" s="207">
        <v>193340.9530611128</v>
      </c>
      <c r="CC162" s="207">
        <v>433.16999999999996</v>
      </c>
      <c r="CD162" s="207">
        <v>5426.143595330752</v>
      </c>
      <c r="CE162" s="207">
        <v>208017.86</v>
      </c>
      <c r="CF162" s="207">
        <v>2092350.774029558</v>
      </c>
      <c r="CG162" s="207">
        <v>1299743.5480724368</v>
      </c>
      <c r="CH162" s="207">
        <v>0</v>
      </c>
      <c r="CI162" s="207">
        <v>1824844.4087692108</v>
      </c>
      <c r="CJ162" s="207">
        <v>509788</v>
      </c>
      <c r="CK162" s="207">
        <v>0</v>
      </c>
      <c r="CL162" s="207">
        <v>0</v>
      </c>
      <c r="CM162" s="207">
        <v>-87016.64128000003</v>
      </c>
      <c r="CN162" s="207">
        <v>8820276.7819696</v>
      </c>
      <c r="CO162" s="207">
        <v>8733260.1406896</v>
      </c>
      <c r="CP162" s="207">
        <v>4815</v>
      </c>
    </row>
    <row r="163" spans="1:94" ht="9.75">
      <c r="A163" s="175">
        <v>541</v>
      </c>
      <c r="B163" s="175" t="s">
        <v>220</v>
      </c>
      <c r="C163" s="207">
        <v>7765</v>
      </c>
      <c r="D163" s="207">
        <v>27992589.23</v>
      </c>
      <c r="E163" s="207">
        <v>15912457.104321131</v>
      </c>
      <c r="F163" s="207">
        <v>2476967.7777086375</v>
      </c>
      <c r="G163" s="207">
        <v>46382014.11202977</v>
      </c>
      <c r="H163" s="207">
        <v>3524.51</v>
      </c>
      <c r="I163" s="207">
        <v>27367820.150000002</v>
      </c>
      <c r="J163" s="207">
        <v>19014193.962029766</v>
      </c>
      <c r="K163" s="207">
        <v>1891253.61513183</v>
      </c>
      <c r="L163" s="207">
        <v>2908713.9493141924</v>
      </c>
      <c r="M163" s="207">
        <v>0</v>
      </c>
      <c r="N163" s="207">
        <v>23814161.526475787</v>
      </c>
      <c r="O163" s="207">
        <v>5979743.449347682</v>
      </c>
      <c r="P163" s="207">
        <v>29793904.97582347</v>
      </c>
      <c r="Q163" s="207">
        <v>341</v>
      </c>
      <c r="R163" s="207">
        <v>60</v>
      </c>
      <c r="S163" s="207">
        <v>399</v>
      </c>
      <c r="T163" s="207">
        <v>224</v>
      </c>
      <c r="U163" s="207">
        <v>218</v>
      </c>
      <c r="V163" s="207">
        <v>3967</v>
      </c>
      <c r="W163" s="207">
        <v>1357</v>
      </c>
      <c r="X163" s="207">
        <v>830</v>
      </c>
      <c r="Y163" s="207">
        <v>369</v>
      </c>
      <c r="Z163" s="207">
        <v>8</v>
      </c>
      <c r="AA163" s="207">
        <v>0</v>
      </c>
      <c r="AB163" s="207">
        <v>7626</v>
      </c>
      <c r="AC163" s="207">
        <v>131</v>
      </c>
      <c r="AD163" s="207">
        <v>2556</v>
      </c>
      <c r="AE163" s="207">
        <v>1.8081067731738607</v>
      </c>
      <c r="AF163" s="207">
        <v>15912457.104321131</v>
      </c>
      <c r="AG163" s="207">
        <v>40067534.127736755</v>
      </c>
      <c r="AH163" s="207">
        <v>8720566.90761721</v>
      </c>
      <c r="AI163" s="207">
        <v>4020621.2227789205</v>
      </c>
      <c r="AJ163" s="207">
        <v>507</v>
      </c>
      <c r="AK163" s="207">
        <v>3314</v>
      </c>
      <c r="AL163" s="207">
        <v>1.322146931824836</v>
      </c>
      <c r="AM163" s="207">
        <v>131</v>
      </c>
      <c r="AN163" s="207">
        <v>0.016870573084352865</v>
      </c>
      <c r="AO163" s="207">
        <v>0.011929861621902273</v>
      </c>
      <c r="AP163" s="207">
        <v>0</v>
      </c>
      <c r="AQ163" s="207">
        <v>8</v>
      </c>
      <c r="AR163" s="207">
        <v>0</v>
      </c>
      <c r="AS163" s="207">
        <v>0</v>
      </c>
      <c r="AT163" s="207">
        <v>0</v>
      </c>
      <c r="AU163" s="207">
        <v>1601.04</v>
      </c>
      <c r="AV163" s="207">
        <v>4.849972517863389</v>
      </c>
      <c r="AW163" s="207">
        <v>3.739367976560943</v>
      </c>
      <c r="AX163" s="207">
        <v>287</v>
      </c>
      <c r="AY163" s="207">
        <v>1859</v>
      </c>
      <c r="AZ163" s="207">
        <v>0.15438407746100055</v>
      </c>
      <c r="BA163" s="207">
        <v>0.09320024137676605</v>
      </c>
      <c r="BB163" s="207">
        <v>0.965</v>
      </c>
      <c r="BC163" s="207">
        <v>2705</v>
      </c>
      <c r="BD163" s="207">
        <v>2603</v>
      </c>
      <c r="BE163" s="207">
        <v>1.0391855551286977</v>
      </c>
      <c r="BF163" s="207">
        <v>0.6302786725376046</v>
      </c>
      <c r="BG163" s="207">
        <v>0</v>
      </c>
      <c r="BH163" s="207">
        <v>0</v>
      </c>
      <c r="BI163" s="207">
        <v>0</v>
      </c>
      <c r="BJ163" s="207">
        <v>-1863.6</v>
      </c>
      <c r="BK163" s="207">
        <v>-31836.499999999996</v>
      </c>
      <c r="BL163" s="207">
        <v>-2174.2000000000003</v>
      </c>
      <c r="BM163" s="207">
        <v>-3028.35</v>
      </c>
      <c r="BN163" s="207">
        <v>-155.3</v>
      </c>
      <c r="BO163" s="207">
        <v>193779</v>
      </c>
      <c r="BP163" s="207">
        <v>-218982.14403548872</v>
      </c>
      <c r="BQ163" s="207">
        <v>-704207.85</v>
      </c>
      <c r="BR163" s="207">
        <v>-89808.90800933167</v>
      </c>
      <c r="BS163" s="207">
        <v>756826</v>
      </c>
      <c r="BT163" s="207">
        <v>234773</v>
      </c>
      <c r="BU163" s="207">
        <v>639524.9180393966</v>
      </c>
      <c r="BV163" s="207">
        <v>35355.39664014255</v>
      </c>
      <c r="BW163" s="207">
        <v>112339.74465221076</v>
      </c>
      <c r="BX163" s="207">
        <v>332146.3313516602</v>
      </c>
      <c r="BY163" s="207">
        <v>434638.1382878318</v>
      </c>
      <c r="BZ163" s="207">
        <v>682224.9709488422</v>
      </c>
      <c r="CA163" s="207">
        <v>206701.51051102657</v>
      </c>
      <c r="CB163" s="207">
        <v>371216.30686383793</v>
      </c>
      <c r="CC163" s="207">
        <v>698.85</v>
      </c>
      <c r="CD163" s="207">
        <v>44796.88406406356</v>
      </c>
      <c r="CE163" s="207">
        <v>335603.3</v>
      </c>
      <c r="CF163" s="207">
        <v>4290815.443349681</v>
      </c>
      <c r="CG163" s="207">
        <v>2908713.9493141924</v>
      </c>
      <c r="CH163" s="207">
        <v>0</v>
      </c>
      <c r="CI163" s="207">
        <v>5979743.449347682</v>
      </c>
      <c r="CJ163" s="207">
        <v>-663870</v>
      </c>
      <c r="CK163" s="207">
        <v>0</v>
      </c>
      <c r="CL163" s="207">
        <v>0</v>
      </c>
      <c r="CM163" s="207">
        <v>-83162.14200000002</v>
      </c>
      <c r="CN163" s="207">
        <v>29130034.97582347</v>
      </c>
      <c r="CO163" s="207">
        <v>29046872.83382347</v>
      </c>
      <c r="CP163" s="207">
        <v>7885</v>
      </c>
    </row>
    <row r="164" spans="1:94" ht="9.75">
      <c r="A164" s="175">
        <v>543</v>
      </c>
      <c r="B164" s="175" t="s">
        <v>221</v>
      </c>
      <c r="C164" s="207">
        <v>42159</v>
      </c>
      <c r="D164" s="207">
        <v>145159570.52</v>
      </c>
      <c r="E164" s="207">
        <v>37377919.57737361</v>
      </c>
      <c r="F164" s="207">
        <v>6652475.385102363</v>
      </c>
      <c r="G164" s="207">
        <v>189189965.48247597</v>
      </c>
      <c r="H164" s="207">
        <v>3524.51</v>
      </c>
      <c r="I164" s="207">
        <v>148589817.09</v>
      </c>
      <c r="J164" s="207">
        <v>40600148.39247596</v>
      </c>
      <c r="K164" s="207">
        <v>557439.4450427758</v>
      </c>
      <c r="L164" s="207">
        <v>4580727.770718</v>
      </c>
      <c r="M164" s="207">
        <v>0</v>
      </c>
      <c r="N164" s="207">
        <v>45738315.60823674</v>
      </c>
      <c r="O164" s="207">
        <v>-6870971.015040248</v>
      </c>
      <c r="P164" s="207">
        <v>38867344.59319649</v>
      </c>
      <c r="Q164" s="207">
        <v>3126</v>
      </c>
      <c r="R164" s="207">
        <v>607</v>
      </c>
      <c r="S164" s="207">
        <v>3929</v>
      </c>
      <c r="T164" s="207">
        <v>1993</v>
      </c>
      <c r="U164" s="207">
        <v>1892</v>
      </c>
      <c r="V164" s="207">
        <v>23892</v>
      </c>
      <c r="W164" s="207">
        <v>4200</v>
      </c>
      <c r="X164" s="207">
        <v>1964</v>
      </c>
      <c r="Y164" s="207">
        <v>556</v>
      </c>
      <c r="Z164" s="207">
        <v>505</v>
      </c>
      <c r="AA164" s="207">
        <v>1</v>
      </c>
      <c r="AB164" s="207">
        <v>39891</v>
      </c>
      <c r="AC164" s="207">
        <v>1762</v>
      </c>
      <c r="AD164" s="207">
        <v>6720</v>
      </c>
      <c r="AE164" s="207">
        <v>0.7822635805388614</v>
      </c>
      <c r="AF164" s="207">
        <v>37377919.57737361</v>
      </c>
      <c r="AG164" s="207">
        <v>5462894.152935789</v>
      </c>
      <c r="AH164" s="207">
        <v>1069126.0085183678</v>
      </c>
      <c r="AI164" s="207">
        <v>607560.5403310369</v>
      </c>
      <c r="AJ164" s="207">
        <v>1374</v>
      </c>
      <c r="AK164" s="207">
        <v>21038</v>
      </c>
      <c r="AL164" s="207">
        <v>0.5644253984159737</v>
      </c>
      <c r="AM164" s="207">
        <v>1762</v>
      </c>
      <c r="AN164" s="207">
        <v>0.041794160203040866</v>
      </c>
      <c r="AO164" s="207">
        <v>0.036853448740590274</v>
      </c>
      <c r="AP164" s="207">
        <v>0</v>
      </c>
      <c r="AQ164" s="207">
        <v>505</v>
      </c>
      <c r="AR164" s="207">
        <v>1</v>
      </c>
      <c r="AS164" s="207">
        <v>0</v>
      </c>
      <c r="AT164" s="207">
        <v>0</v>
      </c>
      <c r="AU164" s="207">
        <v>361.87</v>
      </c>
      <c r="AV164" s="207">
        <v>116.5031641197115</v>
      </c>
      <c r="AW164" s="207">
        <v>0.15566814908017204</v>
      </c>
      <c r="AX164" s="207">
        <v>2129</v>
      </c>
      <c r="AY164" s="207">
        <v>14911</v>
      </c>
      <c r="AZ164" s="207">
        <v>0.1427804976192073</v>
      </c>
      <c r="BA164" s="207">
        <v>0.0815966615349728</v>
      </c>
      <c r="BB164" s="207">
        <v>0</v>
      </c>
      <c r="BC164" s="207">
        <v>12008</v>
      </c>
      <c r="BD164" s="207">
        <v>19502</v>
      </c>
      <c r="BE164" s="207">
        <v>0.6157317198236079</v>
      </c>
      <c r="BF164" s="207">
        <v>0.20682483723251477</v>
      </c>
      <c r="BG164" s="207">
        <v>0</v>
      </c>
      <c r="BH164" s="207">
        <v>1</v>
      </c>
      <c r="BI164" s="207">
        <v>0</v>
      </c>
      <c r="BJ164" s="207">
        <v>-10118.16</v>
      </c>
      <c r="BK164" s="207">
        <v>-172851.9</v>
      </c>
      <c r="BL164" s="207">
        <v>-11804.52</v>
      </c>
      <c r="BM164" s="207">
        <v>-16442.010000000002</v>
      </c>
      <c r="BN164" s="207">
        <v>-843.1800000000001</v>
      </c>
      <c r="BO164" s="207">
        <v>244629</v>
      </c>
      <c r="BP164" s="207">
        <v>-2040344.786523916</v>
      </c>
      <c r="BQ164" s="207">
        <v>-3823399.71</v>
      </c>
      <c r="BR164" s="207">
        <v>-528898.4591088146</v>
      </c>
      <c r="BS164" s="207">
        <v>2508951</v>
      </c>
      <c r="BT164" s="207">
        <v>815872</v>
      </c>
      <c r="BU164" s="207">
        <v>1541302.5968424971</v>
      </c>
      <c r="BV164" s="207">
        <v>-2689.5568037836974</v>
      </c>
      <c r="BW164" s="207">
        <v>-252744.74866968312</v>
      </c>
      <c r="BX164" s="207">
        <v>461128.2963192452</v>
      </c>
      <c r="BY164" s="207">
        <v>1697250.0701201775</v>
      </c>
      <c r="BZ164" s="207">
        <v>2641548.730693181</v>
      </c>
      <c r="CA164" s="207">
        <v>760307.2997173744</v>
      </c>
      <c r="CB164" s="207">
        <v>1322288.977590187</v>
      </c>
      <c r="CC164" s="207">
        <v>3794.31</v>
      </c>
      <c r="CD164" s="207">
        <v>-98782.32945846539</v>
      </c>
      <c r="CE164" s="207">
        <v>1822111.98</v>
      </c>
      <c r="CF164" s="207">
        <v>12936069.167241916</v>
      </c>
      <c r="CG164" s="207">
        <v>4580727.770718</v>
      </c>
      <c r="CH164" s="207">
        <v>0</v>
      </c>
      <c r="CI164" s="207">
        <v>-6870971.015040248</v>
      </c>
      <c r="CJ164" s="207">
        <v>-6573173</v>
      </c>
      <c r="CK164" s="207">
        <v>0</v>
      </c>
      <c r="CL164" s="207">
        <v>0</v>
      </c>
      <c r="CM164" s="207">
        <v>-348362.25273600017</v>
      </c>
      <c r="CN164" s="207">
        <v>32294171.59319649</v>
      </c>
      <c r="CO164" s="207">
        <v>31945809.340460487</v>
      </c>
      <c r="CP164" s="207">
        <v>42010</v>
      </c>
    </row>
    <row r="165" spans="1:94" ht="9.75">
      <c r="A165" s="175">
        <v>545</v>
      </c>
      <c r="B165" s="175" t="s">
        <v>222</v>
      </c>
      <c r="C165" s="207">
        <v>9507</v>
      </c>
      <c r="D165" s="207">
        <v>35984688.239999995</v>
      </c>
      <c r="E165" s="207">
        <v>9939060.558250785</v>
      </c>
      <c r="F165" s="207">
        <v>6237906.496905245</v>
      </c>
      <c r="G165" s="207">
        <v>52161655.295156024</v>
      </c>
      <c r="H165" s="207">
        <v>3524.51</v>
      </c>
      <c r="I165" s="207">
        <v>33507516.57</v>
      </c>
      <c r="J165" s="207">
        <v>18654138.725156024</v>
      </c>
      <c r="K165" s="207">
        <v>688197.2840460213</v>
      </c>
      <c r="L165" s="207">
        <v>4023979.415229693</v>
      </c>
      <c r="M165" s="207">
        <v>0</v>
      </c>
      <c r="N165" s="207">
        <v>23366315.424431738</v>
      </c>
      <c r="O165" s="207">
        <v>6773359.55811177</v>
      </c>
      <c r="P165" s="207">
        <v>30139674.982543506</v>
      </c>
      <c r="Q165" s="207">
        <v>589</v>
      </c>
      <c r="R165" s="207">
        <v>103</v>
      </c>
      <c r="S165" s="207">
        <v>556</v>
      </c>
      <c r="T165" s="207">
        <v>262</v>
      </c>
      <c r="U165" s="207">
        <v>265</v>
      </c>
      <c r="V165" s="207">
        <v>5029</v>
      </c>
      <c r="W165" s="207">
        <v>1346</v>
      </c>
      <c r="X165" s="207">
        <v>846</v>
      </c>
      <c r="Y165" s="207">
        <v>511</v>
      </c>
      <c r="Z165" s="207">
        <v>7642</v>
      </c>
      <c r="AA165" s="207">
        <v>0</v>
      </c>
      <c r="AB165" s="207">
        <v>518</v>
      </c>
      <c r="AC165" s="207">
        <v>1347</v>
      </c>
      <c r="AD165" s="207">
        <v>2703</v>
      </c>
      <c r="AE165" s="207">
        <v>0.9224230143868171</v>
      </c>
      <c r="AF165" s="207">
        <v>9939060.558250785</v>
      </c>
      <c r="AG165" s="207">
        <v>18518488.478513315</v>
      </c>
      <c r="AH165" s="207">
        <v>7093698.277093078</v>
      </c>
      <c r="AI165" s="207">
        <v>1438488.926372014</v>
      </c>
      <c r="AJ165" s="207">
        <v>181</v>
      </c>
      <c r="AK165" s="207">
        <v>4405</v>
      </c>
      <c r="AL165" s="207">
        <v>0.3551051153115044</v>
      </c>
      <c r="AM165" s="207">
        <v>1347</v>
      </c>
      <c r="AN165" s="207">
        <v>0.14168507415588513</v>
      </c>
      <c r="AO165" s="207">
        <v>0.13674436269343454</v>
      </c>
      <c r="AP165" s="207">
        <v>3</v>
      </c>
      <c r="AQ165" s="207">
        <v>7642</v>
      </c>
      <c r="AR165" s="207">
        <v>0</v>
      </c>
      <c r="AS165" s="207">
        <v>3</v>
      </c>
      <c r="AT165" s="207">
        <v>99</v>
      </c>
      <c r="AU165" s="207">
        <v>977.71</v>
      </c>
      <c r="AV165" s="207">
        <v>9.72374221394892</v>
      </c>
      <c r="AW165" s="207">
        <v>1.8651082599128095</v>
      </c>
      <c r="AX165" s="207">
        <v>642</v>
      </c>
      <c r="AY165" s="207">
        <v>2736</v>
      </c>
      <c r="AZ165" s="207">
        <v>0.23464912280701755</v>
      </c>
      <c r="BA165" s="207">
        <v>0.17346528672278305</v>
      </c>
      <c r="BB165" s="207">
        <v>0.152383</v>
      </c>
      <c r="BC165" s="207">
        <v>4328</v>
      </c>
      <c r="BD165" s="207">
        <v>4165</v>
      </c>
      <c r="BE165" s="207">
        <v>1.0391356542617047</v>
      </c>
      <c r="BF165" s="207">
        <v>0.6302287716706116</v>
      </c>
      <c r="BG165" s="207">
        <v>0</v>
      </c>
      <c r="BH165" s="207">
        <v>0</v>
      </c>
      <c r="BI165" s="207">
        <v>0</v>
      </c>
      <c r="BJ165" s="207">
        <v>-2281.68</v>
      </c>
      <c r="BK165" s="207">
        <v>-38978.7</v>
      </c>
      <c r="BL165" s="207">
        <v>-2661.96</v>
      </c>
      <c r="BM165" s="207">
        <v>-3707.73</v>
      </c>
      <c r="BN165" s="207">
        <v>-190.14000000000001</v>
      </c>
      <c r="BO165" s="207">
        <v>-230722</v>
      </c>
      <c r="BP165" s="207">
        <v>-45500.68390780629</v>
      </c>
      <c r="BQ165" s="207">
        <v>-862189.83</v>
      </c>
      <c r="BR165" s="207">
        <v>236161.79568575323</v>
      </c>
      <c r="BS165" s="207">
        <v>882100</v>
      </c>
      <c r="BT165" s="207">
        <v>360351</v>
      </c>
      <c r="BU165" s="207">
        <v>862960.744308594</v>
      </c>
      <c r="BV165" s="207">
        <v>51821.1785332741</v>
      </c>
      <c r="BW165" s="207">
        <v>100620.96981149455</v>
      </c>
      <c r="BX165" s="207">
        <v>341477.81833302096</v>
      </c>
      <c r="BY165" s="207">
        <v>661809.1977842076</v>
      </c>
      <c r="BZ165" s="207">
        <v>988815.4396264588</v>
      </c>
      <c r="CA165" s="207">
        <v>358380.75568269467</v>
      </c>
      <c r="CB165" s="207">
        <v>546498.5562518731</v>
      </c>
      <c r="CC165" s="207">
        <v>855.63</v>
      </c>
      <c r="CD165" s="207">
        <v>-78489.99687987202</v>
      </c>
      <c r="CE165" s="207">
        <v>410892.54</v>
      </c>
      <c r="CF165" s="207">
        <v>5493533.629137499</v>
      </c>
      <c r="CG165" s="207">
        <v>4023979.415229693</v>
      </c>
      <c r="CH165" s="207">
        <v>0</v>
      </c>
      <c r="CI165" s="207">
        <v>6773359.55811177</v>
      </c>
      <c r="CJ165" s="207">
        <v>158488</v>
      </c>
      <c r="CK165" s="207">
        <v>0</v>
      </c>
      <c r="CL165" s="207">
        <v>0</v>
      </c>
      <c r="CM165" s="207">
        <v>21120.544000000024</v>
      </c>
      <c r="CN165" s="207">
        <v>30298162.982543506</v>
      </c>
      <c r="CO165" s="207">
        <v>30319283.526543505</v>
      </c>
      <c r="CP165" s="207">
        <v>9439</v>
      </c>
    </row>
    <row r="166" spans="1:94" ht="9.75">
      <c r="A166" s="175">
        <v>560</v>
      </c>
      <c r="B166" s="175" t="s">
        <v>223</v>
      </c>
      <c r="C166" s="207">
        <v>16221</v>
      </c>
      <c r="D166" s="207">
        <v>56931039.769999996</v>
      </c>
      <c r="E166" s="207">
        <v>17546962.3468214</v>
      </c>
      <c r="F166" s="207">
        <v>3299179.1528689717</v>
      </c>
      <c r="G166" s="207">
        <v>77777181.26969036</v>
      </c>
      <c r="H166" s="207">
        <v>3524.51</v>
      </c>
      <c r="I166" s="207">
        <v>57171076.71</v>
      </c>
      <c r="J166" s="207">
        <v>20606104.559690364</v>
      </c>
      <c r="K166" s="207">
        <v>326842.04296981986</v>
      </c>
      <c r="L166" s="207">
        <v>4232783.713889215</v>
      </c>
      <c r="M166" s="207">
        <v>0</v>
      </c>
      <c r="N166" s="207">
        <v>25165730.316549398</v>
      </c>
      <c r="O166" s="207">
        <v>9368426.438043855</v>
      </c>
      <c r="P166" s="207">
        <v>34534156.75459325</v>
      </c>
      <c r="Q166" s="207">
        <v>1023</v>
      </c>
      <c r="R166" s="207">
        <v>179</v>
      </c>
      <c r="S166" s="207">
        <v>1220</v>
      </c>
      <c r="T166" s="207">
        <v>601</v>
      </c>
      <c r="U166" s="207">
        <v>535</v>
      </c>
      <c r="V166" s="207">
        <v>8746</v>
      </c>
      <c r="W166" s="207">
        <v>2310</v>
      </c>
      <c r="X166" s="207">
        <v>1125</v>
      </c>
      <c r="Y166" s="207">
        <v>482</v>
      </c>
      <c r="Z166" s="207">
        <v>99</v>
      </c>
      <c r="AA166" s="207">
        <v>3</v>
      </c>
      <c r="AB166" s="207">
        <v>15688</v>
      </c>
      <c r="AC166" s="207">
        <v>431</v>
      </c>
      <c r="AD166" s="207">
        <v>3917</v>
      </c>
      <c r="AE166" s="207">
        <v>0.9544487358079834</v>
      </c>
      <c r="AF166" s="207">
        <v>17546962.3468214</v>
      </c>
      <c r="AG166" s="207">
        <v>43962740.66481402</v>
      </c>
      <c r="AH166" s="207">
        <v>10207545.190639028</v>
      </c>
      <c r="AI166" s="207">
        <v>4789006.612021115</v>
      </c>
      <c r="AJ166" s="207">
        <v>881</v>
      </c>
      <c r="AK166" s="207">
        <v>7528</v>
      </c>
      <c r="AL166" s="207">
        <v>1.0113944456544282</v>
      </c>
      <c r="AM166" s="207">
        <v>431</v>
      </c>
      <c r="AN166" s="207">
        <v>0.02657049503729733</v>
      </c>
      <c r="AO166" s="207">
        <v>0.02162978357484674</v>
      </c>
      <c r="AP166" s="207">
        <v>0</v>
      </c>
      <c r="AQ166" s="207">
        <v>99</v>
      </c>
      <c r="AR166" s="207">
        <v>3</v>
      </c>
      <c r="AS166" s="207">
        <v>0</v>
      </c>
      <c r="AT166" s="207">
        <v>0</v>
      </c>
      <c r="AU166" s="207">
        <v>785.18</v>
      </c>
      <c r="AV166" s="207">
        <v>20.65895718179271</v>
      </c>
      <c r="AW166" s="207">
        <v>0.8778677336377169</v>
      </c>
      <c r="AX166" s="207">
        <v>823</v>
      </c>
      <c r="AY166" s="207">
        <v>5075</v>
      </c>
      <c r="AZ166" s="207">
        <v>0.16216748768472905</v>
      </c>
      <c r="BA166" s="207">
        <v>0.10098365160049455</v>
      </c>
      <c r="BB166" s="207">
        <v>0</v>
      </c>
      <c r="BC166" s="207">
        <v>4687</v>
      </c>
      <c r="BD166" s="207">
        <v>6473</v>
      </c>
      <c r="BE166" s="207">
        <v>0.7240846593542407</v>
      </c>
      <c r="BF166" s="207">
        <v>0.3151777767631476</v>
      </c>
      <c r="BG166" s="207">
        <v>0</v>
      </c>
      <c r="BH166" s="207">
        <v>3</v>
      </c>
      <c r="BI166" s="207">
        <v>0</v>
      </c>
      <c r="BJ166" s="207">
        <v>-3893.04</v>
      </c>
      <c r="BK166" s="207">
        <v>-66506.09999999999</v>
      </c>
      <c r="BL166" s="207">
        <v>-4541.88</v>
      </c>
      <c r="BM166" s="207">
        <v>-6326.1900000000005</v>
      </c>
      <c r="BN166" s="207">
        <v>-324.42</v>
      </c>
      <c r="BO166" s="207">
        <v>-142897</v>
      </c>
      <c r="BP166" s="207">
        <v>-761122.5848770273</v>
      </c>
      <c r="BQ166" s="207">
        <v>-1471082.49</v>
      </c>
      <c r="BR166" s="207">
        <v>195649.91878824774</v>
      </c>
      <c r="BS166" s="207">
        <v>1347206</v>
      </c>
      <c r="BT166" s="207">
        <v>448989</v>
      </c>
      <c r="BU166" s="207">
        <v>1044372.1029025062</v>
      </c>
      <c r="BV166" s="207">
        <v>40840.80575134025</v>
      </c>
      <c r="BW166" s="207">
        <v>25536.415548027293</v>
      </c>
      <c r="BX166" s="207">
        <v>410477.114387732</v>
      </c>
      <c r="BY166" s="207">
        <v>841468.4395644694</v>
      </c>
      <c r="BZ166" s="207">
        <v>1345148.8386893263</v>
      </c>
      <c r="CA166" s="207">
        <v>396782.1098963483</v>
      </c>
      <c r="CB166" s="207">
        <v>698393.1445233382</v>
      </c>
      <c r="CC166" s="207">
        <v>1459.8899999999999</v>
      </c>
      <c r="CD166" s="207">
        <v>69151.48871490645</v>
      </c>
      <c r="CE166" s="207">
        <v>701071.62</v>
      </c>
      <c r="CF166" s="207">
        <v>7423649.888766242</v>
      </c>
      <c r="CG166" s="207">
        <v>4232783.713889215</v>
      </c>
      <c r="CH166" s="207">
        <v>0</v>
      </c>
      <c r="CI166" s="207">
        <v>9368426.438043855</v>
      </c>
      <c r="CJ166" s="207">
        <v>-2111792</v>
      </c>
      <c r="CK166" s="207">
        <v>0</v>
      </c>
      <c r="CL166" s="207">
        <v>0</v>
      </c>
      <c r="CM166" s="207">
        <v>271887.4029799999</v>
      </c>
      <c r="CN166" s="207">
        <v>32422364.754593253</v>
      </c>
      <c r="CO166" s="207">
        <v>32694252.157573253</v>
      </c>
      <c r="CP166" s="207">
        <v>16279</v>
      </c>
    </row>
    <row r="167" spans="1:94" ht="9.75">
      <c r="A167" s="175">
        <v>561</v>
      </c>
      <c r="B167" s="175" t="s">
        <v>224</v>
      </c>
      <c r="C167" s="207">
        <v>1382</v>
      </c>
      <c r="D167" s="207">
        <v>5454205.960000001</v>
      </c>
      <c r="E167" s="207">
        <v>1533973.729042174</v>
      </c>
      <c r="F167" s="207">
        <v>354553.41761809675</v>
      </c>
      <c r="G167" s="207">
        <v>7342733.106660272</v>
      </c>
      <c r="H167" s="207">
        <v>3524.51</v>
      </c>
      <c r="I167" s="207">
        <v>4870872.82</v>
      </c>
      <c r="J167" s="207">
        <v>2471860.2866602717</v>
      </c>
      <c r="K167" s="207">
        <v>34717.1831448493</v>
      </c>
      <c r="L167" s="207">
        <v>578173.2190321494</v>
      </c>
      <c r="M167" s="207">
        <v>0</v>
      </c>
      <c r="N167" s="207">
        <v>3084750.6888372703</v>
      </c>
      <c r="O167" s="207">
        <v>1079858.5539824988</v>
      </c>
      <c r="P167" s="207">
        <v>4164609.2428197693</v>
      </c>
      <c r="Q167" s="207">
        <v>82</v>
      </c>
      <c r="R167" s="207">
        <v>12</v>
      </c>
      <c r="S167" s="207">
        <v>113</v>
      </c>
      <c r="T167" s="207">
        <v>69</v>
      </c>
      <c r="U167" s="207">
        <v>52</v>
      </c>
      <c r="V167" s="207">
        <v>702</v>
      </c>
      <c r="W167" s="207">
        <v>186</v>
      </c>
      <c r="X167" s="207">
        <v>105</v>
      </c>
      <c r="Y167" s="207">
        <v>61</v>
      </c>
      <c r="Z167" s="207">
        <v>2</v>
      </c>
      <c r="AA167" s="207">
        <v>0</v>
      </c>
      <c r="AB167" s="207">
        <v>1304</v>
      </c>
      <c r="AC167" s="207">
        <v>76</v>
      </c>
      <c r="AD167" s="207">
        <v>352</v>
      </c>
      <c r="AE167" s="207">
        <v>0.9793505376389271</v>
      </c>
      <c r="AF167" s="207">
        <v>1533973.729042174</v>
      </c>
      <c r="AG167" s="207">
        <v>13187712.908177529</v>
      </c>
      <c r="AH167" s="207">
        <v>2787513.4970903466</v>
      </c>
      <c r="AI167" s="207">
        <v>1232990.508318869</v>
      </c>
      <c r="AJ167" s="207">
        <v>42</v>
      </c>
      <c r="AK167" s="207">
        <v>596</v>
      </c>
      <c r="AL167" s="207">
        <v>0.6090140289200695</v>
      </c>
      <c r="AM167" s="207">
        <v>76</v>
      </c>
      <c r="AN167" s="207">
        <v>0.05499276410998553</v>
      </c>
      <c r="AO167" s="207">
        <v>0.050052052647534935</v>
      </c>
      <c r="AP167" s="207">
        <v>0</v>
      </c>
      <c r="AQ167" s="207">
        <v>2</v>
      </c>
      <c r="AR167" s="207">
        <v>0</v>
      </c>
      <c r="AS167" s="207">
        <v>0</v>
      </c>
      <c r="AT167" s="207">
        <v>0</v>
      </c>
      <c r="AU167" s="207">
        <v>117.61</v>
      </c>
      <c r="AV167" s="207">
        <v>11.750701470963353</v>
      </c>
      <c r="AW167" s="207">
        <v>1.5433829176337825</v>
      </c>
      <c r="AX167" s="207">
        <v>71</v>
      </c>
      <c r="AY167" s="207">
        <v>384</v>
      </c>
      <c r="AZ167" s="207">
        <v>0.18489583333333334</v>
      </c>
      <c r="BA167" s="207">
        <v>0.12371199724909884</v>
      </c>
      <c r="BB167" s="207">
        <v>0</v>
      </c>
      <c r="BC167" s="207">
        <v>433</v>
      </c>
      <c r="BD167" s="207">
        <v>540</v>
      </c>
      <c r="BE167" s="207">
        <v>0.8018518518518518</v>
      </c>
      <c r="BF167" s="207">
        <v>0.3929449692607587</v>
      </c>
      <c r="BG167" s="207">
        <v>0</v>
      </c>
      <c r="BH167" s="207">
        <v>0</v>
      </c>
      <c r="BI167" s="207">
        <v>0</v>
      </c>
      <c r="BJ167" s="207">
        <v>-331.68</v>
      </c>
      <c r="BK167" s="207">
        <v>-5666.2</v>
      </c>
      <c r="BL167" s="207">
        <v>-386.96000000000004</v>
      </c>
      <c r="BM167" s="207">
        <v>-538.98</v>
      </c>
      <c r="BN167" s="207">
        <v>-27.64</v>
      </c>
      <c r="BO167" s="207">
        <v>-16189</v>
      </c>
      <c r="BP167" s="207">
        <v>-13159.076964693937</v>
      </c>
      <c r="BQ167" s="207">
        <v>-125333.58</v>
      </c>
      <c r="BR167" s="207">
        <v>69611.57795016142</v>
      </c>
      <c r="BS167" s="207">
        <v>125388</v>
      </c>
      <c r="BT167" s="207">
        <v>47164</v>
      </c>
      <c r="BU167" s="207">
        <v>120705.51309423543</v>
      </c>
      <c r="BV167" s="207">
        <v>6912.047351031206</v>
      </c>
      <c r="BW167" s="207">
        <v>16468.420393850014</v>
      </c>
      <c r="BX167" s="207">
        <v>44923.49796783315</v>
      </c>
      <c r="BY167" s="207">
        <v>91105.93591017868</v>
      </c>
      <c r="BZ167" s="207">
        <v>127322.0639238273</v>
      </c>
      <c r="CA167" s="207">
        <v>42722.48011413476</v>
      </c>
      <c r="CB167" s="207">
        <v>69442.99291967465</v>
      </c>
      <c r="CC167" s="207">
        <v>124.38</v>
      </c>
      <c r="CD167" s="207">
        <v>-7089.873628083123</v>
      </c>
      <c r="CE167" s="207">
        <v>59730.04</v>
      </c>
      <c r="CF167" s="207">
        <v>798342.0759968434</v>
      </c>
      <c r="CG167" s="207">
        <v>578173.2190321494</v>
      </c>
      <c r="CH167" s="207">
        <v>0</v>
      </c>
      <c r="CI167" s="207">
        <v>1079858.5539824988</v>
      </c>
      <c r="CJ167" s="207">
        <v>-276068</v>
      </c>
      <c r="CK167" s="207">
        <v>0</v>
      </c>
      <c r="CL167" s="207">
        <v>0</v>
      </c>
      <c r="CM167" s="207">
        <v>-761263.6078000001</v>
      </c>
      <c r="CN167" s="207">
        <v>3888541.2428197693</v>
      </c>
      <c r="CO167" s="207">
        <v>3127277.635019769</v>
      </c>
      <c r="CP167" s="207">
        <v>1363</v>
      </c>
    </row>
    <row r="168" spans="1:94" ht="9.75">
      <c r="A168" s="175">
        <v>562</v>
      </c>
      <c r="B168" s="175" t="s">
        <v>225</v>
      </c>
      <c r="C168" s="207">
        <v>9285</v>
      </c>
      <c r="D168" s="207">
        <v>33498235.480000004</v>
      </c>
      <c r="E168" s="207">
        <v>11302108.321652679</v>
      </c>
      <c r="F168" s="207">
        <v>1727224.8437070032</v>
      </c>
      <c r="G168" s="207">
        <v>46527568.64535969</v>
      </c>
      <c r="H168" s="207">
        <v>3524.51</v>
      </c>
      <c r="I168" s="207">
        <v>32725075.35</v>
      </c>
      <c r="J168" s="207">
        <v>13802493.295359686</v>
      </c>
      <c r="K168" s="207">
        <v>238663.9958613114</v>
      </c>
      <c r="L168" s="207">
        <v>2981185.3266397174</v>
      </c>
      <c r="M168" s="207">
        <v>0</v>
      </c>
      <c r="N168" s="207">
        <v>17022342.617860712</v>
      </c>
      <c r="O168" s="207">
        <v>5775140.20005256</v>
      </c>
      <c r="P168" s="207">
        <v>22797482.81791327</v>
      </c>
      <c r="Q168" s="207">
        <v>517</v>
      </c>
      <c r="R168" s="207">
        <v>95</v>
      </c>
      <c r="S168" s="207">
        <v>632</v>
      </c>
      <c r="T168" s="207">
        <v>292</v>
      </c>
      <c r="U168" s="207">
        <v>291</v>
      </c>
      <c r="V168" s="207">
        <v>4845</v>
      </c>
      <c r="W168" s="207">
        <v>1412</v>
      </c>
      <c r="X168" s="207">
        <v>837</v>
      </c>
      <c r="Y168" s="207">
        <v>364</v>
      </c>
      <c r="Z168" s="207">
        <v>14</v>
      </c>
      <c r="AA168" s="207">
        <v>1</v>
      </c>
      <c r="AB168" s="207">
        <v>9133</v>
      </c>
      <c r="AC168" s="207">
        <v>137</v>
      </c>
      <c r="AD168" s="207">
        <v>2613</v>
      </c>
      <c r="AE168" s="207">
        <v>1.0740038655361264</v>
      </c>
      <c r="AF168" s="207">
        <v>11302108.321652679</v>
      </c>
      <c r="AG168" s="207">
        <v>22868604.071868155</v>
      </c>
      <c r="AH168" s="207">
        <v>5135775.172742588</v>
      </c>
      <c r="AI168" s="207">
        <v>2457046.302809341</v>
      </c>
      <c r="AJ168" s="207">
        <v>464</v>
      </c>
      <c r="AK168" s="207">
        <v>4127</v>
      </c>
      <c r="AL168" s="207">
        <v>0.9716453529813639</v>
      </c>
      <c r="AM168" s="207">
        <v>137</v>
      </c>
      <c r="AN168" s="207">
        <v>0.014754981152396339</v>
      </c>
      <c r="AO168" s="207">
        <v>0.009814269689945747</v>
      </c>
      <c r="AP168" s="207">
        <v>0</v>
      </c>
      <c r="AQ168" s="207">
        <v>14</v>
      </c>
      <c r="AR168" s="207">
        <v>1</v>
      </c>
      <c r="AS168" s="207">
        <v>0</v>
      </c>
      <c r="AT168" s="207">
        <v>0</v>
      </c>
      <c r="AU168" s="207">
        <v>799.65</v>
      </c>
      <c r="AV168" s="207">
        <v>11.611329956856125</v>
      </c>
      <c r="AW168" s="207">
        <v>1.5619082385812628</v>
      </c>
      <c r="AX168" s="207">
        <v>308</v>
      </c>
      <c r="AY168" s="207">
        <v>2630</v>
      </c>
      <c r="AZ168" s="207">
        <v>0.11711026615969582</v>
      </c>
      <c r="BA168" s="207">
        <v>0.055926430075461324</v>
      </c>
      <c r="BB168" s="207">
        <v>0</v>
      </c>
      <c r="BC168" s="207">
        <v>2793</v>
      </c>
      <c r="BD168" s="207">
        <v>3444</v>
      </c>
      <c r="BE168" s="207">
        <v>0.8109756097560976</v>
      </c>
      <c r="BF168" s="207">
        <v>0.4020687271650045</v>
      </c>
      <c r="BG168" s="207">
        <v>0</v>
      </c>
      <c r="BH168" s="207">
        <v>1</v>
      </c>
      <c r="BI168" s="207">
        <v>0</v>
      </c>
      <c r="BJ168" s="207">
        <v>-2228.4</v>
      </c>
      <c r="BK168" s="207">
        <v>-38068.5</v>
      </c>
      <c r="BL168" s="207">
        <v>-2599.8</v>
      </c>
      <c r="BM168" s="207">
        <v>-3621.15</v>
      </c>
      <c r="BN168" s="207">
        <v>-185.70000000000002</v>
      </c>
      <c r="BO168" s="207">
        <v>126949</v>
      </c>
      <c r="BP168" s="207">
        <v>-259217.80701385636</v>
      </c>
      <c r="BQ168" s="207">
        <v>-842056.65</v>
      </c>
      <c r="BR168" s="207">
        <v>-13207.785282626748</v>
      </c>
      <c r="BS168" s="207">
        <v>830958</v>
      </c>
      <c r="BT168" s="207">
        <v>272171</v>
      </c>
      <c r="BU168" s="207">
        <v>596253.0285823218</v>
      </c>
      <c r="BV168" s="207">
        <v>27439.14402939919</v>
      </c>
      <c r="BW168" s="207">
        <v>84570.05489581006</v>
      </c>
      <c r="BX168" s="207">
        <v>269120.68028650165</v>
      </c>
      <c r="BY168" s="207">
        <v>520355.84063226765</v>
      </c>
      <c r="BZ168" s="207">
        <v>820429.6655784594</v>
      </c>
      <c r="CA168" s="207">
        <v>233185.05735749073</v>
      </c>
      <c r="CB168" s="207">
        <v>414341.8690886583</v>
      </c>
      <c r="CC168" s="207">
        <v>835.65</v>
      </c>
      <c r="CD168" s="207">
        <v>46504.37848529253</v>
      </c>
      <c r="CE168" s="207">
        <v>401297.7</v>
      </c>
      <c r="CF168" s="207">
        <v>4631203.283653574</v>
      </c>
      <c r="CG168" s="207">
        <v>2981185.3266397174</v>
      </c>
      <c r="CH168" s="207">
        <v>0</v>
      </c>
      <c r="CI168" s="207">
        <v>5775140.20005256</v>
      </c>
      <c r="CJ168" s="207">
        <v>-589961</v>
      </c>
      <c r="CK168" s="207">
        <v>0</v>
      </c>
      <c r="CL168" s="207">
        <v>0</v>
      </c>
      <c r="CM168" s="207">
        <v>-176000.13322000002</v>
      </c>
      <c r="CN168" s="207">
        <v>22207521.81791327</v>
      </c>
      <c r="CO168" s="207">
        <v>22031521.684693273</v>
      </c>
      <c r="CP168" s="207">
        <v>9312</v>
      </c>
    </row>
    <row r="169" spans="1:94" ht="9.75">
      <c r="A169" s="175">
        <v>563</v>
      </c>
      <c r="B169" s="175" t="s">
        <v>226</v>
      </c>
      <c r="C169" s="207">
        <v>7472</v>
      </c>
      <c r="D169" s="207">
        <v>28458729.669999998</v>
      </c>
      <c r="E169" s="207">
        <v>13155504.75364582</v>
      </c>
      <c r="F169" s="207">
        <v>1236424.5676664691</v>
      </c>
      <c r="G169" s="207">
        <v>42850658.99131229</v>
      </c>
      <c r="H169" s="207">
        <v>3524.51</v>
      </c>
      <c r="I169" s="207">
        <v>26335138.720000003</v>
      </c>
      <c r="J169" s="207">
        <v>16515520.271312285</v>
      </c>
      <c r="K169" s="207">
        <v>302142.0597197135</v>
      </c>
      <c r="L169" s="207">
        <v>2043984.4687385394</v>
      </c>
      <c r="M169" s="207">
        <v>0</v>
      </c>
      <c r="N169" s="207">
        <v>18861646.79977054</v>
      </c>
      <c r="O169" s="207">
        <v>5629072.691902132</v>
      </c>
      <c r="P169" s="207">
        <v>24490719.491672672</v>
      </c>
      <c r="Q169" s="207">
        <v>501</v>
      </c>
      <c r="R169" s="207">
        <v>95</v>
      </c>
      <c r="S169" s="207">
        <v>597</v>
      </c>
      <c r="T169" s="207">
        <v>289</v>
      </c>
      <c r="U169" s="207">
        <v>345</v>
      </c>
      <c r="V169" s="207">
        <v>3788</v>
      </c>
      <c r="W169" s="207">
        <v>997</v>
      </c>
      <c r="X169" s="207">
        <v>578</v>
      </c>
      <c r="Y169" s="207">
        <v>282</v>
      </c>
      <c r="Z169" s="207">
        <v>13</v>
      </c>
      <c r="AA169" s="207">
        <v>0</v>
      </c>
      <c r="AB169" s="207">
        <v>7372</v>
      </c>
      <c r="AC169" s="207">
        <v>87</v>
      </c>
      <c r="AD169" s="207">
        <v>1857</v>
      </c>
      <c r="AE169" s="207">
        <v>1.5534559392095948</v>
      </c>
      <c r="AF169" s="207">
        <v>13155504.75364582</v>
      </c>
      <c r="AG169" s="207">
        <v>1705717.9902390277</v>
      </c>
      <c r="AH169" s="207">
        <v>489712.95923700393</v>
      </c>
      <c r="AI169" s="207">
        <v>187628.99039634963</v>
      </c>
      <c r="AJ169" s="207">
        <v>345</v>
      </c>
      <c r="AK169" s="207">
        <v>3166</v>
      </c>
      <c r="AL169" s="207">
        <v>0.9417431085231831</v>
      </c>
      <c r="AM169" s="207">
        <v>87</v>
      </c>
      <c r="AN169" s="207">
        <v>0.011643468950749464</v>
      </c>
      <c r="AO169" s="207">
        <v>0.006702757488298871</v>
      </c>
      <c r="AP169" s="207">
        <v>0</v>
      </c>
      <c r="AQ169" s="207">
        <v>13</v>
      </c>
      <c r="AR169" s="207">
        <v>0</v>
      </c>
      <c r="AS169" s="207">
        <v>0</v>
      </c>
      <c r="AT169" s="207">
        <v>0</v>
      </c>
      <c r="AU169" s="207">
        <v>587.79</v>
      </c>
      <c r="AV169" s="207">
        <v>12.712023001412069</v>
      </c>
      <c r="AW169" s="207">
        <v>1.4266676451485691</v>
      </c>
      <c r="AX169" s="207">
        <v>193</v>
      </c>
      <c r="AY169" s="207">
        <v>1936</v>
      </c>
      <c r="AZ169" s="207">
        <v>0.0996900826446281</v>
      </c>
      <c r="BA169" s="207">
        <v>0.03850624656039361</v>
      </c>
      <c r="BB169" s="207">
        <v>0</v>
      </c>
      <c r="BC169" s="207">
        <v>2816</v>
      </c>
      <c r="BD169" s="207">
        <v>2704</v>
      </c>
      <c r="BE169" s="207">
        <v>1.0414201183431953</v>
      </c>
      <c r="BF169" s="207">
        <v>0.6325132357521022</v>
      </c>
      <c r="BG169" s="207">
        <v>0</v>
      </c>
      <c r="BH169" s="207">
        <v>0</v>
      </c>
      <c r="BI169" s="207">
        <v>0</v>
      </c>
      <c r="BJ169" s="207">
        <v>-1793.28</v>
      </c>
      <c r="BK169" s="207">
        <v>-30635.199999999997</v>
      </c>
      <c r="BL169" s="207">
        <v>-2092.1600000000003</v>
      </c>
      <c r="BM169" s="207">
        <v>-2914.08</v>
      </c>
      <c r="BN169" s="207">
        <v>-149.44</v>
      </c>
      <c r="BO169" s="207">
        <v>-80932</v>
      </c>
      <c r="BP169" s="207">
        <v>-185395.98251424215</v>
      </c>
      <c r="BQ169" s="207">
        <v>-677635.6799999999</v>
      </c>
      <c r="BR169" s="207">
        <v>-140909.5184260942</v>
      </c>
      <c r="BS169" s="207">
        <v>671353</v>
      </c>
      <c r="BT169" s="207">
        <v>207901</v>
      </c>
      <c r="BU169" s="207">
        <v>489424.8735210157</v>
      </c>
      <c r="BV169" s="207">
        <v>20115.51790016979</v>
      </c>
      <c r="BW169" s="207">
        <v>47737.777973836666</v>
      </c>
      <c r="BX169" s="207">
        <v>243027.83338420675</v>
      </c>
      <c r="BY169" s="207">
        <v>383364.1612117319</v>
      </c>
      <c r="BZ169" s="207">
        <v>631795.7651160285</v>
      </c>
      <c r="CA169" s="207">
        <v>164118.53861002752</v>
      </c>
      <c r="CB169" s="207">
        <v>320445.3298210681</v>
      </c>
      <c r="CC169" s="207">
        <v>672.48</v>
      </c>
      <c r="CD169" s="207">
        <v>67556.73214079102</v>
      </c>
      <c r="CE169" s="207">
        <v>322939.83999999997</v>
      </c>
      <c r="CF169" s="207">
        <v>3348611.3312527817</v>
      </c>
      <c r="CG169" s="207">
        <v>2043984.4687385394</v>
      </c>
      <c r="CH169" s="207">
        <v>0</v>
      </c>
      <c r="CI169" s="207">
        <v>5629072.691902132</v>
      </c>
      <c r="CJ169" s="207">
        <v>-486427</v>
      </c>
      <c r="CK169" s="207">
        <v>0</v>
      </c>
      <c r="CL169" s="207">
        <v>0</v>
      </c>
      <c r="CM169" s="207">
        <v>144240.11518000002</v>
      </c>
      <c r="CN169" s="207">
        <v>24004292.491672672</v>
      </c>
      <c r="CO169" s="207">
        <v>24148532.606852673</v>
      </c>
      <c r="CP169" s="207">
        <v>7514</v>
      </c>
    </row>
    <row r="170" spans="1:94" ht="9.75">
      <c r="A170" s="175">
        <v>564</v>
      </c>
      <c r="B170" s="175" t="s">
        <v>227</v>
      </c>
      <c r="C170" s="207">
        <v>201810</v>
      </c>
      <c r="D170" s="207">
        <v>648801959.01</v>
      </c>
      <c r="E170" s="207">
        <v>224907493.22634247</v>
      </c>
      <c r="F170" s="207">
        <v>40566076.931160815</v>
      </c>
      <c r="G170" s="207">
        <v>914275529.1675032</v>
      </c>
      <c r="H170" s="207">
        <v>3524.51</v>
      </c>
      <c r="I170" s="207">
        <v>711281363.1</v>
      </c>
      <c r="J170" s="207">
        <v>202994166.0675032</v>
      </c>
      <c r="K170" s="207">
        <v>8215834.228459057</v>
      </c>
      <c r="L170" s="207">
        <v>35937075.098480694</v>
      </c>
      <c r="M170" s="207">
        <v>0</v>
      </c>
      <c r="N170" s="207">
        <v>247147075.39444298</v>
      </c>
      <c r="O170" s="207">
        <v>38159856.87229986</v>
      </c>
      <c r="P170" s="207">
        <v>285306932.2667428</v>
      </c>
      <c r="Q170" s="207">
        <v>14721</v>
      </c>
      <c r="R170" s="207">
        <v>2626</v>
      </c>
      <c r="S170" s="207">
        <v>15686</v>
      </c>
      <c r="T170" s="207">
        <v>7164</v>
      </c>
      <c r="U170" s="207">
        <v>7179</v>
      </c>
      <c r="V170" s="207">
        <v>123535</v>
      </c>
      <c r="W170" s="207">
        <v>18269</v>
      </c>
      <c r="X170" s="207">
        <v>9238</v>
      </c>
      <c r="Y170" s="207">
        <v>3392</v>
      </c>
      <c r="Z170" s="207">
        <v>470</v>
      </c>
      <c r="AA170" s="207">
        <v>127</v>
      </c>
      <c r="AB170" s="207">
        <v>193163</v>
      </c>
      <c r="AC170" s="207">
        <v>8050</v>
      </c>
      <c r="AD170" s="207">
        <v>30899</v>
      </c>
      <c r="AE170" s="207">
        <v>0.9833079033694327</v>
      </c>
      <c r="AF170" s="207">
        <v>224907493.22634247</v>
      </c>
      <c r="AG170" s="207">
        <v>14147681.613926759</v>
      </c>
      <c r="AH170" s="207">
        <v>3634401.534459121</v>
      </c>
      <c r="AI170" s="207">
        <v>1224055.7944904715</v>
      </c>
      <c r="AJ170" s="207">
        <v>14398</v>
      </c>
      <c r="AK170" s="207">
        <v>96803</v>
      </c>
      <c r="AL170" s="207">
        <v>1.2853979970812426</v>
      </c>
      <c r="AM170" s="207">
        <v>8050</v>
      </c>
      <c r="AN170" s="207">
        <v>0.03988900450919181</v>
      </c>
      <c r="AO170" s="207">
        <v>0.03494829304674122</v>
      </c>
      <c r="AP170" s="207">
        <v>0</v>
      </c>
      <c r="AQ170" s="207">
        <v>470</v>
      </c>
      <c r="AR170" s="207">
        <v>127</v>
      </c>
      <c r="AS170" s="207">
        <v>0</v>
      </c>
      <c r="AT170" s="207">
        <v>0</v>
      </c>
      <c r="AU170" s="207">
        <v>2970.97</v>
      </c>
      <c r="AV170" s="207">
        <v>67.92730993581222</v>
      </c>
      <c r="AW170" s="207">
        <v>0.266988814037188</v>
      </c>
      <c r="AX170" s="207">
        <v>5787</v>
      </c>
      <c r="AY170" s="207">
        <v>64936</v>
      </c>
      <c r="AZ170" s="207">
        <v>0.08911851669335961</v>
      </c>
      <c r="BA170" s="207">
        <v>0.027934680609125122</v>
      </c>
      <c r="BB170" s="207">
        <v>0</v>
      </c>
      <c r="BC170" s="207">
        <v>85288</v>
      </c>
      <c r="BD170" s="207">
        <v>81560</v>
      </c>
      <c r="BE170" s="207">
        <v>1.045708680725846</v>
      </c>
      <c r="BF170" s="207">
        <v>0.6368017981347529</v>
      </c>
      <c r="BG170" s="207">
        <v>0</v>
      </c>
      <c r="BH170" s="207">
        <v>127</v>
      </c>
      <c r="BI170" s="207">
        <v>0</v>
      </c>
      <c r="BJ170" s="207">
        <v>-48434.4</v>
      </c>
      <c r="BK170" s="207">
        <v>-827420.9999999999</v>
      </c>
      <c r="BL170" s="207">
        <v>-56506.8</v>
      </c>
      <c r="BM170" s="207">
        <v>-78705.90000000001</v>
      </c>
      <c r="BN170" s="207">
        <v>-4036.2000000000003</v>
      </c>
      <c r="BO170" s="207">
        <v>2164676</v>
      </c>
      <c r="BP170" s="207">
        <v>-12436156.423330827</v>
      </c>
      <c r="BQ170" s="207">
        <v>-18302148.9</v>
      </c>
      <c r="BR170" s="207">
        <v>-1916537.577849215</v>
      </c>
      <c r="BS170" s="207">
        <v>11522544</v>
      </c>
      <c r="BT170" s="207">
        <v>4098255</v>
      </c>
      <c r="BU170" s="207">
        <v>9979124.861138187</v>
      </c>
      <c r="BV170" s="207">
        <v>334871.9485142128</v>
      </c>
      <c r="BW170" s="207">
        <v>2477521.5332884975</v>
      </c>
      <c r="BX170" s="207">
        <v>4353592.101941553</v>
      </c>
      <c r="BY170" s="207">
        <v>9470918.065931553</v>
      </c>
      <c r="BZ170" s="207">
        <v>12734337.278607612</v>
      </c>
      <c r="CA170" s="207">
        <v>4651088.988378025</v>
      </c>
      <c r="CB170" s="207">
        <v>8066328.4418830965</v>
      </c>
      <c r="CC170" s="207">
        <v>18162.899999999998</v>
      </c>
      <c r="CD170" s="207">
        <v>1925239.6799779816</v>
      </c>
      <c r="CE170" s="207">
        <v>8722228.2</v>
      </c>
      <c r="CF170" s="207">
        <v>78602351.42181152</v>
      </c>
      <c r="CG170" s="207">
        <v>35937075.098480694</v>
      </c>
      <c r="CH170" s="207">
        <v>0</v>
      </c>
      <c r="CI170" s="207">
        <v>38159856.87229986</v>
      </c>
      <c r="CJ170" s="207">
        <v>-6228023</v>
      </c>
      <c r="CK170" s="207">
        <v>0</v>
      </c>
      <c r="CL170" s="207">
        <v>0</v>
      </c>
      <c r="CM170" s="207">
        <v>-11022947.877101999</v>
      </c>
      <c r="CN170" s="207">
        <v>279078909.2667428</v>
      </c>
      <c r="CO170" s="207">
        <v>268055961.3896408</v>
      </c>
      <c r="CP170" s="207">
        <v>200526</v>
      </c>
    </row>
    <row r="171" spans="1:94" ht="9.75">
      <c r="A171" s="175">
        <v>309</v>
      </c>
      <c r="B171" s="175" t="s">
        <v>228</v>
      </c>
      <c r="C171" s="207">
        <v>7003</v>
      </c>
      <c r="D171" s="207">
        <v>24199071.37</v>
      </c>
      <c r="E171" s="207">
        <v>11506064.879771039</v>
      </c>
      <c r="F171" s="207">
        <v>1888119.4014036928</v>
      </c>
      <c r="G171" s="207">
        <v>37593255.65117474</v>
      </c>
      <c r="H171" s="207">
        <v>3524.51</v>
      </c>
      <c r="I171" s="207">
        <v>24682143.53</v>
      </c>
      <c r="J171" s="207">
        <v>12911112.121174738</v>
      </c>
      <c r="K171" s="207">
        <v>371786.9699808727</v>
      </c>
      <c r="L171" s="207">
        <v>1805710.4542381798</v>
      </c>
      <c r="M171" s="207">
        <v>0</v>
      </c>
      <c r="N171" s="207">
        <v>15088609.545393791</v>
      </c>
      <c r="O171" s="207">
        <v>6236458.52385006</v>
      </c>
      <c r="P171" s="207">
        <v>21325068.069243852</v>
      </c>
      <c r="Q171" s="207">
        <v>383</v>
      </c>
      <c r="R171" s="207">
        <v>80</v>
      </c>
      <c r="S171" s="207">
        <v>430</v>
      </c>
      <c r="T171" s="207">
        <v>176</v>
      </c>
      <c r="U171" s="207">
        <v>234</v>
      </c>
      <c r="V171" s="207">
        <v>3671</v>
      </c>
      <c r="W171" s="207">
        <v>1165</v>
      </c>
      <c r="X171" s="207">
        <v>607</v>
      </c>
      <c r="Y171" s="207">
        <v>257</v>
      </c>
      <c r="Z171" s="207">
        <v>10</v>
      </c>
      <c r="AA171" s="207">
        <v>0</v>
      </c>
      <c r="AB171" s="207">
        <v>6731</v>
      </c>
      <c r="AC171" s="207">
        <v>262</v>
      </c>
      <c r="AD171" s="207">
        <v>2029</v>
      </c>
      <c r="AE171" s="207">
        <v>1.4496761014322392</v>
      </c>
      <c r="AF171" s="207">
        <v>11506064.879771039</v>
      </c>
      <c r="AG171" s="207">
        <v>34447512.52023069</v>
      </c>
      <c r="AH171" s="207">
        <v>6063617.734862355</v>
      </c>
      <c r="AI171" s="207">
        <v>3815122.8047257755</v>
      </c>
      <c r="AJ171" s="207">
        <v>478</v>
      </c>
      <c r="AK171" s="207">
        <v>2768</v>
      </c>
      <c r="AL171" s="207">
        <v>1.4924028753008944</v>
      </c>
      <c r="AM171" s="207">
        <v>262</v>
      </c>
      <c r="AN171" s="207">
        <v>0.03741253748393546</v>
      </c>
      <c r="AO171" s="207">
        <v>0.032471826021484865</v>
      </c>
      <c r="AP171" s="207">
        <v>0</v>
      </c>
      <c r="AQ171" s="207">
        <v>10</v>
      </c>
      <c r="AR171" s="207">
        <v>0</v>
      </c>
      <c r="AS171" s="207">
        <v>0</v>
      </c>
      <c r="AT171" s="207">
        <v>0</v>
      </c>
      <c r="AU171" s="207">
        <v>445.81</v>
      </c>
      <c r="AV171" s="207">
        <v>15.708485677755098</v>
      </c>
      <c r="AW171" s="207">
        <v>1.1545245221301812</v>
      </c>
      <c r="AX171" s="207">
        <v>249</v>
      </c>
      <c r="AY171" s="207">
        <v>1740</v>
      </c>
      <c r="AZ171" s="207">
        <v>0.14310344827586208</v>
      </c>
      <c r="BA171" s="207">
        <v>0.08191961219162758</v>
      </c>
      <c r="BB171" s="207">
        <v>0.0478</v>
      </c>
      <c r="BC171" s="207">
        <v>2366</v>
      </c>
      <c r="BD171" s="207">
        <v>2187</v>
      </c>
      <c r="BE171" s="207">
        <v>1.0818472793781435</v>
      </c>
      <c r="BF171" s="207">
        <v>0.6729403967870504</v>
      </c>
      <c r="BG171" s="207">
        <v>0</v>
      </c>
      <c r="BH171" s="207">
        <v>0</v>
      </c>
      <c r="BI171" s="207">
        <v>0</v>
      </c>
      <c r="BJ171" s="207">
        <v>-1680.72</v>
      </c>
      <c r="BK171" s="207">
        <v>-28712.3</v>
      </c>
      <c r="BL171" s="207">
        <v>-1960.8400000000001</v>
      </c>
      <c r="BM171" s="207">
        <v>-2731.17</v>
      </c>
      <c r="BN171" s="207">
        <v>-140.06</v>
      </c>
      <c r="BO171" s="207">
        <v>-98614</v>
      </c>
      <c r="BP171" s="207">
        <v>-637974.2145581564</v>
      </c>
      <c r="BQ171" s="207">
        <v>-635102.07</v>
      </c>
      <c r="BR171" s="207">
        <v>145432.3681433089</v>
      </c>
      <c r="BS171" s="207">
        <v>623638</v>
      </c>
      <c r="BT171" s="207">
        <v>194928</v>
      </c>
      <c r="BU171" s="207">
        <v>495129.1066012289</v>
      </c>
      <c r="BV171" s="207">
        <v>27465.201518653055</v>
      </c>
      <c r="BW171" s="207">
        <v>76620.8839905472</v>
      </c>
      <c r="BX171" s="207">
        <v>277622.93648706295</v>
      </c>
      <c r="BY171" s="207">
        <v>355298.1467629101</v>
      </c>
      <c r="BZ171" s="207">
        <v>580213.7405274005</v>
      </c>
      <c r="CA171" s="207">
        <v>153037.84529078787</v>
      </c>
      <c r="CB171" s="207">
        <v>309166.59218559414</v>
      </c>
      <c r="CC171" s="207">
        <v>630.27</v>
      </c>
      <c r="CD171" s="207">
        <v>49425.28728884207</v>
      </c>
      <c r="CE171" s="207">
        <v>302669.66</v>
      </c>
      <c r="CF171" s="207">
        <v>3492664.038796336</v>
      </c>
      <c r="CG171" s="207">
        <v>1805710.4542381798</v>
      </c>
      <c r="CH171" s="207">
        <v>0</v>
      </c>
      <c r="CI171" s="207">
        <v>6236458.52385006</v>
      </c>
      <c r="CJ171" s="207">
        <v>-677603</v>
      </c>
      <c r="CK171" s="207">
        <v>0</v>
      </c>
      <c r="CL171" s="207">
        <v>0</v>
      </c>
      <c r="CM171" s="207">
        <v>-26387.479659999983</v>
      </c>
      <c r="CN171" s="207">
        <v>20647465.069243852</v>
      </c>
      <c r="CO171" s="207">
        <v>20621077.58958385</v>
      </c>
      <c r="CP171" s="207">
        <v>7091</v>
      </c>
    </row>
    <row r="172" spans="1:94" ht="9.75">
      <c r="A172" s="175">
        <v>576</v>
      </c>
      <c r="B172" s="175" t="s">
        <v>229</v>
      </c>
      <c r="C172" s="207">
        <v>3027</v>
      </c>
      <c r="D172" s="207">
        <v>11239824.459999999</v>
      </c>
      <c r="E172" s="207">
        <v>4823960.747946348</v>
      </c>
      <c r="F172" s="207">
        <v>819001.8617556829</v>
      </c>
      <c r="G172" s="207">
        <v>16882787.06970203</v>
      </c>
      <c r="H172" s="207">
        <v>3524.51</v>
      </c>
      <c r="I172" s="207">
        <v>10668691.770000001</v>
      </c>
      <c r="J172" s="207">
        <v>6214095.299702028</v>
      </c>
      <c r="K172" s="207">
        <v>327108.98938647745</v>
      </c>
      <c r="L172" s="207">
        <v>1192302.4975004566</v>
      </c>
      <c r="M172" s="207">
        <v>0</v>
      </c>
      <c r="N172" s="207">
        <v>7733506.786588962</v>
      </c>
      <c r="O172" s="207">
        <v>2066267.675964269</v>
      </c>
      <c r="P172" s="207">
        <v>9799774.462553231</v>
      </c>
      <c r="Q172" s="207">
        <v>96</v>
      </c>
      <c r="R172" s="207">
        <v>24</v>
      </c>
      <c r="S172" s="207">
        <v>149</v>
      </c>
      <c r="T172" s="207">
        <v>85</v>
      </c>
      <c r="U172" s="207">
        <v>87</v>
      </c>
      <c r="V172" s="207">
        <v>1437</v>
      </c>
      <c r="W172" s="207">
        <v>627</v>
      </c>
      <c r="X172" s="207">
        <v>355</v>
      </c>
      <c r="Y172" s="207">
        <v>167</v>
      </c>
      <c r="Z172" s="207">
        <v>11</v>
      </c>
      <c r="AA172" s="207">
        <v>0</v>
      </c>
      <c r="AB172" s="207">
        <v>2971</v>
      </c>
      <c r="AC172" s="207">
        <v>45</v>
      </c>
      <c r="AD172" s="207">
        <v>1149</v>
      </c>
      <c r="AE172" s="207">
        <v>1.40611108368133</v>
      </c>
      <c r="AF172" s="207">
        <v>4823960.747946348</v>
      </c>
      <c r="AG172" s="207">
        <v>15099314.029019222</v>
      </c>
      <c r="AH172" s="207">
        <v>4896007.373814695</v>
      </c>
      <c r="AI172" s="207">
        <v>1581444.3476263757</v>
      </c>
      <c r="AJ172" s="207">
        <v>153</v>
      </c>
      <c r="AK172" s="207">
        <v>1231</v>
      </c>
      <c r="AL172" s="207">
        <v>1.0741319730216103</v>
      </c>
      <c r="AM172" s="207">
        <v>45</v>
      </c>
      <c r="AN172" s="207">
        <v>0.014866204162537165</v>
      </c>
      <c r="AO172" s="207">
        <v>0.009925492700086573</v>
      </c>
      <c r="AP172" s="207">
        <v>0</v>
      </c>
      <c r="AQ172" s="207">
        <v>11</v>
      </c>
      <c r="AR172" s="207">
        <v>0</v>
      </c>
      <c r="AS172" s="207">
        <v>0</v>
      </c>
      <c r="AT172" s="207">
        <v>0</v>
      </c>
      <c r="AU172" s="207">
        <v>523.12</v>
      </c>
      <c r="AV172" s="207">
        <v>5.786435234745374</v>
      </c>
      <c r="AW172" s="207">
        <v>3.1341976855802565</v>
      </c>
      <c r="AX172" s="207">
        <v>105</v>
      </c>
      <c r="AY172" s="207">
        <v>675</v>
      </c>
      <c r="AZ172" s="207">
        <v>0.15555555555555556</v>
      </c>
      <c r="BA172" s="207">
        <v>0.09437171947132106</v>
      </c>
      <c r="BB172" s="207">
        <v>0.405533</v>
      </c>
      <c r="BC172" s="207">
        <v>773</v>
      </c>
      <c r="BD172" s="207">
        <v>1013</v>
      </c>
      <c r="BE172" s="207">
        <v>0.7630799605133267</v>
      </c>
      <c r="BF172" s="207">
        <v>0.3541730779222336</v>
      </c>
      <c r="BG172" s="207">
        <v>0</v>
      </c>
      <c r="BH172" s="207">
        <v>0</v>
      </c>
      <c r="BI172" s="207">
        <v>0</v>
      </c>
      <c r="BJ172" s="207">
        <v>-726.48</v>
      </c>
      <c r="BK172" s="207">
        <v>-12410.699999999999</v>
      </c>
      <c r="BL172" s="207">
        <v>-847.5600000000001</v>
      </c>
      <c r="BM172" s="207">
        <v>-1180.53</v>
      </c>
      <c r="BN172" s="207">
        <v>-60.54</v>
      </c>
      <c r="BO172" s="207">
        <v>39631</v>
      </c>
      <c r="BP172" s="207">
        <v>-84388.10556805399</v>
      </c>
      <c r="BQ172" s="207">
        <v>-274518.63</v>
      </c>
      <c r="BR172" s="207">
        <v>31367.59674635902</v>
      </c>
      <c r="BS172" s="207">
        <v>333500</v>
      </c>
      <c r="BT172" s="207">
        <v>98579</v>
      </c>
      <c r="BU172" s="207">
        <v>244053.0007171452</v>
      </c>
      <c r="BV172" s="207">
        <v>13893.435066114844</v>
      </c>
      <c r="BW172" s="207">
        <v>51242.601931801124</v>
      </c>
      <c r="BX172" s="207">
        <v>118125.36311008477</v>
      </c>
      <c r="BY172" s="207">
        <v>174574.08487837674</v>
      </c>
      <c r="BZ172" s="207">
        <v>280874.32813366747</v>
      </c>
      <c r="CA172" s="207">
        <v>88419.75061236676</v>
      </c>
      <c r="CB172" s="207">
        <v>148608.44923375346</v>
      </c>
      <c r="CC172" s="207">
        <v>272.43</v>
      </c>
      <c r="CD172" s="207">
        <v>-23863.047361158522</v>
      </c>
      <c r="CE172" s="207">
        <v>130826.94</v>
      </c>
      <c r="CF172" s="207">
        <v>1730104.9330685106</v>
      </c>
      <c r="CG172" s="207">
        <v>1192302.4975004566</v>
      </c>
      <c r="CH172" s="207">
        <v>0</v>
      </c>
      <c r="CI172" s="207">
        <v>2066267.675964269</v>
      </c>
      <c r="CJ172" s="207">
        <v>-316340</v>
      </c>
      <c r="CK172" s="207">
        <v>0</v>
      </c>
      <c r="CL172" s="207">
        <v>0</v>
      </c>
      <c r="CM172" s="207">
        <v>-35297.70916</v>
      </c>
      <c r="CN172" s="207">
        <v>9483434.462553231</v>
      </c>
      <c r="CO172" s="207">
        <v>9448136.753393231</v>
      </c>
      <c r="CP172" s="207">
        <v>3073</v>
      </c>
    </row>
    <row r="173" spans="1:94" ht="9.75">
      <c r="A173" s="175">
        <v>577</v>
      </c>
      <c r="B173" s="175" t="s">
        <v>230</v>
      </c>
      <c r="C173" s="207">
        <v>10730</v>
      </c>
      <c r="D173" s="207">
        <v>37297421.33</v>
      </c>
      <c r="E173" s="207">
        <v>9874864.946185429</v>
      </c>
      <c r="F173" s="207">
        <v>1275762.3668118587</v>
      </c>
      <c r="G173" s="207">
        <v>48448048.64299728</v>
      </c>
      <c r="H173" s="207">
        <v>3524.51</v>
      </c>
      <c r="I173" s="207">
        <v>37817992.300000004</v>
      </c>
      <c r="J173" s="207">
        <v>10630056.342997275</v>
      </c>
      <c r="K173" s="207">
        <v>185187.27631330432</v>
      </c>
      <c r="L173" s="207">
        <v>2033835.8516479079</v>
      </c>
      <c r="M173" s="207">
        <v>0</v>
      </c>
      <c r="N173" s="207">
        <v>12849079.470958488</v>
      </c>
      <c r="O173" s="207">
        <v>1879078.540478612</v>
      </c>
      <c r="P173" s="207">
        <v>14728158.0114371</v>
      </c>
      <c r="Q173" s="207">
        <v>809</v>
      </c>
      <c r="R173" s="207">
        <v>143</v>
      </c>
      <c r="S173" s="207">
        <v>849</v>
      </c>
      <c r="T173" s="207">
        <v>388</v>
      </c>
      <c r="U173" s="207">
        <v>354</v>
      </c>
      <c r="V173" s="207">
        <v>5939</v>
      </c>
      <c r="W173" s="207">
        <v>1383</v>
      </c>
      <c r="X173" s="207">
        <v>593</v>
      </c>
      <c r="Y173" s="207">
        <v>272</v>
      </c>
      <c r="Z173" s="207">
        <v>106</v>
      </c>
      <c r="AA173" s="207">
        <v>1</v>
      </c>
      <c r="AB173" s="207">
        <v>10381</v>
      </c>
      <c r="AC173" s="207">
        <v>242</v>
      </c>
      <c r="AD173" s="207">
        <v>2248</v>
      </c>
      <c r="AE173" s="207">
        <v>0.8120069192146686</v>
      </c>
      <c r="AF173" s="207">
        <v>9874864.946185429</v>
      </c>
      <c r="AG173" s="207">
        <v>281752376.116127</v>
      </c>
      <c r="AH173" s="207">
        <v>54765542.50808874</v>
      </c>
      <c r="AI173" s="207">
        <v>34630950.7988691</v>
      </c>
      <c r="AJ173" s="207">
        <v>358</v>
      </c>
      <c r="AK173" s="207">
        <v>5088</v>
      </c>
      <c r="AL173" s="207">
        <v>0.6080792589595378</v>
      </c>
      <c r="AM173" s="207">
        <v>242</v>
      </c>
      <c r="AN173" s="207">
        <v>0.02255358807082945</v>
      </c>
      <c r="AO173" s="207">
        <v>0.017612876608378857</v>
      </c>
      <c r="AP173" s="207">
        <v>0</v>
      </c>
      <c r="AQ173" s="207">
        <v>106</v>
      </c>
      <c r="AR173" s="207">
        <v>1</v>
      </c>
      <c r="AS173" s="207">
        <v>0</v>
      </c>
      <c r="AT173" s="207">
        <v>0</v>
      </c>
      <c r="AU173" s="207">
        <v>238.39</v>
      </c>
      <c r="AV173" s="207">
        <v>45.01027727673141</v>
      </c>
      <c r="AW173" s="207">
        <v>0.40292646519363995</v>
      </c>
      <c r="AX173" s="207">
        <v>366</v>
      </c>
      <c r="AY173" s="207">
        <v>3555</v>
      </c>
      <c r="AZ173" s="207">
        <v>0.1029535864978903</v>
      </c>
      <c r="BA173" s="207">
        <v>0.041769750413655805</v>
      </c>
      <c r="BB173" s="207">
        <v>0</v>
      </c>
      <c r="BC173" s="207">
        <v>3152</v>
      </c>
      <c r="BD173" s="207">
        <v>4643</v>
      </c>
      <c r="BE173" s="207">
        <v>0.6788714193409433</v>
      </c>
      <c r="BF173" s="207">
        <v>0.2699645367498502</v>
      </c>
      <c r="BG173" s="207">
        <v>0</v>
      </c>
      <c r="BH173" s="207">
        <v>1</v>
      </c>
      <c r="BI173" s="207">
        <v>0</v>
      </c>
      <c r="BJ173" s="207">
        <v>-2575.2</v>
      </c>
      <c r="BK173" s="207">
        <v>-43992.99999999999</v>
      </c>
      <c r="BL173" s="207">
        <v>-3004.4</v>
      </c>
      <c r="BM173" s="207">
        <v>-4184.7</v>
      </c>
      <c r="BN173" s="207">
        <v>-214.6</v>
      </c>
      <c r="BO173" s="207">
        <v>-100689</v>
      </c>
      <c r="BP173" s="207">
        <v>-487573.5230766114</v>
      </c>
      <c r="BQ173" s="207">
        <v>-973103.7</v>
      </c>
      <c r="BR173" s="207">
        <v>95634.59417682327</v>
      </c>
      <c r="BS173" s="207">
        <v>715882</v>
      </c>
      <c r="BT173" s="207">
        <v>239696</v>
      </c>
      <c r="BU173" s="207">
        <v>484639.5318536193</v>
      </c>
      <c r="BV173" s="207">
        <v>8500.406288134975</v>
      </c>
      <c r="BW173" s="207">
        <v>9666.312235117239</v>
      </c>
      <c r="BX173" s="207">
        <v>210520.21530560398</v>
      </c>
      <c r="BY173" s="207">
        <v>502854.84421210585</v>
      </c>
      <c r="BZ173" s="207">
        <v>843472.5388440933</v>
      </c>
      <c r="CA173" s="207">
        <v>240276.306378402</v>
      </c>
      <c r="CB173" s="207">
        <v>418130.20248973597</v>
      </c>
      <c r="CC173" s="207">
        <v>965.6999999999999</v>
      </c>
      <c r="CD173" s="207">
        <v>-4644.177059116657</v>
      </c>
      <c r="CE173" s="207">
        <v>463750.6</v>
      </c>
      <c r="CF173" s="207">
        <v>4128656.074724519</v>
      </c>
      <c r="CG173" s="207">
        <v>2033835.8516479079</v>
      </c>
      <c r="CH173" s="207">
        <v>0</v>
      </c>
      <c r="CI173" s="207">
        <v>1879078.540478612</v>
      </c>
      <c r="CJ173" s="207">
        <v>-404068</v>
      </c>
      <c r="CK173" s="207">
        <v>0</v>
      </c>
      <c r="CL173" s="207">
        <v>0</v>
      </c>
      <c r="CM173" s="207">
        <v>51085.31579999998</v>
      </c>
      <c r="CN173" s="207">
        <v>14324090.0114371</v>
      </c>
      <c r="CO173" s="207">
        <v>14375175.3272371</v>
      </c>
      <c r="CP173" s="207">
        <v>10713</v>
      </c>
    </row>
    <row r="174" spans="1:94" ht="9.75">
      <c r="A174" s="175">
        <v>578</v>
      </c>
      <c r="B174" s="175" t="s">
        <v>231</v>
      </c>
      <c r="C174" s="207">
        <v>3435</v>
      </c>
      <c r="D174" s="207">
        <v>12139430.15</v>
      </c>
      <c r="E174" s="207">
        <v>6723974.909055819</v>
      </c>
      <c r="F174" s="207">
        <v>1215249.3201826815</v>
      </c>
      <c r="G174" s="207">
        <v>20078654.3792385</v>
      </c>
      <c r="H174" s="207">
        <v>3524.51</v>
      </c>
      <c r="I174" s="207">
        <v>12106691.850000001</v>
      </c>
      <c r="J174" s="207">
        <v>7971962.5292385</v>
      </c>
      <c r="K174" s="207">
        <v>161635.58935211206</v>
      </c>
      <c r="L174" s="207">
        <v>1438941.2319301274</v>
      </c>
      <c r="M174" s="207">
        <v>0</v>
      </c>
      <c r="N174" s="207">
        <v>9572539.35052074</v>
      </c>
      <c r="O174" s="207">
        <v>3332331.271200176</v>
      </c>
      <c r="P174" s="207">
        <v>12904870.621720916</v>
      </c>
      <c r="Q174" s="207">
        <v>144</v>
      </c>
      <c r="R174" s="207">
        <v>31</v>
      </c>
      <c r="S174" s="207">
        <v>211</v>
      </c>
      <c r="T174" s="207">
        <v>103</v>
      </c>
      <c r="U174" s="207">
        <v>116</v>
      </c>
      <c r="V174" s="207">
        <v>1786</v>
      </c>
      <c r="W174" s="207">
        <v>573</v>
      </c>
      <c r="X174" s="207">
        <v>327</v>
      </c>
      <c r="Y174" s="207">
        <v>144</v>
      </c>
      <c r="Z174" s="207">
        <v>1</v>
      </c>
      <c r="AA174" s="207">
        <v>0</v>
      </c>
      <c r="AB174" s="207">
        <v>3383</v>
      </c>
      <c r="AC174" s="207">
        <v>51</v>
      </c>
      <c r="AD174" s="207">
        <v>1044</v>
      </c>
      <c r="AE174" s="207">
        <v>1.72714034824787</v>
      </c>
      <c r="AF174" s="207">
        <v>6723974.909055819</v>
      </c>
      <c r="AG174" s="207">
        <v>6320469.2965543475</v>
      </c>
      <c r="AH174" s="207">
        <v>1717265.2700166355</v>
      </c>
      <c r="AI174" s="207">
        <v>428866.26376308483</v>
      </c>
      <c r="AJ174" s="207">
        <v>213</v>
      </c>
      <c r="AK174" s="207">
        <v>1343</v>
      </c>
      <c r="AL174" s="207">
        <v>1.3706540606202353</v>
      </c>
      <c r="AM174" s="207">
        <v>51</v>
      </c>
      <c r="AN174" s="207">
        <v>0.014847161572052401</v>
      </c>
      <c r="AO174" s="207">
        <v>0.009906450109601807</v>
      </c>
      <c r="AP174" s="207">
        <v>0</v>
      </c>
      <c r="AQ174" s="207">
        <v>1</v>
      </c>
      <c r="AR174" s="207">
        <v>0</v>
      </c>
      <c r="AS174" s="207">
        <v>0</v>
      </c>
      <c r="AT174" s="207">
        <v>0</v>
      </c>
      <c r="AU174" s="207">
        <v>918.23</v>
      </c>
      <c r="AV174" s="207">
        <v>3.740892804635004</v>
      </c>
      <c r="AW174" s="207">
        <v>4.847995616989752</v>
      </c>
      <c r="AX174" s="207">
        <v>114</v>
      </c>
      <c r="AY174" s="207">
        <v>854</v>
      </c>
      <c r="AZ174" s="207">
        <v>0.13348946135831383</v>
      </c>
      <c r="BA174" s="207">
        <v>0.07230562527407933</v>
      </c>
      <c r="BB174" s="207">
        <v>0.094216</v>
      </c>
      <c r="BC174" s="207">
        <v>933</v>
      </c>
      <c r="BD174" s="207">
        <v>1118</v>
      </c>
      <c r="BE174" s="207">
        <v>0.8345259391771019</v>
      </c>
      <c r="BF174" s="207">
        <v>0.42561905658600885</v>
      </c>
      <c r="BG174" s="207">
        <v>0</v>
      </c>
      <c r="BH174" s="207">
        <v>0</v>
      </c>
      <c r="BI174" s="207">
        <v>0</v>
      </c>
      <c r="BJ174" s="207">
        <v>-824.4</v>
      </c>
      <c r="BK174" s="207">
        <v>-14083.499999999998</v>
      </c>
      <c r="BL174" s="207">
        <v>-961.8000000000001</v>
      </c>
      <c r="BM174" s="207">
        <v>-1339.65</v>
      </c>
      <c r="BN174" s="207">
        <v>-68.7</v>
      </c>
      <c r="BO174" s="207">
        <v>118187</v>
      </c>
      <c r="BP174" s="207">
        <v>-104513.79101509489</v>
      </c>
      <c r="BQ174" s="207">
        <v>-311520.14999999997</v>
      </c>
      <c r="BR174" s="207">
        <v>99190.47213805467</v>
      </c>
      <c r="BS174" s="207">
        <v>359413</v>
      </c>
      <c r="BT174" s="207">
        <v>117091</v>
      </c>
      <c r="BU174" s="207">
        <v>292961.8091873133</v>
      </c>
      <c r="BV174" s="207">
        <v>17070.764551890865</v>
      </c>
      <c r="BW174" s="207">
        <v>64056.44933309336</v>
      </c>
      <c r="BX174" s="207">
        <v>149275.4613426207</v>
      </c>
      <c r="BY174" s="207">
        <v>171825.56490100868</v>
      </c>
      <c r="BZ174" s="207">
        <v>290627.2859584415</v>
      </c>
      <c r="CA174" s="207">
        <v>81329.21402320254</v>
      </c>
      <c r="CB174" s="207">
        <v>160375.5194643866</v>
      </c>
      <c r="CC174" s="207">
        <v>309.15</v>
      </c>
      <c r="CD174" s="207">
        <v>-12189.717954790236</v>
      </c>
      <c r="CE174" s="207">
        <v>148460.69999999998</v>
      </c>
      <c r="CF174" s="207">
        <v>2057983.6729452221</v>
      </c>
      <c r="CG174" s="207">
        <v>1438941.2319301274</v>
      </c>
      <c r="CH174" s="207">
        <v>0</v>
      </c>
      <c r="CI174" s="207">
        <v>3332331.271200176</v>
      </c>
      <c r="CJ174" s="207">
        <v>-23046</v>
      </c>
      <c r="CK174" s="207">
        <v>0</v>
      </c>
      <c r="CL174" s="207">
        <v>0</v>
      </c>
      <c r="CM174" s="207">
        <v>37224.95879999999</v>
      </c>
      <c r="CN174" s="207">
        <v>12881824.621720916</v>
      </c>
      <c r="CO174" s="207">
        <v>12919049.580520915</v>
      </c>
      <c r="CP174" s="207">
        <v>3491</v>
      </c>
    </row>
    <row r="175" spans="1:94" ht="9.75">
      <c r="A175" s="175">
        <v>445</v>
      </c>
      <c r="B175" s="175" t="s">
        <v>397</v>
      </c>
      <c r="C175" s="207">
        <v>15285</v>
      </c>
      <c r="D175" s="207">
        <v>53975984.910000004</v>
      </c>
      <c r="E175" s="207">
        <v>13971704.694108557</v>
      </c>
      <c r="F175" s="207">
        <v>10656921.49803505</v>
      </c>
      <c r="G175" s="207">
        <v>78604611.10214362</v>
      </c>
      <c r="H175" s="207">
        <v>3524.51</v>
      </c>
      <c r="I175" s="207">
        <v>53872135.35</v>
      </c>
      <c r="J175" s="207">
        <v>24732475.752143614</v>
      </c>
      <c r="K175" s="207">
        <v>381363.52203574043</v>
      </c>
      <c r="L175" s="207">
        <v>3691193.6200989434</v>
      </c>
      <c r="M175" s="207">
        <v>0</v>
      </c>
      <c r="N175" s="207">
        <v>28805032.8942783</v>
      </c>
      <c r="O175" s="207">
        <v>498137.11731571803</v>
      </c>
      <c r="P175" s="207">
        <v>29303170.011594016</v>
      </c>
      <c r="Q175" s="207">
        <v>835</v>
      </c>
      <c r="R175" s="207">
        <v>167</v>
      </c>
      <c r="S175" s="207">
        <v>1068</v>
      </c>
      <c r="T175" s="207">
        <v>552</v>
      </c>
      <c r="U175" s="207">
        <v>538</v>
      </c>
      <c r="V175" s="207">
        <v>8073</v>
      </c>
      <c r="W175" s="207">
        <v>2374</v>
      </c>
      <c r="X175" s="207">
        <v>1155</v>
      </c>
      <c r="Y175" s="207">
        <v>523</v>
      </c>
      <c r="Z175" s="207">
        <v>8463</v>
      </c>
      <c r="AA175" s="207">
        <v>0</v>
      </c>
      <c r="AB175" s="207">
        <v>6375</v>
      </c>
      <c r="AC175" s="207">
        <v>447</v>
      </c>
      <c r="AD175" s="207">
        <v>4052</v>
      </c>
      <c r="AE175" s="207">
        <v>0.806514615424138</v>
      </c>
      <c r="AF175" s="207">
        <v>13971704.694108557</v>
      </c>
      <c r="AG175" s="207">
        <v>3570755.447730998</v>
      </c>
      <c r="AH175" s="207">
        <v>736523.6470294663</v>
      </c>
      <c r="AI175" s="207">
        <v>339519.1254791088</v>
      </c>
      <c r="AJ175" s="207">
        <v>485</v>
      </c>
      <c r="AK175" s="207">
        <v>7007</v>
      </c>
      <c r="AL175" s="207">
        <v>0.5981827532998815</v>
      </c>
      <c r="AM175" s="207">
        <v>447</v>
      </c>
      <c r="AN175" s="207">
        <v>0.029244357212953875</v>
      </c>
      <c r="AO175" s="207">
        <v>0.024303645750503283</v>
      </c>
      <c r="AP175" s="207">
        <v>3</v>
      </c>
      <c r="AQ175" s="207">
        <v>8463</v>
      </c>
      <c r="AR175" s="207">
        <v>0</v>
      </c>
      <c r="AS175" s="207">
        <v>1</v>
      </c>
      <c r="AT175" s="207">
        <v>0</v>
      </c>
      <c r="AU175" s="207">
        <v>882.91</v>
      </c>
      <c r="AV175" s="207">
        <v>17.31207031294243</v>
      </c>
      <c r="AW175" s="207">
        <v>1.0475830788961578</v>
      </c>
      <c r="AX175" s="207">
        <v>584</v>
      </c>
      <c r="AY175" s="207">
        <v>4623</v>
      </c>
      <c r="AZ175" s="207">
        <v>0.1263248972528661</v>
      </c>
      <c r="BA175" s="207">
        <v>0.06514106116863161</v>
      </c>
      <c r="BB175" s="207">
        <v>0</v>
      </c>
      <c r="BC175" s="207">
        <v>5070</v>
      </c>
      <c r="BD175" s="207">
        <v>6344</v>
      </c>
      <c r="BE175" s="207">
        <v>0.7991803278688525</v>
      </c>
      <c r="BF175" s="207">
        <v>0.3902734452777594</v>
      </c>
      <c r="BG175" s="207">
        <v>0</v>
      </c>
      <c r="BH175" s="207">
        <v>0</v>
      </c>
      <c r="BI175" s="207">
        <v>0</v>
      </c>
      <c r="BJ175" s="207">
        <v>-3668.4</v>
      </c>
      <c r="BK175" s="207">
        <v>-62668.49999999999</v>
      </c>
      <c r="BL175" s="207">
        <v>-4279.8</v>
      </c>
      <c r="BM175" s="207">
        <v>-5961.150000000001</v>
      </c>
      <c r="BN175" s="207">
        <v>-305.7</v>
      </c>
      <c r="BO175" s="207">
        <v>85094</v>
      </c>
      <c r="BP175" s="207">
        <v>-364428.21149175713</v>
      </c>
      <c r="BQ175" s="207">
        <v>-1386196.65</v>
      </c>
      <c r="BR175" s="207">
        <v>391772.4688114561</v>
      </c>
      <c r="BS175" s="207">
        <v>1173170</v>
      </c>
      <c r="BT175" s="207">
        <v>399015</v>
      </c>
      <c r="BU175" s="207">
        <v>745570.3645870736</v>
      </c>
      <c r="BV175" s="207">
        <v>19521.031900683436</v>
      </c>
      <c r="BW175" s="207">
        <v>49051.652122313404</v>
      </c>
      <c r="BX175" s="207">
        <v>382602.86645309394</v>
      </c>
      <c r="BY175" s="207">
        <v>457327.302254667</v>
      </c>
      <c r="BZ175" s="207">
        <v>1129748.553591236</v>
      </c>
      <c r="CA175" s="207">
        <v>338308.8942937113</v>
      </c>
      <c r="CB175" s="207">
        <v>565510.6262282355</v>
      </c>
      <c r="CC175" s="207">
        <v>1375.6499999999999</v>
      </c>
      <c r="CD175" s="207">
        <v>-53524.12865177099</v>
      </c>
      <c r="CE175" s="207">
        <v>660617.7</v>
      </c>
      <c r="CF175" s="207">
        <v>6345161.9815907</v>
      </c>
      <c r="CG175" s="207">
        <v>3691193.6200989434</v>
      </c>
      <c r="CH175" s="207">
        <v>0</v>
      </c>
      <c r="CI175" s="207">
        <v>498137.11731571803</v>
      </c>
      <c r="CJ175" s="207">
        <v>-641438</v>
      </c>
      <c r="CK175" s="207">
        <v>0</v>
      </c>
      <c r="CL175" s="207">
        <v>0</v>
      </c>
      <c r="CM175" s="207">
        <v>-7322.228597999987</v>
      </c>
      <c r="CN175" s="207">
        <v>28661732.011594016</v>
      </c>
      <c r="CO175" s="207">
        <v>28654409.782996017</v>
      </c>
      <c r="CP175" s="207">
        <v>15398</v>
      </c>
    </row>
    <row r="176" spans="1:94" ht="9.75">
      <c r="A176" s="175">
        <v>580</v>
      </c>
      <c r="B176" s="175" t="s">
        <v>232</v>
      </c>
      <c r="C176" s="207">
        <v>4969</v>
      </c>
      <c r="D176" s="207">
        <v>17654668.75</v>
      </c>
      <c r="E176" s="207">
        <v>8256918.965683723</v>
      </c>
      <c r="F176" s="207">
        <v>1287822.0602499705</v>
      </c>
      <c r="G176" s="207">
        <v>27199409.77593369</v>
      </c>
      <c r="H176" s="207">
        <v>3524.51</v>
      </c>
      <c r="I176" s="207">
        <v>17513290.19</v>
      </c>
      <c r="J176" s="207">
        <v>9686119.585933689</v>
      </c>
      <c r="K176" s="207">
        <v>756520.5676863419</v>
      </c>
      <c r="L176" s="207">
        <v>2447960.107272907</v>
      </c>
      <c r="M176" s="207">
        <v>0</v>
      </c>
      <c r="N176" s="207">
        <v>12890600.260892939</v>
      </c>
      <c r="O176" s="207">
        <v>3758913.0263444963</v>
      </c>
      <c r="P176" s="207">
        <v>16649513.287237436</v>
      </c>
      <c r="Q176" s="207">
        <v>196</v>
      </c>
      <c r="R176" s="207">
        <v>36</v>
      </c>
      <c r="S176" s="207">
        <v>201</v>
      </c>
      <c r="T176" s="207">
        <v>106</v>
      </c>
      <c r="U176" s="207">
        <v>115</v>
      </c>
      <c r="V176" s="207">
        <v>2441</v>
      </c>
      <c r="W176" s="207">
        <v>1016</v>
      </c>
      <c r="X176" s="207">
        <v>606</v>
      </c>
      <c r="Y176" s="207">
        <v>252</v>
      </c>
      <c r="Z176" s="207">
        <v>9</v>
      </c>
      <c r="AA176" s="207">
        <v>0</v>
      </c>
      <c r="AB176" s="207">
        <v>4863</v>
      </c>
      <c r="AC176" s="207">
        <v>97</v>
      </c>
      <c r="AD176" s="207">
        <v>1874</v>
      </c>
      <c r="AE176" s="207">
        <v>1.466146313978278</v>
      </c>
      <c r="AF176" s="207">
        <v>8256918.965683723</v>
      </c>
      <c r="AG176" s="207">
        <v>12874221.882244544</v>
      </c>
      <c r="AH176" s="207">
        <v>2620960.7846007324</v>
      </c>
      <c r="AI176" s="207">
        <v>1474227.781685604</v>
      </c>
      <c r="AJ176" s="207">
        <v>276</v>
      </c>
      <c r="AK176" s="207">
        <v>2085</v>
      </c>
      <c r="AL176" s="207">
        <v>1.1440033310635578</v>
      </c>
      <c r="AM176" s="207">
        <v>97</v>
      </c>
      <c r="AN176" s="207">
        <v>0.01952103038840813</v>
      </c>
      <c r="AO176" s="207">
        <v>0.014580318925957538</v>
      </c>
      <c r="AP176" s="207">
        <v>0</v>
      </c>
      <c r="AQ176" s="207">
        <v>9</v>
      </c>
      <c r="AR176" s="207">
        <v>0</v>
      </c>
      <c r="AS176" s="207">
        <v>3</v>
      </c>
      <c r="AT176" s="207">
        <v>219</v>
      </c>
      <c r="AU176" s="207">
        <v>592.26</v>
      </c>
      <c r="AV176" s="207">
        <v>8.389896329314828</v>
      </c>
      <c r="AW176" s="207">
        <v>2.1616276541023822</v>
      </c>
      <c r="AX176" s="207">
        <v>182</v>
      </c>
      <c r="AY176" s="207">
        <v>1193</v>
      </c>
      <c r="AZ176" s="207">
        <v>0.15255658005029338</v>
      </c>
      <c r="BA176" s="207">
        <v>0.09137274396605888</v>
      </c>
      <c r="BB176" s="207">
        <v>0.599749</v>
      </c>
      <c r="BC176" s="207">
        <v>1412</v>
      </c>
      <c r="BD176" s="207">
        <v>1734</v>
      </c>
      <c r="BE176" s="207">
        <v>0.8143021914648212</v>
      </c>
      <c r="BF176" s="207">
        <v>0.4053953088737281</v>
      </c>
      <c r="BG176" s="207">
        <v>0</v>
      </c>
      <c r="BH176" s="207">
        <v>0</v>
      </c>
      <c r="BI176" s="207">
        <v>0</v>
      </c>
      <c r="BJ176" s="207">
        <v>-1192.56</v>
      </c>
      <c r="BK176" s="207">
        <v>-20372.899999999998</v>
      </c>
      <c r="BL176" s="207">
        <v>-1391.3200000000002</v>
      </c>
      <c r="BM176" s="207">
        <v>-1937.91</v>
      </c>
      <c r="BN176" s="207">
        <v>-99.38</v>
      </c>
      <c r="BO176" s="207">
        <v>404678</v>
      </c>
      <c r="BP176" s="207">
        <v>-147313.7399629885</v>
      </c>
      <c r="BQ176" s="207">
        <v>-450638.61</v>
      </c>
      <c r="BR176" s="207">
        <v>111271.02164894715</v>
      </c>
      <c r="BS176" s="207">
        <v>548728</v>
      </c>
      <c r="BT176" s="207">
        <v>164426</v>
      </c>
      <c r="BU176" s="207">
        <v>449529.5316733578</v>
      </c>
      <c r="BV176" s="207">
        <v>24829.50885809744</v>
      </c>
      <c r="BW176" s="207">
        <v>64431.62000573984</v>
      </c>
      <c r="BX176" s="207">
        <v>213722.76312997163</v>
      </c>
      <c r="BY176" s="207">
        <v>280306.998898026</v>
      </c>
      <c r="BZ176" s="207">
        <v>469469.18040496006</v>
      </c>
      <c r="CA176" s="207">
        <v>137511.71819732754</v>
      </c>
      <c r="CB176" s="207">
        <v>231938.45242337234</v>
      </c>
      <c r="CC176" s="207">
        <v>447.21</v>
      </c>
      <c r="CD176" s="207">
        <v>23530.1719960954</v>
      </c>
      <c r="CE176" s="207">
        <v>214760.18</v>
      </c>
      <c r="CF176" s="207">
        <v>3339580.3572358955</v>
      </c>
      <c r="CG176" s="207">
        <v>2447960.107272907</v>
      </c>
      <c r="CH176" s="207">
        <v>0</v>
      </c>
      <c r="CI176" s="207">
        <v>3758913.0263444963</v>
      </c>
      <c r="CJ176" s="207">
        <v>-551706</v>
      </c>
      <c r="CK176" s="207">
        <v>0</v>
      </c>
      <c r="CL176" s="207">
        <v>0</v>
      </c>
      <c r="CM176" s="207">
        <v>-10560.272000000012</v>
      </c>
      <c r="CN176" s="207">
        <v>16097807.287237436</v>
      </c>
      <c r="CO176" s="207">
        <v>16087247.015237436</v>
      </c>
      <c r="CP176" s="207">
        <v>5126</v>
      </c>
    </row>
    <row r="177" spans="1:94" ht="9.75">
      <c r="A177" s="175">
        <v>581</v>
      </c>
      <c r="B177" s="175" t="s">
        <v>233</v>
      </c>
      <c r="C177" s="207">
        <v>6562</v>
      </c>
      <c r="D177" s="207">
        <v>23243021.77</v>
      </c>
      <c r="E177" s="207">
        <v>9834458.154968258</v>
      </c>
      <c r="F177" s="207">
        <v>1599762.92028696</v>
      </c>
      <c r="G177" s="207">
        <v>34677242.84525522</v>
      </c>
      <c r="H177" s="207">
        <v>3524.51</v>
      </c>
      <c r="I177" s="207">
        <v>23127834.62</v>
      </c>
      <c r="J177" s="207">
        <v>11549408.225255217</v>
      </c>
      <c r="K177" s="207">
        <v>655081.076210835</v>
      </c>
      <c r="L177" s="207">
        <v>2136770.424451596</v>
      </c>
      <c r="M177" s="207">
        <v>0</v>
      </c>
      <c r="N177" s="207">
        <v>14341259.725917649</v>
      </c>
      <c r="O177" s="207">
        <v>4730653.533808291</v>
      </c>
      <c r="P177" s="207">
        <v>19071913.25972594</v>
      </c>
      <c r="Q177" s="207">
        <v>315</v>
      </c>
      <c r="R177" s="207">
        <v>61</v>
      </c>
      <c r="S177" s="207">
        <v>410</v>
      </c>
      <c r="T177" s="207">
        <v>199</v>
      </c>
      <c r="U177" s="207">
        <v>209</v>
      </c>
      <c r="V177" s="207">
        <v>3366</v>
      </c>
      <c r="W177" s="207">
        <v>1123</v>
      </c>
      <c r="X177" s="207">
        <v>620</v>
      </c>
      <c r="Y177" s="207">
        <v>259</v>
      </c>
      <c r="Z177" s="207">
        <v>7</v>
      </c>
      <c r="AA177" s="207">
        <v>0</v>
      </c>
      <c r="AB177" s="207">
        <v>6418</v>
      </c>
      <c r="AC177" s="207">
        <v>137</v>
      </c>
      <c r="AD177" s="207">
        <v>2002</v>
      </c>
      <c r="AE177" s="207">
        <v>1.3223380593634817</v>
      </c>
      <c r="AF177" s="207">
        <v>9834458.154968258</v>
      </c>
      <c r="AG177" s="207">
        <v>8087563.641907703</v>
      </c>
      <c r="AH177" s="207">
        <v>2146339.730073522</v>
      </c>
      <c r="AI177" s="207">
        <v>714777.106271808</v>
      </c>
      <c r="AJ177" s="207">
        <v>306</v>
      </c>
      <c r="AK177" s="207">
        <v>2820</v>
      </c>
      <c r="AL177" s="207">
        <v>0.9377705381486543</v>
      </c>
      <c r="AM177" s="207">
        <v>137</v>
      </c>
      <c r="AN177" s="207">
        <v>0.020877781164279182</v>
      </c>
      <c r="AO177" s="207">
        <v>0.01593706970182859</v>
      </c>
      <c r="AP177" s="207">
        <v>0</v>
      </c>
      <c r="AQ177" s="207">
        <v>7</v>
      </c>
      <c r="AR177" s="207">
        <v>0</v>
      </c>
      <c r="AS177" s="207">
        <v>0</v>
      </c>
      <c r="AT177" s="207">
        <v>0</v>
      </c>
      <c r="AU177" s="207">
        <v>852.9</v>
      </c>
      <c r="AV177" s="207">
        <v>7.693750732793998</v>
      </c>
      <c r="AW177" s="207">
        <v>2.3572159471188048</v>
      </c>
      <c r="AX177" s="207">
        <v>283</v>
      </c>
      <c r="AY177" s="207">
        <v>1718</v>
      </c>
      <c r="AZ177" s="207">
        <v>0.16472642607683352</v>
      </c>
      <c r="BA177" s="207">
        <v>0.10354258999259902</v>
      </c>
      <c r="BB177" s="207">
        <v>0.290266</v>
      </c>
      <c r="BC177" s="207">
        <v>2379</v>
      </c>
      <c r="BD177" s="207">
        <v>2346</v>
      </c>
      <c r="BE177" s="207">
        <v>1.014066496163683</v>
      </c>
      <c r="BF177" s="207">
        <v>0.6051596135725898</v>
      </c>
      <c r="BG177" s="207">
        <v>0</v>
      </c>
      <c r="BH177" s="207">
        <v>0</v>
      </c>
      <c r="BI177" s="207">
        <v>0</v>
      </c>
      <c r="BJ177" s="207">
        <v>-1574.8799999999999</v>
      </c>
      <c r="BK177" s="207">
        <v>-26904.199999999997</v>
      </c>
      <c r="BL177" s="207">
        <v>-1837.3600000000001</v>
      </c>
      <c r="BM177" s="207">
        <v>-2559.1800000000003</v>
      </c>
      <c r="BN177" s="207">
        <v>-131.24</v>
      </c>
      <c r="BO177" s="207">
        <v>77466</v>
      </c>
      <c r="BP177" s="207">
        <v>-204670.20019266056</v>
      </c>
      <c r="BQ177" s="207">
        <v>-595107.78</v>
      </c>
      <c r="BR177" s="207">
        <v>-46909.599780224264</v>
      </c>
      <c r="BS177" s="207">
        <v>631294</v>
      </c>
      <c r="BT177" s="207">
        <v>193783</v>
      </c>
      <c r="BU177" s="207">
        <v>483072.9142818386</v>
      </c>
      <c r="BV177" s="207">
        <v>24805.22083597808</v>
      </c>
      <c r="BW177" s="207">
        <v>35617.50781714254</v>
      </c>
      <c r="BX177" s="207">
        <v>244726.99378497124</v>
      </c>
      <c r="BY177" s="207">
        <v>364807.035582009</v>
      </c>
      <c r="BZ177" s="207">
        <v>582032.8616976138</v>
      </c>
      <c r="CA177" s="207">
        <v>169726.33743962029</v>
      </c>
      <c r="CB177" s="207">
        <v>309542.4813555387</v>
      </c>
      <c r="CC177" s="207">
        <v>590.5799999999999</v>
      </c>
      <c r="CD177" s="207">
        <v>-29802.368370231685</v>
      </c>
      <c r="CE177" s="207">
        <v>283609.64</v>
      </c>
      <c r="CF177" s="207">
        <v>3324362.6046442566</v>
      </c>
      <c r="CG177" s="207">
        <v>2136770.424451596</v>
      </c>
      <c r="CH177" s="207">
        <v>0</v>
      </c>
      <c r="CI177" s="207">
        <v>4730653.533808291</v>
      </c>
      <c r="CJ177" s="207">
        <v>-614434</v>
      </c>
      <c r="CK177" s="207">
        <v>0</v>
      </c>
      <c r="CL177" s="207">
        <v>0</v>
      </c>
      <c r="CM177" s="207">
        <v>110394.44342</v>
      </c>
      <c r="CN177" s="207">
        <v>18457479.25972594</v>
      </c>
      <c r="CO177" s="207">
        <v>18567873.70314594</v>
      </c>
      <c r="CP177" s="207">
        <v>6692</v>
      </c>
    </row>
    <row r="178" spans="1:94" ht="9.75">
      <c r="A178" s="175">
        <v>599</v>
      </c>
      <c r="B178" s="175" t="s">
        <v>234</v>
      </c>
      <c r="C178" s="207">
        <v>11084</v>
      </c>
      <c r="D178" s="207">
        <v>42200813.67</v>
      </c>
      <c r="E178" s="207">
        <v>8522610.313392673</v>
      </c>
      <c r="F178" s="207">
        <v>4197562.43140943</v>
      </c>
      <c r="G178" s="207">
        <v>54920986.414802104</v>
      </c>
      <c r="H178" s="207">
        <v>3524.51</v>
      </c>
      <c r="I178" s="207">
        <v>39065668.84</v>
      </c>
      <c r="J178" s="207">
        <v>15855317.5748021</v>
      </c>
      <c r="K178" s="207">
        <v>296132.577823698</v>
      </c>
      <c r="L178" s="207">
        <v>3470375.7866509114</v>
      </c>
      <c r="M178" s="207">
        <v>0</v>
      </c>
      <c r="N178" s="207">
        <v>19621825.93927671</v>
      </c>
      <c r="O178" s="207">
        <v>7567950.96276969</v>
      </c>
      <c r="P178" s="207">
        <v>27189776.9020464</v>
      </c>
      <c r="Q178" s="207">
        <v>988</v>
      </c>
      <c r="R178" s="207">
        <v>161</v>
      </c>
      <c r="S178" s="207">
        <v>1117</v>
      </c>
      <c r="T178" s="207">
        <v>522</v>
      </c>
      <c r="U178" s="207">
        <v>478</v>
      </c>
      <c r="V178" s="207">
        <v>5848</v>
      </c>
      <c r="W178" s="207">
        <v>1138</v>
      </c>
      <c r="X178" s="207">
        <v>566</v>
      </c>
      <c r="Y178" s="207">
        <v>266</v>
      </c>
      <c r="Z178" s="207">
        <v>9895</v>
      </c>
      <c r="AA178" s="207">
        <v>0</v>
      </c>
      <c r="AB178" s="207">
        <v>927</v>
      </c>
      <c r="AC178" s="207">
        <v>262</v>
      </c>
      <c r="AD178" s="207">
        <v>1970</v>
      </c>
      <c r="AE178" s="207">
        <v>0.6784289960199363</v>
      </c>
      <c r="AF178" s="207">
        <v>8522610.313392673</v>
      </c>
      <c r="AG178" s="207">
        <v>11173352.889758054</v>
      </c>
      <c r="AH178" s="207">
        <v>4021296.055711714</v>
      </c>
      <c r="AI178" s="207">
        <v>1027492.090265724</v>
      </c>
      <c r="AJ178" s="207">
        <v>191</v>
      </c>
      <c r="AK178" s="207">
        <v>5298</v>
      </c>
      <c r="AL178" s="207">
        <v>0.31156285838386916</v>
      </c>
      <c r="AM178" s="207">
        <v>262</v>
      </c>
      <c r="AN178" s="207">
        <v>0.023637675929267413</v>
      </c>
      <c r="AO178" s="207">
        <v>0.01869696446681682</v>
      </c>
      <c r="AP178" s="207">
        <v>3</v>
      </c>
      <c r="AQ178" s="207">
        <v>9895</v>
      </c>
      <c r="AR178" s="207">
        <v>0</v>
      </c>
      <c r="AS178" s="207">
        <v>0</v>
      </c>
      <c r="AT178" s="207">
        <v>0</v>
      </c>
      <c r="AU178" s="207">
        <v>794.28</v>
      </c>
      <c r="AV178" s="207">
        <v>13.954776653069446</v>
      </c>
      <c r="AW178" s="207">
        <v>1.2996146317046144</v>
      </c>
      <c r="AX178" s="207">
        <v>361</v>
      </c>
      <c r="AY178" s="207">
        <v>3118</v>
      </c>
      <c r="AZ178" s="207">
        <v>0.11577934573444516</v>
      </c>
      <c r="BA178" s="207">
        <v>0.05459550965021067</v>
      </c>
      <c r="BB178" s="207">
        <v>0</v>
      </c>
      <c r="BC178" s="207">
        <v>4125</v>
      </c>
      <c r="BD178" s="207">
        <v>4989</v>
      </c>
      <c r="BE178" s="207">
        <v>0.8268190018039687</v>
      </c>
      <c r="BF178" s="207">
        <v>0.41791211921287563</v>
      </c>
      <c r="BG178" s="207">
        <v>0</v>
      </c>
      <c r="BH178" s="207">
        <v>0</v>
      </c>
      <c r="BI178" s="207">
        <v>0</v>
      </c>
      <c r="BJ178" s="207">
        <v>-2660.16</v>
      </c>
      <c r="BK178" s="207">
        <v>-45444.399999999994</v>
      </c>
      <c r="BL178" s="207">
        <v>-3103.5200000000004</v>
      </c>
      <c r="BM178" s="207">
        <v>-4322.76</v>
      </c>
      <c r="BN178" s="207">
        <v>-221.68</v>
      </c>
      <c r="BO178" s="207">
        <v>-119051</v>
      </c>
      <c r="BP178" s="207">
        <v>-87898.83098092578</v>
      </c>
      <c r="BQ178" s="207">
        <v>-1005207.96</v>
      </c>
      <c r="BR178" s="207">
        <v>228177.65468864888</v>
      </c>
      <c r="BS178" s="207">
        <v>874829</v>
      </c>
      <c r="BT178" s="207">
        <v>310573</v>
      </c>
      <c r="BU178" s="207">
        <v>740032.4773345407</v>
      </c>
      <c r="BV178" s="207">
        <v>30702.727293643246</v>
      </c>
      <c r="BW178" s="207">
        <v>54599.82824247546</v>
      </c>
      <c r="BX178" s="207">
        <v>334874.17945873406</v>
      </c>
      <c r="BY178" s="207">
        <v>661355.4490996372</v>
      </c>
      <c r="BZ178" s="207">
        <v>938522.8049510869</v>
      </c>
      <c r="CA178" s="207">
        <v>296535.45275230636</v>
      </c>
      <c r="CB178" s="207">
        <v>510150.01185758994</v>
      </c>
      <c r="CC178" s="207">
        <v>997.56</v>
      </c>
      <c r="CD178" s="207">
        <v>-122802.64804682478</v>
      </c>
      <c r="CE178" s="207">
        <v>479050.48</v>
      </c>
      <c r="CF178" s="207">
        <v>5218546.977631837</v>
      </c>
      <c r="CG178" s="207">
        <v>3470375.7866509114</v>
      </c>
      <c r="CH178" s="207">
        <v>0</v>
      </c>
      <c r="CI178" s="207">
        <v>7567950.96276969</v>
      </c>
      <c r="CJ178" s="207">
        <v>-653249</v>
      </c>
      <c r="CK178" s="207">
        <v>0</v>
      </c>
      <c r="CL178" s="207">
        <v>0</v>
      </c>
      <c r="CM178" s="207">
        <v>-426106.9752</v>
      </c>
      <c r="CN178" s="207">
        <v>26536527.9020464</v>
      </c>
      <c r="CO178" s="207">
        <v>26110420.9268464</v>
      </c>
      <c r="CP178" s="207">
        <v>11067</v>
      </c>
    </row>
    <row r="179" spans="1:94" ht="9.75">
      <c r="A179" s="175">
        <v>583</v>
      </c>
      <c r="B179" s="175" t="s">
        <v>235</v>
      </c>
      <c r="C179" s="207">
        <v>958</v>
      </c>
      <c r="D179" s="207">
        <v>2957657.1000000006</v>
      </c>
      <c r="E179" s="207">
        <v>1433483.4412343707</v>
      </c>
      <c r="F179" s="207">
        <v>948381.914332841</v>
      </c>
      <c r="G179" s="207">
        <v>5339522.455567213</v>
      </c>
      <c r="H179" s="207">
        <v>3524.51</v>
      </c>
      <c r="I179" s="207">
        <v>3376480.58</v>
      </c>
      <c r="J179" s="207">
        <v>1963041.8755672127</v>
      </c>
      <c r="K179" s="207">
        <v>1065921.592310773</v>
      </c>
      <c r="L179" s="207">
        <v>794107.9279696271</v>
      </c>
      <c r="M179" s="207">
        <v>0</v>
      </c>
      <c r="N179" s="207">
        <v>3823071.395847613</v>
      </c>
      <c r="O179" s="207">
        <v>582875.4677767445</v>
      </c>
      <c r="P179" s="207">
        <v>4405946.863624358</v>
      </c>
      <c r="Q179" s="207">
        <v>46</v>
      </c>
      <c r="R179" s="207">
        <v>6</v>
      </c>
      <c r="S179" s="207">
        <v>36</v>
      </c>
      <c r="T179" s="207">
        <v>15</v>
      </c>
      <c r="U179" s="207">
        <v>10</v>
      </c>
      <c r="V179" s="207">
        <v>524</v>
      </c>
      <c r="W179" s="207">
        <v>194</v>
      </c>
      <c r="X179" s="207">
        <v>94</v>
      </c>
      <c r="Y179" s="207">
        <v>33</v>
      </c>
      <c r="Z179" s="207">
        <v>2</v>
      </c>
      <c r="AA179" s="207">
        <v>1</v>
      </c>
      <c r="AB179" s="207">
        <v>930</v>
      </c>
      <c r="AC179" s="207">
        <v>25</v>
      </c>
      <c r="AD179" s="207">
        <v>321</v>
      </c>
      <c r="AE179" s="207">
        <v>1.3202478189819318</v>
      </c>
      <c r="AF179" s="207">
        <v>1433483.4412343707</v>
      </c>
      <c r="AG179" s="207">
        <v>10039152.388051162</v>
      </c>
      <c r="AH179" s="207">
        <v>3361895.911468447</v>
      </c>
      <c r="AI179" s="207">
        <v>741581.2477570007</v>
      </c>
      <c r="AJ179" s="207">
        <v>87</v>
      </c>
      <c r="AK179" s="207">
        <v>433</v>
      </c>
      <c r="AL179" s="207">
        <v>1.7364233711406272</v>
      </c>
      <c r="AM179" s="207">
        <v>25</v>
      </c>
      <c r="AN179" s="207">
        <v>0.026096033402922755</v>
      </c>
      <c r="AO179" s="207">
        <v>0.021155321940472163</v>
      </c>
      <c r="AP179" s="207">
        <v>0</v>
      </c>
      <c r="AQ179" s="207">
        <v>2</v>
      </c>
      <c r="AR179" s="207">
        <v>1</v>
      </c>
      <c r="AS179" s="207">
        <v>0</v>
      </c>
      <c r="AT179" s="207">
        <v>0</v>
      </c>
      <c r="AU179" s="207">
        <v>1836.2</v>
      </c>
      <c r="AV179" s="207">
        <v>0.5217296590785317</v>
      </c>
      <c r="AW179" s="207">
        <v>34.760975545323866</v>
      </c>
      <c r="AX179" s="207">
        <v>32</v>
      </c>
      <c r="AY179" s="207">
        <v>234</v>
      </c>
      <c r="AZ179" s="207">
        <v>0.13675213675213677</v>
      </c>
      <c r="BA179" s="207">
        <v>0.07556830066790227</v>
      </c>
      <c r="BB179" s="207">
        <v>1.689066</v>
      </c>
      <c r="BC179" s="207">
        <v>371</v>
      </c>
      <c r="BD179" s="207">
        <v>332</v>
      </c>
      <c r="BE179" s="207">
        <v>1.1174698795180722</v>
      </c>
      <c r="BF179" s="207">
        <v>0.7085629969269791</v>
      </c>
      <c r="BG179" s="207">
        <v>0</v>
      </c>
      <c r="BH179" s="207">
        <v>1</v>
      </c>
      <c r="BI179" s="207">
        <v>0</v>
      </c>
      <c r="BJ179" s="207">
        <v>-229.92</v>
      </c>
      <c r="BK179" s="207">
        <v>-3927.7999999999997</v>
      </c>
      <c r="BL179" s="207">
        <v>-268.24</v>
      </c>
      <c r="BM179" s="207">
        <v>-373.62</v>
      </c>
      <c r="BN179" s="207">
        <v>-19.16</v>
      </c>
      <c r="BO179" s="207">
        <v>86897</v>
      </c>
      <c r="BP179" s="207">
        <v>-4540.3391268805135</v>
      </c>
      <c r="BQ179" s="207">
        <v>-86881.02</v>
      </c>
      <c r="BR179" s="207">
        <v>326846.61793812085</v>
      </c>
      <c r="BS179" s="207">
        <v>98737</v>
      </c>
      <c r="BT179" s="207">
        <v>30421</v>
      </c>
      <c r="BU179" s="207">
        <v>86707.59390611005</v>
      </c>
      <c r="BV179" s="207">
        <v>4883.322780735451</v>
      </c>
      <c r="BW179" s="207">
        <v>12434.331455737256</v>
      </c>
      <c r="BX179" s="207">
        <v>32710.82356139678</v>
      </c>
      <c r="BY179" s="207">
        <v>49945.52380611127</v>
      </c>
      <c r="BZ179" s="207">
        <v>84755.74699200691</v>
      </c>
      <c r="CA179" s="207">
        <v>26259.991914495644</v>
      </c>
      <c r="CB179" s="207">
        <v>48698.913694582</v>
      </c>
      <c r="CC179" s="207">
        <v>86.22</v>
      </c>
      <c r="CD179" s="207">
        <v>11358.24104721152</v>
      </c>
      <c r="CE179" s="207">
        <v>41404.76</v>
      </c>
      <c r="CF179" s="207">
        <v>942147.0870965077</v>
      </c>
      <c r="CG179" s="207">
        <v>794107.9279696271</v>
      </c>
      <c r="CH179" s="207">
        <v>0</v>
      </c>
      <c r="CI179" s="207">
        <v>582875.4677767445</v>
      </c>
      <c r="CJ179" s="207">
        <v>-221751</v>
      </c>
      <c r="CK179" s="207">
        <v>0</v>
      </c>
      <c r="CL179" s="207">
        <v>0</v>
      </c>
      <c r="CM179" s="207">
        <v>85934.2134</v>
      </c>
      <c r="CN179" s="207">
        <v>4184195.8636243576</v>
      </c>
      <c r="CO179" s="207">
        <v>4270130.077024357</v>
      </c>
      <c r="CP179" s="207">
        <v>951</v>
      </c>
    </row>
    <row r="180" spans="1:94" ht="9.75">
      <c r="A180" s="175">
        <v>854</v>
      </c>
      <c r="B180" s="175" t="s">
        <v>236</v>
      </c>
      <c r="C180" s="207">
        <v>3510</v>
      </c>
      <c r="D180" s="207">
        <v>12369787.17</v>
      </c>
      <c r="E180" s="207">
        <v>6024226.139452499</v>
      </c>
      <c r="F180" s="207">
        <v>1777043.2014039757</v>
      </c>
      <c r="G180" s="207">
        <v>20171056.510856476</v>
      </c>
      <c r="H180" s="207">
        <v>3524.51</v>
      </c>
      <c r="I180" s="207">
        <v>12371030.100000001</v>
      </c>
      <c r="J180" s="207">
        <v>7800026.410856474</v>
      </c>
      <c r="K180" s="207">
        <v>3824594.414268738</v>
      </c>
      <c r="L180" s="207">
        <v>1095892.2952697324</v>
      </c>
      <c r="M180" s="207">
        <v>0</v>
      </c>
      <c r="N180" s="207">
        <v>12720513.120394945</v>
      </c>
      <c r="O180" s="207">
        <v>2579675.1607134165</v>
      </c>
      <c r="P180" s="207">
        <v>15300188.28110836</v>
      </c>
      <c r="Q180" s="207">
        <v>124</v>
      </c>
      <c r="R180" s="207">
        <v>21</v>
      </c>
      <c r="S180" s="207">
        <v>136</v>
      </c>
      <c r="T180" s="207">
        <v>90</v>
      </c>
      <c r="U180" s="207">
        <v>82</v>
      </c>
      <c r="V180" s="207">
        <v>1747</v>
      </c>
      <c r="W180" s="207">
        <v>695</v>
      </c>
      <c r="X180" s="207">
        <v>446</v>
      </c>
      <c r="Y180" s="207">
        <v>169</v>
      </c>
      <c r="Z180" s="207">
        <v>19</v>
      </c>
      <c r="AA180" s="207">
        <v>3</v>
      </c>
      <c r="AB180" s="207">
        <v>3452</v>
      </c>
      <c r="AC180" s="207">
        <v>36</v>
      </c>
      <c r="AD180" s="207">
        <v>1310</v>
      </c>
      <c r="AE180" s="207">
        <v>1.5143366627259947</v>
      </c>
      <c r="AF180" s="207">
        <v>6024226.139452499</v>
      </c>
      <c r="AG180" s="207">
        <v>30631384.50129587</v>
      </c>
      <c r="AH180" s="207">
        <v>6384107.875391856</v>
      </c>
      <c r="AI180" s="207">
        <v>3064606.8431403777</v>
      </c>
      <c r="AJ180" s="207">
        <v>209</v>
      </c>
      <c r="AK180" s="207">
        <v>1448</v>
      </c>
      <c r="AL180" s="207">
        <v>1.2473892314259332</v>
      </c>
      <c r="AM180" s="207">
        <v>36</v>
      </c>
      <c r="AN180" s="207">
        <v>0.010256410256410256</v>
      </c>
      <c r="AO180" s="207">
        <v>0.005315698793959663</v>
      </c>
      <c r="AP180" s="207">
        <v>0</v>
      </c>
      <c r="AQ180" s="207">
        <v>19</v>
      </c>
      <c r="AR180" s="207">
        <v>3</v>
      </c>
      <c r="AS180" s="207">
        <v>0</v>
      </c>
      <c r="AT180" s="207">
        <v>0</v>
      </c>
      <c r="AU180" s="207">
        <v>1738.76</v>
      </c>
      <c r="AV180" s="207">
        <v>2.018679978835492</v>
      </c>
      <c r="AW180" s="207">
        <v>8.984005444469187</v>
      </c>
      <c r="AX180" s="207">
        <v>127</v>
      </c>
      <c r="AY180" s="207">
        <v>756</v>
      </c>
      <c r="AZ180" s="207">
        <v>0.167989417989418</v>
      </c>
      <c r="BA180" s="207">
        <v>0.1068055819051835</v>
      </c>
      <c r="BB180" s="207">
        <v>1.665032</v>
      </c>
      <c r="BC180" s="207">
        <v>1165</v>
      </c>
      <c r="BD180" s="207">
        <v>1171</v>
      </c>
      <c r="BE180" s="207">
        <v>0.9948761742100769</v>
      </c>
      <c r="BF180" s="207">
        <v>0.5859692916189838</v>
      </c>
      <c r="BG180" s="207">
        <v>0</v>
      </c>
      <c r="BH180" s="207">
        <v>3</v>
      </c>
      <c r="BI180" s="207">
        <v>0</v>
      </c>
      <c r="BJ180" s="207">
        <v>-842.4</v>
      </c>
      <c r="BK180" s="207">
        <v>-14390.999999999998</v>
      </c>
      <c r="BL180" s="207">
        <v>-982.8000000000001</v>
      </c>
      <c r="BM180" s="207">
        <v>-1368.9</v>
      </c>
      <c r="BN180" s="207">
        <v>-70.2</v>
      </c>
      <c r="BO180" s="207">
        <v>-10827</v>
      </c>
      <c r="BP180" s="207">
        <v>-33938.74113610797</v>
      </c>
      <c r="BQ180" s="207">
        <v>-318321.89999999997</v>
      </c>
      <c r="BR180" s="207">
        <v>-196013.11219165102</v>
      </c>
      <c r="BS180" s="207">
        <v>360045</v>
      </c>
      <c r="BT180" s="207">
        <v>112878</v>
      </c>
      <c r="BU180" s="207">
        <v>279775.4705817744</v>
      </c>
      <c r="BV180" s="207">
        <v>17209.577726508884</v>
      </c>
      <c r="BW180" s="207">
        <v>62791.6321954701</v>
      </c>
      <c r="BX180" s="207">
        <v>135895.88612350414</v>
      </c>
      <c r="BY180" s="207">
        <v>186088.03826940406</v>
      </c>
      <c r="BZ180" s="207">
        <v>316311.9860555602</v>
      </c>
      <c r="CA180" s="207">
        <v>91667.29733957456</v>
      </c>
      <c r="CB180" s="207">
        <v>167685.64765483327</v>
      </c>
      <c r="CC180" s="207">
        <v>315.9</v>
      </c>
      <c r="CD180" s="207">
        <v>-19932.58734913855</v>
      </c>
      <c r="CE180" s="207">
        <v>151702.19999999998</v>
      </c>
      <c r="CF180" s="207">
        <v>1655593.93640584</v>
      </c>
      <c r="CG180" s="207">
        <v>1095892.2952697324</v>
      </c>
      <c r="CH180" s="207">
        <v>0</v>
      </c>
      <c r="CI180" s="207">
        <v>2579675.1607134165</v>
      </c>
      <c r="CJ180" s="207">
        <v>-277067</v>
      </c>
      <c r="CK180" s="207">
        <v>0</v>
      </c>
      <c r="CL180" s="207">
        <v>0</v>
      </c>
      <c r="CM180" s="207">
        <v>-58371.90347999999</v>
      </c>
      <c r="CN180" s="207">
        <v>15023121.28110836</v>
      </c>
      <c r="CO180" s="207">
        <v>14964749.37762836</v>
      </c>
      <c r="CP180" s="207">
        <v>3565</v>
      </c>
    </row>
    <row r="181" spans="1:94" ht="9.75">
      <c r="A181" s="175">
        <v>584</v>
      </c>
      <c r="B181" s="175" t="s">
        <v>237</v>
      </c>
      <c r="C181" s="207">
        <v>2860</v>
      </c>
      <c r="D181" s="207">
        <v>11903359.620000001</v>
      </c>
      <c r="E181" s="207">
        <v>3391551.4563192176</v>
      </c>
      <c r="F181" s="207">
        <v>913227.3564186171</v>
      </c>
      <c r="G181" s="207">
        <v>16208138.432737835</v>
      </c>
      <c r="H181" s="207">
        <v>3524.51</v>
      </c>
      <c r="I181" s="207">
        <v>10080098.600000001</v>
      </c>
      <c r="J181" s="207">
        <v>6128039.832737833</v>
      </c>
      <c r="K181" s="207">
        <v>702795.2412725425</v>
      </c>
      <c r="L181" s="207">
        <v>1091678.594665338</v>
      </c>
      <c r="M181" s="207">
        <v>0</v>
      </c>
      <c r="N181" s="207">
        <v>7922513.668675714</v>
      </c>
      <c r="O181" s="207">
        <v>3373189.673591592</v>
      </c>
      <c r="P181" s="207">
        <v>11295703.342267307</v>
      </c>
      <c r="Q181" s="207">
        <v>277</v>
      </c>
      <c r="R181" s="207">
        <v>55</v>
      </c>
      <c r="S181" s="207">
        <v>316</v>
      </c>
      <c r="T181" s="207">
        <v>137</v>
      </c>
      <c r="U181" s="207">
        <v>129</v>
      </c>
      <c r="V181" s="207">
        <v>1306</v>
      </c>
      <c r="W181" s="207">
        <v>372</v>
      </c>
      <c r="X181" s="207">
        <v>183</v>
      </c>
      <c r="Y181" s="207">
        <v>85</v>
      </c>
      <c r="Z181" s="207">
        <v>12</v>
      </c>
      <c r="AA181" s="207">
        <v>0</v>
      </c>
      <c r="AB181" s="207">
        <v>2822</v>
      </c>
      <c r="AC181" s="207">
        <v>26</v>
      </c>
      <c r="AD181" s="207">
        <v>640</v>
      </c>
      <c r="AE181" s="207">
        <v>1.0463106951473633</v>
      </c>
      <c r="AF181" s="207">
        <v>3391551.4563192176</v>
      </c>
      <c r="AG181" s="207">
        <v>12147171.130184056</v>
      </c>
      <c r="AH181" s="207">
        <v>3198284.1855376638</v>
      </c>
      <c r="AI181" s="207">
        <v>1241925.2221472666</v>
      </c>
      <c r="AJ181" s="207">
        <v>109</v>
      </c>
      <c r="AK181" s="207">
        <v>1101</v>
      </c>
      <c r="AL181" s="207">
        <v>0.8555855580373557</v>
      </c>
      <c r="AM181" s="207">
        <v>26</v>
      </c>
      <c r="AN181" s="207">
        <v>0.00909090909090909</v>
      </c>
      <c r="AO181" s="207">
        <v>0.0041501976284584975</v>
      </c>
      <c r="AP181" s="207">
        <v>0</v>
      </c>
      <c r="AQ181" s="207">
        <v>12</v>
      </c>
      <c r="AR181" s="207">
        <v>0</v>
      </c>
      <c r="AS181" s="207">
        <v>0</v>
      </c>
      <c r="AT181" s="207">
        <v>0</v>
      </c>
      <c r="AU181" s="207">
        <v>747.83</v>
      </c>
      <c r="AV181" s="207">
        <v>3.8243985932631746</v>
      </c>
      <c r="AW181" s="207">
        <v>4.742139575212157</v>
      </c>
      <c r="AX181" s="207">
        <v>133</v>
      </c>
      <c r="AY181" s="207">
        <v>665</v>
      </c>
      <c r="AZ181" s="207">
        <v>0.2</v>
      </c>
      <c r="BA181" s="207">
        <v>0.1388161639157655</v>
      </c>
      <c r="BB181" s="207">
        <v>0.997766</v>
      </c>
      <c r="BC181" s="207">
        <v>915</v>
      </c>
      <c r="BD181" s="207">
        <v>948</v>
      </c>
      <c r="BE181" s="207">
        <v>0.9651898734177216</v>
      </c>
      <c r="BF181" s="207">
        <v>0.5562829908266285</v>
      </c>
      <c r="BG181" s="207">
        <v>0</v>
      </c>
      <c r="BH181" s="207">
        <v>0</v>
      </c>
      <c r="BI181" s="207">
        <v>0</v>
      </c>
      <c r="BJ181" s="207">
        <v>-686.4</v>
      </c>
      <c r="BK181" s="207">
        <v>-11725.999999999998</v>
      </c>
      <c r="BL181" s="207">
        <v>-800.8000000000001</v>
      </c>
      <c r="BM181" s="207">
        <v>-1115.4</v>
      </c>
      <c r="BN181" s="207">
        <v>-57.2</v>
      </c>
      <c r="BO181" s="207">
        <v>25831</v>
      </c>
      <c r="BP181" s="207">
        <v>-2257.0695159476018</v>
      </c>
      <c r="BQ181" s="207">
        <v>-259373.4</v>
      </c>
      <c r="BR181" s="207">
        <v>40403.31963919662</v>
      </c>
      <c r="BS181" s="207">
        <v>248802</v>
      </c>
      <c r="BT181" s="207">
        <v>81810</v>
      </c>
      <c r="BU181" s="207">
        <v>237809.04534196263</v>
      </c>
      <c r="BV181" s="207">
        <v>12373.570511656304</v>
      </c>
      <c r="BW181" s="207">
        <v>37925.0929076098</v>
      </c>
      <c r="BX181" s="207">
        <v>123013.57808496512</v>
      </c>
      <c r="BY181" s="207">
        <v>153607.53770423934</v>
      </c>
      <c r="BZ181" s="207">
        <v>243407.94374177346</v>
      </c>
      <c r="CA181" s="207">
        <v>65115.4129479533</v>
      </c>
      <c r="CB181" s="207">
        <v>128168.1286582417</v>
      </c>
      <c r="CC181" s="207">
        <v>257.4</v>
      </c>
      <c r="CD181" s="207">
        <v>201.8346436877764</v>
      </c>
      <c r="CE181" s="207">
        <v>123609.2</v>
      </c>
      <c r="CF181" s="207">
        <v>1522335.0641812857</v>
      </c>
      <c r="CG181" s="207">
        <v>1091678.594665338</v>
      </c>
      <c r="CH181" s="207">
        <v>0</v>
      </c>
      <c r="CI181" s="207">
        <v>3373189.673591592</v>
      </c>
      <c r="CJ181" s="207">
        <v>164455</v>
      </c>
      <c r="CK181" s="207">
        <v>0</v>
      </c>
      <c r="CL181" s="207">
        <v>0</v>
      </c>
      <c r="CM181" s="207">
        <v>13200.34</v>
      </c>
      <c r="CN181" s="207">
        <v>11460158.342267307</v>
      </c>
      <c r="CO181" s="207">
        <v>11473358.682267306</v>
      </c>
      <c r="CP181" s="207">
        <v>2907</v>
      </c>
    </row>
    <row r="182" spans="1:94" ht="9.75">
      <c r="A182" s="175">
        <v>588</v>
      </c>
      <c r="B182" s="175" t="s">
        <v>238</v>
      </c>
      <c r="C182" s="207">
        <v>1739</v>
      </c>
      <c r="D182" s="207">
        <v>6495213.86</v>
      </c>
      <c r="E182" s="207">
        <v>2657211.5949005117</v>
      </c>
      <c r="F182" s="207">
        <v>592768.6335160987</v>
      </c>
      <c r="G182" s="207">
        <v>9745194.088416612</v>
      </c>
      <c r="H182" s="207">
        <v>3524.51</v>
      </c>
      <c r="I182" s="207">
        <v>6129122.890000001</v>
      </c>
      <c r="J182" s="207">
        <v>3616071.198416611</v>
      </c>
      <c r="K182" s="207">
        <v>169957.2257613195</v>
      </c>
      <c r="L182" s="207">
        <v>723605.6918119537</v>
      </c>
      <c r="M182" s="207">
        <v>0</v>
      </c>
      <c r="N182" s="207">
        <v>4509634.115989884</v>
      </c>
      <c r="O182" s="207">
        <v>1709311.7643467067</v>
      </c>
      <c r="P182" s="207">
        <v>6218945.880336591</v>
      </c>
      <c r="Q182" s="207">
        <v>53</v>
      </c>
      <c r="R182" s="207">
        <v>13</v>
      </c>
      <c r="S182" s="207">
        <v>104</v>
      </c>
      <c r="T182" s="207">
        <v>51</v>
      </c>
      <c r="U182" s="207">
        <v>43</v>
      </c>
      <c r="V182" s="207">
        <v>862</v>
      </c>
      <c r="W182" s="207">
        <v>321</v>
      </c>
      <c r="X182" s="207">
        <v>195</v>
      </c>
      <c r="Y182" s="207">
        <v>97</v>
      </c>
      <c r="Z182" s="207">
        <v>2</v>
      </c>
      <c r="AA182" s="207">
        <v>0</v>
      </c>
      <c r="AB182" s="207">
        <v>1681</v>
      </c>
      <c r="AC182" s="207">
        <v>56</v>
      </c>
      <c r="AD182" s="207">
        <v>613</v>
      </c>
      <c r="AE182" s="207">
        <v>1.34820161810608</v>
      </c>
      <c r="AF182" s="207">
        <v>2657211.5949005117</v>
      </c>
      <c r="AG182" s="207">
        <v>1786025.363976283</v>
      </c>
      <c r="AH182" s="207">
        <v>461889.6785027957</v>
      </c>
      <c r="AI182" s="207">
        <v>250171.98719513285</v>
      </c>
      <c r="AJ182" s="207">
        <v>84</v>
      </c>
      <c r="AK182" s="207">
        <v>733</v>
      </c>
      <c r="AL182" s="207">
        <v>0.9903747919136738</v>
      </c>
      <c r="AM182" s="207">
        <v>56</v>
      </c>
      <c r="AN182" s="207">
        <v>0.03220241518113859</v>
      </c>
      <c r="AO182" s="207">
        <v>0.027261703718687996</v>
      </c>
      <c r="AP182" s="207">
        <v>0</v>
      </c>
      <c r="AQ182" s="207">
        <v>2</v>
      </c>
      <c r="AR182" s="207">
        <v>0</v>
      </c>
      <c r="AS182" s="207">
        <v>0</v>
      </c>
      <c r="AT182" s="207">
        <v>0</v>
      </c>
      <c r="AU182" s="207">
        <v>374.45</v>
      </c>
      <c r="AV182" s="207">
        <v>4.64414474562692</v>
      </c>
      <c r="AW182" s="207">
        <v>3.905096183226481</v>
      </c>
      <c r="AX182" s="207">
        <v>86</v>
      </c>
      <c r="AY182" s="207">
        <v>443</v>
      </c>
      <c r="AZ182" s="207">
        <v>0.19413092550790068</v>
      </c>
      <c r="BA182" s="207">
        <v>0.13294708942366618</v>
      </c>
      <c r="BB182" s="207">
        <v>0.271666</v>
      </c>
      <c r="BC182" s="207">
        <v>637</v>
      </c>
      <c r="BD182" s="207">
        <v>611</v>
      </c>
      <c r="BE182" s="207">
        <v>1.0425531914893618</v>
      </c>
      <c r="BF182" s="207">
        <v>0.6336463088982687</v>
      </c>
      <c r="BG182" s="207">
        <v>0</v>
      </c>
      <c r="BH182" s="207">
        <v>0</v>
      </c>
      <c r="BI182" s="207">
        <v>0</v>
      </c>
      <c r="BJ182" s="207">
        <v>-417.35999999999996</v>
      </c>
      <c r="BK182" s="207">
        <v>-7129.9</v>
      </c>
      <c r="BL182" s="207">
        <v>-486.9200000000001</v>
      </c>
      <c r="BM182" s="207">
        <v>-678.21</v>
      </c>
      <c r="BN182" s="207">
        <v>-34.78</v>
      </c>
      <c r="BO182" s="207">
        <v>-43711</v>
      </c>
      <c r="BP182" s="207">
        <v>-77763.22142352044</v>
      </c>
      <c r="BQ182" s="207">
        <v>-157709.91</v>
      </c>
      <c r="BR182" s="207">
        <v>63048.20871804934</v>
      </c>
      <c r="BS182" s="207">
        <v>234115</v>
      </c>
      <c r="BT182" s="207">
        <v>67290</v>
      </c>
      <c r="BU182" s="207">
        <v>168977.94436263852</v>
      </c>
      <c r="BV182" s="207">
        <v>9010.292511181933</v>
      </c>
      <c r="BW182" s="207">
        <v>8334.40104357321</v>
      </c>
      <c r="BX182" s="207">
        <v>76406.0058587274</v>
      </c>
      <c r="BY182" s="207">
        <v>102718.41957583952</v>
      </c>
      <c r="BZ182" s="207">
        <v>162135.96327907612</v>
      </c>
      <c r="CA182" s="207">
        <v>50497.781897483066</v>
      </c>
      <c r="CB182" s="207">
        <v>91577.20905734859</v>
      </c>
      <c r="CC182" s="207">
        <v>156.51</v>
      </c>
      <c r="CD182" s="207">
        <v>-3862.5930684434243</v>
      </c>
      <c r="CE182" s="207">
        <v>75159.58</v>
      </c>
      <c r="CF182" s="207">
        <v>1061853.7232354742</v>
      </c>
      <c r="CG182" s="207">
        <v>723605.6918119537</v>
      </c>
      <c r="CH182" s="207">
        <v>0</v>
      </c>
      <c r="CI182" s="207">
        <v>1709311.7643467067</v>
      </c>
      <c r="CJ182" s="207">
        <v>-262937</v>
      </c>
      <c r="CK182" s="207">
        <v>0</v>
      </c>
      <c r="CL182" s="207">
        <v>0</v>
      </c>
      <c r="CM182" s="207">
        <v>6534.168300000001</v>
      </c>
      <c r="CN182" s="207">
        <v>5956008.880336591</v>
      </c>
      <c r="CO182" s="207">
        <v>5962543.048636591</v>
      </c>
      <c r="CP182" s="207">
        <v>1796</v>
      </c>
    </row>
    <row r="183" spans="1:94" ht="9.75">
      <c r="A183" s="175">
        <v>592</v>
      </c>
      <c r="B183" s="175" t="s">
        <v>239</v>
      </c>
      <c r="C183" s="207">
        <v>3920</v>
      </c>
      <c r="D183" s="207">
        <v>14300867.8</v>
      </c>
      <c r="E183" s="207">
        <v>4615819.8356268015</v>
      </c>
      <c r="F183" s="207">
        <v>778347.5542662218</v>
      </c>
      <c r="G183" s="207">
        <v>19695035.189893022</v>
      </c>
      <c r="H183" s="207">
        <v>3524.51</v>
      </c>
      <c r="I183" s="207">
        <v>13816079.200000001</v>
      </c>
      <c r="J183" s="207">
        <v>5878955.989893021</v>
      </c>
      <c r="K183" s="207">
        <v>38733.233255479456</v>
      </c>
      <c r="L183" s="207">
        <v>1277610.2786759695</v>
      </c>
      <c r="M183" s="207">
        <v>0</v>
      </c>
      <c r="N183" s="207">
        <v>7195299.50182447</v>
      </c>
      <c r="O183" s="207">
        <v>2911360.386395387</v>
      </c>
      <c r="P183" s="207">
        <v>10106659.888219858</v>
      </c>
      <c r="Q183" s="207">
        <v>268</v>
      </c>
      <c r="R183" s="207">
        <v>53</v>
      </c>
      <c r="S183" s="207">
        <v>347</v>
      </c>
      <c r="T183" s="207">
        <v>147</v>
      </c>
      <c r="U183" s="207">
        <v>138</v>
      </c>
      <c r="V183" s="207">
        <v>2049</v>
      </c>
      <c r="W183" s="207">
        <v>528</v>
      </c>
      <c r="X183" s="207">
        <v>276</v>
      </c>
      <c r="Y183" s="207">
        <v>114</v>
      </c>
      <c r="Z183" s="207">
        <v>5</v>
      </c>
      <c r="AA183" s="207">
        <v>1</v>
      </c>
      <c r="AB183" s="207">
        <v>3853</v>
      </c>
      <c r="AC183" s="207">
        <v>61</v>
      </c>
      <c r="AD183" s="207">
        <v>918</v>
      </c>
      <c r="AE183" s="207">
        <v>1.038941440225944</v>
      </c>
      <c r="AF183" s="207">
        <v>4615819.8356268015</v>
      </c>
      <c r="AG183" s="207">
        <v>4469480.647619391</v>
      </c>
      <c r="AH183" s="207">
        <v>927455.5902041309</v>
      </c>
      <c r="AI183" s="207">
        <v>446735.6914198801</v>
      </c>
      <c r="AJ183" s="207">
        <v>188</v>
      </c>
      <c r="AK183" s="207">
        <v>1762</v>
      </c>
      <c r="AL183" s="207">
        <v>0.9220961557812545</v>
      </c>
      <c r="AM183" s="207">
        <v>61</v>
      </c>
      <c r="AN183" s="207">
        <v>0.015561224489795918</v>
      </c>
      <c r="AO183" s="207">
        <v>0.010620513027345325</v>
      </c>
      <c r="AP183" s="207">
        <v>0</v>
      </c>
      <c r="AQ183" s="207">
        <v>5</v>
      </c>
      <c r="AR183" s="207">
        <v>1</v>
      </c>
      <c r="AS183" s="207">
        <v>0</v>
      </c>
      <c r="AT183" s="207">
        <v>0</v>
      </c>
      <c r="AU183" s="207">
        <v>456.4</v>
      </c>
      <c r="AV183" s="207">
        <v>8.588957055214724</v>
      </c>
      <c r="AW183" s="207">
        <v>2.1115290021723836</v>
      </c>
      <c r="AX183" s="207">
        <v>122</v>
      </c>
      <c r="AY183" s="207">
        <v>1191</v>
      </c>
      <c r="AZ183" s="207">
        <v>0.10243492863140219</v>
      </c>
      <c r="BA183" s="207">
        <v>0.041251092547167696</v>
      </c>
      <c r="BB183" s="207">
        <v>0</v>
      </c>
      <c r="BC183" s="207">
        <v>839</v>
      </c>
      <c r="BD183" s="207">
        <v>1489</v>
      </c>
      <c r="BE183" s="207">
        <v>0.5634654130288784</v>
      </c>
      <c r="BF183" s="207">
        <v>0.15455853043778534</v>
      </c>
      <c r="BG183" s="207">
        <v>0</v>
      </c>
      <c r="BH183" s="207">
        <v>1</v>
      </c>
      <c r="BI183" s="207">
        <v>0</v>
      </c>
      <c r="BJ183" s="207">
        <v>-940.8</v>
      </c>
      <c r="BK183" s="207">
        <v>-16071.999999999998</v>
      </c>
      <c r="BL183" s="207">
        <v>-1097.6000000000001</v>
      </c>
      <c r="BM183" s="207">
        <v>-1528.8</v>
      </c>
      <c r="BN183" s="207">
        <v>-78.4</v>
      </c>
      <c r="BO183" s="207">
        <v>123623</v>
      </c>
      <c r="BP183" s="207">
        <v>-129147.70282460665</v>
      </c>
      <c r="BQ183" s="207">
        <v>-355504.8</v>
      </c>
      <c r="BR183" s="207">
        <v>36948.840584326535</v>
      </c>
      <c r="BS183" s="207">
        <v>354457</v>
      </c>
      <c r="BT183" s="207">
        <v>106582</v>
      </c>
      <c r="BU183" s="207">
        <v>254905.20955377643</v>
      </c>
      <c r="BV183" s="207">
        <v>8332.65349028518</v>
      </c>
      <c r="BW183" s="207">
        <v>26530.701781500757</v>
      </c>
      <c r="BX183" s="207">
        <v>123476.20413054695</v>
      </c>
      <c r="BY183" s="207">
        <v>207997.30219506685</v>
      </c>
      <c r="BZ183" s="207">
        <v>310773.8657329674</v>
      </c>
      <c r="CA183" s="207">
        <v>88610.83356448845</v>
      </c>
      <c r="CB183" s="207">
        <v>171137.42344327332</v>
      </c>
      <c r="CC183" s="207">
        <v>352.8</v>
      </c>
      <c r="CD183" s="207">
        <v>10784.547024344334</v>
      </c>
      <c r="CE183" s="207">
        <v>169422.4</v>
      </c>
      <c r="CF183" s="207">
        <v>1993934.781500576</v>
      </c>
      <c r="CG183" s="207">
        <v>1277610.2786759695</v>
      </c>
      <c r="CH183" s="207">
        <v>0</v>
      </c>
      <c r="CI183" s="207">
        <v>2911360.386395387</v>
      </c>
      <c r="CJ183" s="207">
        <v>-100164</v>
      </c>
      <c r="CK183" s="207">
        <v>0</v>
      </c>
      <c r="CL183" s="207">
        <v>0</v>
      </c>
      <c r="CM183" s="207">
        <v>115476.57431999999</v>
      </c>
      <c r="CN183" s="207">
        <v>10006495.888219858</v>
      </c>
      <c r="CO183" s="207">
        <v>10121972.462539857</v>
      </c>
      <c r="CP183" s="207">
        <v>3981</v>
      </c>
    </row>
    <row r="184" spans="1:94" ht="9.75">
      <c r="A184" s="175">
        <v>593</v>
      </c>
      <c r="B184" s="175" t="s">
        <v>240</v>
      </c>
      <c r="C184" s="207">
        <v>18220</v>
      </c>
      <c r="D184" s="207">
        <v>62308552.120000005</v>
      </c>
      <c r="E184" s="207">
        <v>31951100.552460022</v>
      </c>
      <c r="F184" s="207">
        <v>3866681.6227186504</v>
      </c>
      <c r="G184" s="207">
        <v>98126334.29517867</v>
      </c>
      <c r="H184" s="207">
        <v>3524.51</v>
      </c>
      <c r="I184" s="207">
        <v>64216572.2</v>
      </c>
      <c r="J184" s="207">
        <v>33909762.095178664</v>
      </c>
      <c r="K184" s="207">
        <v>691990.2081952034</v>
      </c>
      <c r="L184" s="207">
        <v>5173316.725262659</v>
      </c>
      <c r="M184" s="207">
        <v>0</v>
      </c>
      <c r="N184" s="207">
        <v>39775069.02863652</v>
      </c>
      <c r="O184" s="207">
        <v>9722147.196540749</v>
      </c>
      <c r="P184" s="207">
        <v>49497216.22517727</v>
      </c>
      <c r="Q184" s="207">
        <v>792</v>
      </c>
      <c r="R184" s="207">
        <v>179</v>
      </c>
      <c r="S184" s="207">
        <v>938</v>
      </c>
      <c r="T184" s="207">
        <v>492</v>
      </c>
      <c r="U184" s="207">
        <v>579</v>
      </c>
      <c r="V184" s="207">
        <v>9819</v>
      </c>
      <c r="W184" s="207">
        <v>2945</v>
      </c>
      <c r="X184" s="207">
        <v>1737</v>
      </c>
      <c r="Y184" s="207">
        <v>739</v>
      </c>
      <c r="Z184" s="207">
        <v>20</v>
      </c>
      <c r="AA184" s="207">
        <v>0</v>
      </c>
      <c r="AB184" s="207">
        <v>17735</v>
      </c>
      <c r="AC184" s="207">
        <v>465</v>
      </c>
      <c r="AD184" s="207">
        <v>5421</v>
      </c>
      <c r="AE184" s="207">
        <v>1.547268686987112</v>
      </c>
      <c r="AF184" s="207">
        <v>31951100.552460022</v>
      </c>
      <c r="AG184" s="207">
        <v>3460424.1427040487</v>
      </c>
      <c r="AH184" s="207">
        <v>829977.3646554928</v>
      </c>
      <c r="AI184" s="207">
        <v>312714.983993916</v>
      </c>
      <c r="AJ184" s="207">
        <v>882</v>
      </c>
      <c r="AK184" s="207">
        <v>7909</v>
      </c>
      <c r="AL184" s="207">
        <v>0.9637652782859516</v>
      </c>
      <c r="AM184" s="207">
        <v>465</v>
      </c>
      <c r="AN184" s="207">
        <v>0.02552140504939627</v>
      </c>
      <c r="AO184" s="207">
        <v>0.020580693586945677</v>
      </c>
      <c r="AP184" s="207">
        <v>0</v>
      </c>
      <c r="AQ184" s="207">
        <v>20</v>
      </c>
      <c r="AR184" s="207">
        <v>0</v>
      </c>
      <c r="AS184" s="207">
        <v>0</v>
      </c>
      <c r="AT184" s="207">
        <v>0</v>
      </c>
      <c r="AU184" s="207">
        <v>1568.7</v>
      </c>
      <c r="AV184" s="207">
        <v>11.614712819532096</v>
      </c>
      <c r="AW184" s="207">
        <v>1.561453322375784</v>
      </c>
      <c r="AX184" s="207">
        <v>637</v>
      </c>
      <c r="AY184" s="207">
        <v>4773</v>
      </c>
      <c r="AZ184" s="207">
        <v>0.13345904043578463</v>
      </c>
      <c r="BA184" s="207">
        <v>0.07227520435155013</v>
      </c>
      <c r="BB184" s="207">
        <v>0</v>
      </c>
      <c r="BC184" s="207">
        <v>6710</v>
      </c>
      <c r="BD184" s="207">
        <v>6690</v>
      </c>
      <c r="BE184" s="207">
        <v>1.0029895366218236</v>
      </c>
      <c r="BF184" s="207">
        <v>0.5940826540307305</v>
      </c>
      <c r="BG184" s="207">
        <v>0</v>
      </c>
      <c r="BH184" s="207">
        <v>0</v>
      </c>
      <c r="BI184" s="207">
        <v>0</v>
      </c>
      <c r="BJ184" s="207">
        <v>-4372.8</v>
      </c>
      <c r="BK184" s="207">
        <v>-74702</v>
      </c>
      <c r="BL184" s="207">
        <v>-5101.6</v>
      </c>
      <c r="BM184" s="207">
        <v>-7105.8</v>
      </c>
      <c r="BN184" s="207">
        <v>-364.40000000000003</v>
      </c>
      <c r="BO184" s="207">
        <v>-13406</v>
      </c>
      <c r="BP184" s="207">
        <v>-886574.1005011671</v>
      </c>
      <c r="BQ184" s="207">
        <v>-1652371.8</v>
      </c>
      <c r="BR184" s="207">
        <v>-146001.90130151063</v>
      </c>
      <c r="BS184" s="207">
        <v>1560090</v>
      </c>
      <c r="BT184" s="207">
        <v>513971</v>
      </c>
      <c r="BU184" s="207">
        <v>1260126.626801296</v>
      </c>
      <c r="BV184" s="207">
        <v>63467.03263140767</v>
      </c>
      <c r="BW184" s="207">
        <v>157346.3627602417</v>
      </c>
      <c r="BX184" s="207">
        <v>647965.8766096516</v>
      </c>
      <c r="BY184" s="207">
        <v>974534.7401775933</v>
      </c>
      <c r="BZ184" s="207">
        <v>1699306.929225473</v>
      </c>
      <c r="CA184" s="207">
        <v>475978.1111922534</v>
      </c>
      <c r="CB184" s="207">
        <v>854011.9896444147</v>
      </c>
      <c r="CC184" s="207">
        <v>1639.8</v>
      </c>
      <c r="CD184" s="207">
        <v>-47434.341976993484</v>
      </c>
      <c r="CE184" s="207">
        <v>787468.4</v>
      </c>
      <c r="CF184" s="207">
        <v>8789064.625763826</v>
      </c>
      <c r="CG184" s="207">
        <v>5173316.725262659</v>
      </c>
      <c r="CH184" s="207">
        <v>0</v>
      </c>
      <c r="CI184" s="207">
        <v>9722147.196540749</v>
      </c>
      <c r="CJ184" s="207">
        <v>-2094584</v>
      </c>
      <c r="CK184" s="207">
        <v>0</v>
      </c>
      <c r="CL184" s="207">
        <v>0</v>
      </c>
      <c r="CM184" s="207">
        <v>-47196.49563600001</v>
      </c>
      <c r="CN184" s="207">
        <v>47402632.22517727</v>
      </c>
      <c r="CO184" s="207">
        <v>47355435.72954127</v>
      </c>
      <c r="CP184" s="207">
        <v>18475</v>
      </c>
    </row>
    <row r="185" spans="1:94" ht="9.75">
      <c r="A185" s="175">
        <v>595</v>
      </c>
      <c r="B185" s="175" t="s">
        <v>241</v>
      </c>
      <c r="C185" s="207">
        <v>4624</v>
      </c>
      <c r="D185" s="207">
        <v>17785848.25</v>
      </c>
      <c r="E185" s="207">
        <v>9844245.037348581</v>
      </c>
      <c r="F185" s="207">
        <v>1395750.391411583</v>
      </c>
      <c r="G185" s="207">
        <v>29025843.678760167</v>
      </c>
      <c r="H185" s="207">
        <v>3524.51</v>
      </c>
      <c r="I185" s="207">
        <v>16297334.24</v>
      </c>
      <c r="J185" s="207">
        <v>12728509.438760167</v>
      </c>
      <c r="K185" s="207">
        <v>609596.8521817471</v>
      </c>
      <c r="L185" s="207">
        <v>1915085.7048252937</v>
      </c>
      <c r="M185" s="207">
        <v>0</v>
      </c>
      <c r="N185" s="207">
        <v>15253191.995767208</v>
      </c>
      <c r="O185" s="207">
        <v>4892163.329057195</v>
      </c>
      <c r="P185" s="207">
        <v>20145355.324824404</v>
      </c>
      <c r="Q185" s="207">
        <v>205</v>
      </c>
      <c r="R185" s="207">
        <v>47</v>
      </c>
      <c r="S185" s="207">
        <v>316</v>
      </c>
      <c r="T185" s="207">
        <v>158</v>
      </c>
      <c r="U185" s="207">
        <v>124</v>
      </c>
      <c r="V185" s="207">
        <v>2208</v>
      </c>
      <c r="W185" s="207">
        <v>826</v>
      </c>
      <c r="X185" s="207">
        <v>511</v>
      </c>
      <c r="Y185" s="207">
        <v>229</v>
      </c>
      <c r="Z185" s="207">
        <v>6</v>
      </c>
      <c r="AA185" s="207">
        <v>0</v>
      </c>
      <c r="AB185" s="207">
        <v>4546</v>
      </c>
      <c r="AC185" s="207">
        <v>72</v>
      </c>
      <c r="AD185" s="207">
        <v>1566</v>
      </c>
      <c r="AE185" s="207">
        <v>1.8784207505670656</v>
      </c>
      <c r="AF185" s="207">
        <v>9844245.037348581</v>
      </c>
      <c r="AG185" s="207">
        <v>6102729.370077321</v>
      </c>
      <c r="AH185" s="207">
        <v>1465810.9192365448</v>
      </c>
      <c r="AI185" s="207">
        <v>553952.2573606513</v>
      </c>
      <c r="AJ185" s="207">
        <v>183</v>
      </c>
      <c r="AK185" s="207">
        <v>1741</v>
      </c>
      <c r="AL185" s="207">
        <v>0.90839886909896</v>
      </c>
      <c r="AM185" s="207">
        <v>72</v>
      </c>
      <c r="AN185" s="207">
        <v>0.015570934256055362</v>
      </c>
      <c r="AO185" s="207">
        <v>0.01063022279360477</v>
      </c>
      <c r="AP185" s="207">
        <v>0</v>
      </c>
      <c r="AQ185" s="207">
        <v>6</v>
      </c>
      <c r="AR185" s="207">
        <v>0</v>
      </c>
      <c r="AS185" s="207">
        <v>0</v>
      </c>
      <c r="AT185" s="207">
        <v>0</v>
      </c>
      <c r="AU185" s="207">
        <v>1153.22</v>
      </c>
      <c r="AV185" s="207">
        <v>4.0096425660325</v>
      </c>
      <c r="AW185" s="207">
        <v>4.5230545171621666</v>
      </c>
      <c r="AX185" s="207">
        <v>139</v>
      </c>
      <c r="AY185" s="207">
        <v>1044</v>
      </c>
      <c r="AZ185" s="207">
        <v>0.1331417624521073</v>
      </c>
      <c r="BA185" s="207">
        <v>0.0719579263678728</v>
      </c>
      <c r="BB185" s="207">
        <v>0.484333</v>
      </c>
      <c r="BC185" s="207">
        <v>1312</v>
      </c>
      <c r="BD185" s="207">
        <v>1499</v>
      </c>
      <c r="BE185" s="207">
        <v>0.875250166777852</v>
      </c>
      <c r="BF185" s="207">
        <v>0.46634328418675886</v>
      </c>
      <c r="BG185" s="207">
        <v>0</v>
      </c>
      <c r="BH185" s="207">
        <v>0</v>
      </c>
      <c r="BI185" s="207">
        <v>0</v>
      </c>
      <c r="BJ185" s="207">
        <v>-1109.76</v>
      </c>
      <c r="BK185" s="207">
        <v>-18958.399999999998</v>
      </c>
      <c r="BL185" s="207">
        <v>-1294.72</v>
      </c>
      <c r="BM185" s="207">
        <v>-1803.3600000000001</v>
      </c>
      <c r="BN185" s="207">
        <v>-92.48</v>
      </c>
      <c r="BO185" s="207">
        <v>17169</v>
      </c>
      <c r="BP185" s="207">
        <v>-147247.36073889962</v>
      </c>
      <c r="BQ185" s="207">
        <v>-419350.56</v>
      </c>
      <c r="BR185" s="207">
        <v>172400.20626162738</v>
      </c>
      <c r="BS185" s="207">
        <v>533260</v>
      </c>
      <c r="BT185" s="207">
        <v>148458</v>
      </c>
      <c r="BU185" s="207">
        <v>383608.90878330654</v>
      </c>
      <c r="BV185" s="207">
        <v>21691.08045287163</v>
      </c>
      <c r="BW185" s="207">
        <v>60410.255073567154</v>
      </c>
      <c r="BX185" s="207">
        <v>212891.88876775064</v>
      </c>
      <c r="BY185" s="207">
        <v>253801.99598146603</v>
      </c>
      <c r="BZ185" s="207">
        <v>410291.2388869653</v>
      </c>
      <c r="CA185" s="207">
        <v>117412.21913634996</v>
      </c>
      <c r="CB185" s="207">
        <v>229967.5813498246</v>
      </c>
      <c r="CC185" s="207">
        <v>416.15999999999997</v>
      </c>
      <c r="CD185" s="207">
        <v>-6665.789129536213</v>
      </c>
      <c r="CE185" s="207">
        <v>199849.28</v>
      </c>
      <c r="CF185" s="207">
        <v>2754962.0255641933</v>
      </c>
      <c r="CG185" s="207">
        <v>1915085.7048252937</v>
      </c>
      <c r="CH185" s="207">
        <v>0</v>
      </c>
      <c r="CI185" s="207">
        <v>4892163.329057195</v>
      </c>
      <c r="CJ185" s="207">
        <v>-128068</v>
      </c>
      <c r="CK185" s="207">
        <v>0</v>
      </c>
      <c r="CL185" s="207">
        <v>0</v>
      </c>
      <c r="CM185" s="207">
        <v>58715.11232</v>
      </c>
      <c r="CN185" s="207">
        <v>20017287.324824404</v>
      </c>
      <c r="CO185" s="207">
        <v>20076002.437144402</v>
      </c>
      <c r="CP185" s="207">
        <v>4697</v>
      </c>
    </row>
    <row r="186" spans="1:94" ht="9.75">
      <c r="A186" s="175">
        <v>598</v>
      </c>
      <c r="B186" s="175" t="s">
        <v>242</v>
      </c>
      <c r="C186" s="207">
        <v>19379</v>
      </c>
      <c r="D186" s="207">
        <v>68644041.72</v>
      </c>
      <c r="E186" s="207">
        <v>22106660.93743978</v>
      </c>
      <c r="F186" s="207">
        <v>8262856.609540526</v>
      </c>
      <c r="G186" s="207">
        <v>99013559.2669803</v>
      </c>
      <c r="H186" s="207">
        <v>3524.51</v>
      </c>
      <c r="I186" s="207">
        <v>68301479.29</v>
      </c>
      <c r="J186" s="207">
        <v>30712079.9769803</v>
      </c>
      <c r="K186" s="207">
        <v>1156788.4336235623</v>
      </c>
      <c r="L186" s="207">
        <v>3977931.507595731</v>
      </c>
      <c r="M186" s="207">
        <v>0</v>
      </c>
      <c r="N186" s="207">
        <v>35846799.91819959</v>
      </c>
      <c r="O186" s="207">
        <v>3672006.178487533</v>
      </c>
      <c r="P186" s="207">
        <v>39518806.09668712</v>
      </c>
      <c r="Q186" s="207">
        <v>1114</v>
      </c>
      <c r="R186" s="207">
        <v>197</v>
      </c>
      <c r="S186" s="207">
        <v>1307</v>
      </c>
      <c r="T186" s="207">
        <v>680</v>
      </c>
      <c r="U186" s="207">
        <v>677</v>
      </c>
      <c r="V186" s="207">
        <v>10504</v>
      </c>
      <c r="W186" s="207">
        <v>2587</v>
      </c>
      <c r="X186" s="207">
        <v>1646</v>
      </c>
      <c r="Y186" s="207">
        <v>667</v>
      </c>
      <c r="Z186" s="207">
        <v>10882</v>
      </c>
      <c r="AA186" s="207">
        <v>2</v>
      </c>
      <c r="AB186" s="207">
        <v>6836</v>
      </c>
      <c r="AC186" s="207">
        <v>1659</v>
      </c>
      <c r="AD186" s="207">
        <v>4900</v>
      </c>
      <c r="AE186" s="207">
        <v>1.0065145903120165</v>
      </c>
      <c r="AF186" s="207">
        <v>22106660.93743978</v>
      </c>
      <c r="AG186" s="207">
        <v>40795548.036885075</v>
      </c>
      <c r="AH186" s="207">
        <v>10920579.642389407</v>
      </c>
      <c r="AI186" s="207">
        <v>4458422.200370403</v>
      </c>
      <c r="AJ186" s="207">
        <v>812</v>
      </c>
      <c r="AK186" s="207">
        <v>8830</v>
      </c>
      <c r="AL186" s="207">
        <v>0.7947299717519428</v>
      </c>
      <c r="AM186" s="207">
        <v>1659</v>
      </c>
      <c r="AN186" s="207">
        <v>0.08560813251457763</v>
      </c>
      <c r="AO186" s="207">
        <v>0.08066742105212704</v>
      </c>
      <c r="AP186" s="207">
        <v>3</v>
      </c>
      <c r="AQ186" s="207">
        <v>10882</v>
      </c>
      <c r="AR186" s="207">
        <v>2</v>
      </c>
      <c r="AS186" s="207">
        <v>0</v>
      </c>
      <c r="AT186" s="207">
        <v>0</v>
      </c>
      <c r="AU186" s="207">
        <v>88.45</v>
      </c>
      <c r="AV186" s="207">
        <v>219.09553420011306</v>
      </c>
      <c r="AW186" s="207">
        <v>0.08277590863141218</v>
      </c>
      <c r="AX186" s="207">
        <v>906</v>
      </c>
      <c r="AY186" s="207">
        <v>5663</v>
      </c>
      <c r="AZ186" s="207">
        <v>0.1599858732120784</v>
      </c>
      <c r="BA186" s="207">
        <v>0.09880203712784391</v>
      </c>
      <c r="BB186" s="207">
        <v>0</v>
      </c>
      <c r="BC186" s="207">
        <v>10447</v>
      </c>
      <c r="BD186" s="207">
        <v>7781</v>
      </c>
      <c r="BE186" s="207">
        <v>1.342629482071713</v>
      </c>
      <c r="BF186" s="207">
        <v>0.93372259948062</v>
      </c>
      <c r="BG186" s="207">
        <v>0</v>
      </c>
      <c r="BH186" s="207">
        <v>2</v>
      </c>
      <c r="BI186" s="207">
        <v>0</v>
      </c>
      <c r="BJ186" s="207">
        <v>-4650.96</v>
      </c>
      <c r="BK186" s="207">
        <v>-79453.9</v>
      </c>
      <c r="BL186" s="207">
        <v>-5426.120000000001</v>
      </c>
      <c r="BM186" s="207">
        <v>-7557.81</v>
      </c>
      <c r="BN186" s="207">
        <v>-387.58</v>
      </c>
      <c r="BO186" s="207">
        <v>55415</v>
      </c>
      <c r="BP186" s="207">
        <v>-1058337.5656837984</v>
      </c>
      <c r="BQ186" s="207">
        <v>-1757481.51</v>
      </c>
      <c r="BR186" s="207">
        <v>-237921.06673301756</v>
      </c>
      <c r="BS186" s="207">
        <v>1399413</v>
      </c>
      <c r="BT186" s="207">
        <v>472806</v>
      </c>
      <c r="BU186" s="207">
        <v>1012050.8967615775</v>
      </c>
      <c r="BV186" s="207">
        <v>35295.871407672465</v>
      </c>
      <c r="BW186" s="207">
        <v>186705.40611594936</v>
      </c>
      <c r="BX186" s="207">
        <v>590374.8610830926</v>
      </c>
      <c r="BY186" s="207">
        <v>933102.3237829336</v>
      </c>
      <c r="BZ186" s="207">
        <v>1480886.5428554113</v>
      </c>
      <c r="CA186" s="207">
        <v>440089.8823201661</v>
      </c>
      <c r="CB186" s="207">
        <v>804269.1346674932</v>
      </c>
      <c r="CC186" s="207">
        <v>1744.11</v>
      </c>
      <c r="CD186" s="207">
        <v>-72742.85898174977</v>
      </c>
      <c r="CE186" s="207">
        <v>837560.38</v>
      </c>
      <c r="CF186" s="207">
        <v>7939049.483279529</v>
      </c>
      <c r="CG186" s="207">
        <v>3977931.507595731</v>
      </c>
      <c r="CH186" s="207">
        <v>0</v>
      </c>
      <c r="CI186" s="207">
        <v>3672006.178487533</v>
      </c>
      <c r="CJ186" s="207">
        <v>1011843</v>
      </c>
      <c r="CK186" s="207">
        <v>0</v>
      </c>
      <c r="CL186" s="207">
        <v>0</v>
      </c>
      <c r="CM186" s="207">
        <v>1003727.4529200001</v>
      </c>
      <c r="CN186" s="207">
        <v>40530649.09668712</v>
      </c>
      <c r="CO186" s="207">
        <v>41534376.54960712</v>
      </c>
      <c r="CP186" s="207">
        <v>19377</v>
      </c>
    </row>
    <row r="187" spans="1:94" ht="9.75">
      <c r="A187" s="175">
        <v>601</v>
      </c>
      <c r="B187" s="175" t="s">
        <v>243</v>
      </c>
      <c r="C187" s="207">
        <v>4127</v>
      </c>
      <c r="D187" s="207">
        <v>15018207.64</v>
      </c>
      <c r="E187" s="207">
        <v>7309949.861992388</v>
      </c>
      <c r="F187" s="207">
        <v>1338991.0424140333</v>
      </c>
      <c r="G187" s="207">
        <v>23667148.54440642</v>
      </c>
      <c r="H187" s="207">
        <v>3524.51</v>
      </c>
      <c r="I187" s="207">
        <v>14545652.770000001</v>
      </c>
      <c r="J187" s="207">
        <v>9121495.77440642</v>
      </c>
      <c r="K187" s="207">
        <v>1591751.3649700647</v>
      </c>
      <c r="L187" s="207">
        <v>1662663.7707541808</v>
      </c>
      <c r="M187" s="207">
        <v>0</v>
      </c>
      <c r="N187" s="207">
        <v>12375910.910130665</v>
      </c>
      <c r="O187" s="207">
        <v>4032833.5184605303</v>
      </c>
      <c r="P187" s="207">
        <v>16408744.428591195</v>
      </c>
      <c r="Q187" s="207">
        <v>203</v>
      </c>
      <c r="R187" s="207">
        <v>32</v>
      </c>
      <c r="S187" s="207">
        <v>298</v>
      </c>
      <c r="T187" s="207">
        <v>143</v>
      </c>
      <c r="U187" s="207">
        <v>146</v>
      </c>
      <c r="V187" s="207">
        <v>2096</v>
      </c>
      <c r="W187" s="207">
        <v>637</v>
      </c>
      <c r="X187" s="207">
        <v>417</v>
      </c>
      <c r="Y187" s="207">
        <v>155</v>
      </c>
      <c r="Z187" s="207">
        <v>0</v>
      </c>
      <c r="AA187" s="207">
        <v>0</v>
      </c>
      <c r="AB187" s="207">
        <v>4090</v>
      </c>
      <c r="AC187" s="207">
        <v>37</v>
      </c>
      <c r="AD187" s="207">
        <v>1209</v>
      </c>
      <c r="AE187" s="207">
        <v>1.5628173230659654</v>
      </c>
      <c r="AF187" s="207">
        <v>7309949.861992388</v>
      </c>
      <c r="AG187" s="207">
        <v>28019169.62983902</v>
      </c>
      <c r="AH187" s="207">
        <v>6633859.549743151</v>
      </c>
      <c r="AI187" s="207">
        <v>2966324.9910280034</v>
      </c>
      <c r="AJ187" s="207">
        <v>233</v>
      </c>
      <c r="AK187" s="207">
        <v>1723</v>
      </c>
      <c r="AL187" s="207">
        <v>1.1686781108265236</v>
      </c>
      <c r="AM187" s="207">
        <v>37</v>
      </c>
      <c r="AN187" s="207">
        <v>0.008965350133268718</v>
      </c>
      <c r="AO187" s="207">
        <v>0.004024638670818125</v>
      </c>
      <c r="AP187" s="207">
        <v>0</v>
      </c>
      <c r="AQ187" s="207">
        <v>0</v>
      </c>
      <c r="AR187" s="207">
        <v>0</v>
      </c>
      <c r="AS187" s="207">
        <v>0</v>
      </c>
      <c r="AT187" s="207">
        <v>0</v>
      </c>
      <c r="AU187" s="207">
        <v>1074.9</v>
      </c>
      <c r="AV187" s="207">
        <v>3.8394269234347376</v>
      </c>
      <c r="AW187" s="207">
        <v>4.723577836526382</v>
      </c>
      <c r="AX187" s="207">
        <v>153</v>
      </c>
      <c r="AY187" s="207">
        <v>1056</v>
      </c>
      <c r="AZ187" s="207">
        <v>0.14488636363636365</v>
      </c>
      <c r="BA187" s="207">
        <v>0.08370252755212915</v>
      </c>
      <c r="BB187" s="207">
        <v>1.104983</v>
      </c>
      <c r="BC187" s="207">
        <v>1431</v>
      </c>
      <c r="BD187" s="207">
        <v>1459</v>
      </c>
      <c r="BE187" s="207">
        <v>0.9808087731322824</v>
      </c>
      <c r="BF187" s="207">
        <v>0.5719018905411893</v>
      </c>
      <c r="BG187" s="207">
        <v>0</v>
      </c>
      <c r="BH187" s="207">
        <v>0</v>
      </c>
      <c r="BI187" s="207">
        <v>0</v>
      </c>
      <c r="BJ187" s="207">
        <v>-990.48</v>
      </c>
      <c r="BK187" s="207">
        <v>-16920.699999999997</v>
      </c>
      <c r="BL187" s="207">
        <v>-1155.5600000000002</v>
      </c>
      <c r="BM187" s="207">
        <v>-1609.53</v>
      </c>
      <c r="BN187" s="207">
        <v>-82.54</v>
      </c>
      <c r="BO187" s="207">
        <v>151779</v>
      </c>
      <c r="BP187" s="207">
        <v>-133148.71615319257</v>
      </c>
      <c r="BQ187" s="207">
        <v>-374277.63</v>
      </c>
      <c r="BR187" s="207">
        <v>-25694.288820859045</v>
      </c>
      <c r="BS187" s="207">
        <v>435454</v>
      </c>
      <c r="BT187" s="207">
        <v>135058</v>
      </c>
      <c r="BU187" s="207">
        <v>346967.2032462885</v>
      </c>
      <c r="BV187" s="207">
        <v>19218.919902524325</v>
      </c>
      <c r="BW187" s="207">
        <v>38454.63865206143</v>
      </c>
      <c r="BX187" s="207">
        <v>181707.73576224397</v>
      </c>
      <c r="BY187" s="207">
        <v>245469.4342888694</v>
      </c>
      <c r="BZ187" s="207">
        <v>397891.3351114895</v>
      </c>
      <c r="CA187" s="207">
        <v>111904.98708906565</v>
      </c>
      <c r="CB187" s="207">
        <v>209324.67411016495</v>
      </c>
      <c r="CC187" s="207">
        <v>371.43</v>
      </c>
      <c r="CD187" s="207">
        <v>-12280.19243447551</v>
      </c>
      <c r="CE187" s="207">
        <v>178368.94</v>
      </c>
      <c r="CF187" s="207">
        <v>2413995.8169073733</v>
      </c>
      <c r="CG187" s="207">
        <v>1662663.7707541808</v>
      </c>
      <c r="CH187" s="207">
        <v>0</v>
      </c>
      <c r="CI187" s="207">
        <v>4032833.5184605303</v>
      </c>
      <c r="CJ187" s="207">
        <v>306455</v>
      </c>
      <c r="CK187" s="207">
        <v>0</v>
      </c>
      <c r="CL187" s="207">
        <v>0</v>
      </c>
      <c r="CM187" s="207">
        <v>-54055.39229999999</v>
      </c>
      <c r="CN187" s="207">
        <v>16715199.428591195</v>
      </c>
      <c r="CO187" s="207">
        <v>16661144.036291195</v>
      </c>
      <c r="CP187" s="207">
        <v>4202</v>
      </c>
    </row>
    <row r="188" spans="1:94" ht="9.75">
      <c r="A188" s="175">
        <v>604</v>
      </c>
      <c r="B188" s="175" t="s">
        <v>244</v>
      </c>
      <c r="C188" s="207">
        <v>19237</v>
      </c>
      <c r="D188" s="207">
        <v>65598406.03</v>
      </c>
      <c r="E188" s="207">
        <v>15146783.843390003</v>
      </c>
      <c r="F188" s="207">
        <v>2459617.556799153</v>
      </c>
      <c r="G188" s="207">
        <v>83204807.43018916</v>
      </c>
      <c r="H188" s="207">
        <v>3524.51</v>
      </c>
      <c r="I188" s="207">
        <v>67800998.87</v>
      </c>
      <c r="J188" s="207">
        <v>15403808.560189158</v>
      </c>
      <c r="K188" s="207">
        <v>477872.2279149965</v>
      </c>
      <c r="L188" s="207">
        <v>1729618.7249144525</v>
      </c>
      <c r="M188" s="207">
        <v>0</v>
      </c>
      <c r="N188" s="207">
        <v>17611299.513018608</v>
      </c>
      <c r="O188" s="207">
        <v>-2910245.71192111</v>
      </c>
      <c r="P188" s="207">
        <v>14701053.801097497</v>
      </c>
      <c r="Q188" s="207">
        <v>1526</v>
      </c>
      <c r="R188" s="207">
        <v>304</v>
      </c>
      <c r="S188" s="207">
        <v>1670</v>
      </c>
      <c r="T188" s="207">
        <v>776</v>
      </c>
      <c r="U188" s="207">
        <v>708</v>
      </c>
      <c r="V188" s="207">
        <v>10931</v>
      </c>
      <c r="W188" s="207">
        <v>2047</v>
      </c>
      <c r="X188" s="207">
        <v>982</v>
      </c>
      <c r="Y188" s="207">
        <v>293</v>
      </c>
      <c r="Z188" s="207">
        <v>81</v>
      </c>
      <c r="AA188" s="207">
        <v>1</v>
      </c>
      <c r="AB188" s="207">
        <v>18477</v>
      </c>
      <c r="AC188" s="207">
        <v>678</v>
      </c>
      <c r="AD188" s="207">
        <v>3322</v>
      </c>
      <c r="AE188" s="207">
        <v>0.6947225085345853</v>
      </c>
      <c r="AF188" s="207">
        <v>15146783.843390003</v>
      </c>
      <c r="AG188" s="207">
        <v>11085406.683944883</v>
      </c>
      <c r="AH188" s="207">
        <v>2428326.1649972713</v>
      </c>
      <c r="AI188" s="207">
        <v>1090035.0870645072</v>
      </c>
      <c r="AJ188" s="207">
        <v>778</v>
      </c>
      <c r="AK188" s="207">
        <v>9454</v>
      </c>
      <c r="AL188" s="207">
        <v>0.711194296800269</v>
      </c>
      <c r="AM188" s="207">
        <v>678</v>
      </c>
      <c r="AN188" s="207">
        <v>0.03524458075583511</v>
      </c>
      <c r="AO188" s="207">
        <v>0.030303869293384515</v>
      </c>
      <c r="AP188" s="207">
        <v>0</v>
      </c>
      <c r="AQ188" s="207">
        <v>81</v>
      </c>
      <c r="AR188" s="207">
        <v>1</v>
      </c>
      <c r="AS188" s="207">
        <v>0</v>
      </c>
      <c r="AT188" s="207">
        <v>0</v>
      </c>
      <c r="AU188" s="207">
        <v>81.43</v>
      </c>
      <c r="AV188" s="207">
        <v>236.23971509271766</v>
      </c>
      <c r="AW188" s="207">
        <v>0.07676876816999707</v>
      </c>
      <c r="AX188" s="207">
        <v>497</v>
      </c>
      <c r="AY188" s="207">
        <v>6841</v>
      </c>
      <c r="AZ188" s="207">
        <v>0.07265019733957023</v>
      </c>
      <c r="BA188" s="207">
        <v>0.01146636125533574</v>
      </c>
      <c r="BB188" s="207">
        <v>0</v>
      </c>
      <c r="BC188" s="207">
        <v>6765</v>
      </c>
      <c r="BD188" s="207">
        <v>8483</v>
      </c>
      <c r="BE188" s="207">
        <v>0.7974773075562891</v>
      </c>
      <c r="BF188" s="207">
        <v>0.388570424965196</v>
      </c>
      <c r="BG188" s="207">
        <v>0</v>
      </c>
      <c r="BH188" s="207">
        <v>1</v>
      </c>
      <c r="BI188" s="207">
        <v>0</v>
      </c>
      <c r="BJ188" s="207">
        <v>-4616.88</v>
      </c>
      <c r="BK188" s="207">
        <v>-78871.7</v>
      </c>
      <c r="BL188" s="207">
        <v>-5386.360000000001</v>
      </c>
      <c r="BM188" s="207">
        <v>-7502.43</v>
      </c>
      <c r="BN188" s="207">
        <v>-384.74</v>
      </c>
      <c r="BO188" s="207">
        <v>147112</v>
      </c>
      <c r="BP188" s="207">
        <v>-777928.3786997967</v>
      </c>
      <c r="BQ188" s="207">
        <v>-1744603.53</v>
      </c>
      <c r="BR188" s="207">
        <v>-475239.0150869675</v>
      </c>
      <c r="BS188" s="207">
        <v>962488</v>
      </c>
      <c r="BT188" s="207">
        <v>315242</v>
      </c>
      <c r="BU188" s="207">
        <v>572600.7651110376</v>
      </c>
      <c r="BV188" s="207">
        <v>-261.91042154564855</v>
      </c>
      <c r="BW188" s="207">
        <v>-137431.19608466787</v>
      </c>
      <c r="BX188" s="207">
        <v>318185.54417433374</v>
      </c>
      <c r="BY188" s="207">
        <v>684278.3250537483</v>
      </c>
      <c r="BZ188" s="207">
        <v>1214601.6352733036</v>
      </c>
      <c r="CA188" s="207">
        <v>334343.7114681549</v>
      </c>
      <c r="CB188" s="207">
        <v>593427.0950155176</v>
      </c>
      <c r="CC188" s="207">
        <v>1731.33</v>
      </c>
      <c r="CD188" s="207">
        <v>26555.90911133503</v>
      </c>
      <c r="CE188" s="207">
        <v>831423.14</v>
      </c>
      <c r="CF188" s="207">
        <v>5389057.33361425</v>
      </c>
      <c r="CG188" s="207">
        <v>1729618.7249144525</v>
      </c>
      <c r="CH188" s="207">
        <v>0</v>
      </c>
      <c r="CI188" s="207">
        <v>-2910245.71192111</v>
      </c>
      <c r="CJ188" s="207">
        <v>-2149982</v>
      </c>
      <c r="CK188" s="207">
        <v>0</v>
      </c>
      <c r="CL188" s="207">
        <v>0</v>
      </c>
      <c r="CM188" s="207">
        <v>-1285838.5192300002</v>
      </c>
      <c r="CN188" s="207">
        <v>12551071.801097497</v>
      </c>
      <c r="CO188" s="207">
        <v>11265233.281867497</v>
      </c>
      <c r="CP188" s="207">
        <v>19163</v>
      </c>
    </row>
    <row r="189" spans="1:94" ht="9.75">
      <c r="A189" s="175">
        <v>607</v>
      </c>
      <c r="B189" s="175" t="s">
        <v>245</v>
      </c>
      <c r="C189" s="207">
        <v>4414</v>
      </c>
      <c r="D189" s="207">
        <v>14920726.02</v>
      </c>
      <c r="E189" s="207">
        <v>7161708.210789021</v>
      </c>
      <c r="F189" s="207">
        <v>1225665.560643157</v>
      </c>
      <c r="G189" s="207">
        <v>23308099.79143218</v>
      </c>
      <c r="H189" s="207">
        <v>3524.51</v>
      </c>
      <c r="I189" s="207">
        <v>15557187.14</v>
      </c>
      <c r="J189" s="207">
        <v>7750912.651432179</v>
      </c>
      <c r="K189" s="207">
        <v>113039.78661870584</v>
      </c>
      <c r="L189" s="207">
        <v>2324122.1148993177</v>
      </c>
      <c r="M189" s="207">
        <v>0</v>
      </c>
      <c r="N189" s="207">
        <v>10188074.552950203</v>
      </c>
      <c r="O189" s="207">
        <v>4922563.183851632</v>
      </c>
      <c r="P189" s="207">
        <v>15110637.736801837</v>
      </c>
      <c r="Q189" s="207">
        <v>216</v>
      </c>
      <c r="R189" s="207">
        <v>38</v>
      </c>
      <c r="S189" s="207">
        <v>244</v>
      </c>
      <c r="T189" s="207">
        <v>110</v>
      </c>
      <c r="U189" s="207">
        <v>148</v>
      </c>
      <c r="V189" s="207">
        <v>2321</v>
      </c>
      <c r="W189" s="207">
        <v>777</v>
      </c>
      <c r="X189" s="207">
        <v>397</v>
      </c>
      <c r="Y189" s="207">
        <v>163</v>
      </c>
      <c r="Z189" s="207">
        <v>3</v>
      </c>
      <c r="AA189" s="207">
        <v>0</v>
      </c>
      <c r="AB189" s="207">
        <v>4374</v>
      </c>
      <c r="AC189" s="207">
        <v>37</v>
      </c>
      <c r="AD189" s="207">
        <v>1337</v>
      </c>
      <c r="AE189" s="207">
        <v>1.431569974405081</v>
      </c>
      <c r="AF189" s="207">
        <v>7161708.210789021</v>
      </c>
      <c r="AG189" s="207">
        <v>8582493.53580042</v>
      </c>
      <c r="AH189" s="207">
        <v>2130357.789957767</v>
      </c>
      <c r="AI189" s="207">
        <v>920275.524324953</v>
      </c>
      <c r="AJ189" s="207">
        <v>299</v>
      </c>
      <c r="AK189" s="207">
        <v>1898</v>
      </c>
      <c r="AL189" s="207">
        <v>1.3614423203581725</v>
      </c>
      <c r="AM189" s="207">
        <v>37</v>
      </c>
      <c r="AN189" s="207">
        <v>0.008382419574082464</v>
      </c>
      <c r="AO189" s="207">
        <v>0.003441708111631871</v>
      </c>
      <c r="AP189" s="207">
        <v>0</v>
      </c>
      <c r="AQ189" s="207">
        <v>3</v>
      </c>
      <c r="AR189" s="207">
        <v>0</v>
      </c>
      <c r="AS189" s="207">
        <v>0</v>
      </c>
      <c r="AT189" s="207">
        <v>0</v>
      </c>
      <c r="AU189" s="207">
        <v>804.15</v>
      </c>
      <c r="AV189" s="207">
        <v>5.48902567928869</v>
      </c>
      <c r="AW189" s="207">
        <v>3.3040165924035505</v>
      </c>
      <c r="AX189" s="207">
        <v>141</v>
      </c>
      <c r="AY189" s="207">
        <v>1138</v>
      </c>
      <c r="AZ189" s="207">
        <v>0.12390158172231985</v>
      </c>
      <c r="BA189" s="207">
        <v>0.06271774563808535</v>
      </c>
      <c r="BB189" s="207">
        <v>0</v>
      </c>
      <c r="BC189" s="207">
        <v>1194</v>
      </c>
      <c r="BD189" s="207">
        <v>1475</v>
      </c>
      <c r="BE189" s="207">
        <v>0.8094915254237288</v>
      </c>
      <c r="BF189" s="207">
        <v>0.40058464283263573</v>
      </c>
      <c r="BG189" s="207">
        <v>0</v>
      </c>
      <c r="BH189" s="207">
        <v>0</v>
      </c>
      <c r="BI189" s="207">
        <v>0</v>
      </c>
      <c r="BJ189" s="207">
        <v>-1059.36</v>
      </c>
      <c r="BK189" s="207">
        <v>-18097.399999999998</v>
      </c>
      <c r="BL189" s="207">
        <v>-1235.92</v>
      </c>
      <c r="BM189" s="207">
        <v>-1721.46</v>
      </c>
      <c r="BN189" s="207">
        <v>-88.28</v>
      </c>
      <c r="BO189" s="207">
        <v>420601</v>
      </c>
      <c r="BP189" s="207">
        <v>-68174.81785650179</v>
      </c>
      <c r="BQ189" s="207">
        <v>-400305.66</v>
      </c>
      <c r="BR189" s="207">
        <v>80441.11767227948</v>
      </c>
      <c r="BS189" s="207">
        <v>474631</v>
      </c>
      <c r="BT189" s="207">
        <v>148166</v>
      </c>
      <c r="BU189" s="207">
        <v>409995.1621572207</v>
      </c>
      <c r="BV189" s="207">
        <v>23164.831209844506</v>
      </c>
      <c r="BW189" s="207">
        <v>70872.7202046957</v>
      </c>
      <c r="BX189" s="207">
        <v>175906.08465712712</v>
      </c>
      <c r="BY189" s="207">
        <v>265433.29563446343</v>
      </c>
      <c r="BZ189" s="207">
        <v>408578.5953259517</v>
      </c>
      <c r="CA189" s="207">
        <v>117579.48942582084</v>
      </c>
      <c r="CB189" s="207">
        <v>217648.2905222606</v>
      </c>
      <c r="CC189" s="207">
        <v>397.26</v>
      </c>
      <c r="CD189" s="207">
        <v>49282.06594615624</v>
      </c>
      <c r="CE189" s="207">
        <v>190773.08</v>
      </c>
      <c r="CF189" s="207">
        <v>3053469.9927558196</v>
      </c>
      <c r="CG189" s="207">
        <v>2324122.1148993177</v>
      </c>
      <c r="CH189" s="207">
        <v>0</v>
      </c>
      <c r="CI189" s="207">
        <v>4922563.183851632</v>
      </c>
      <c r="CJ189" s="207">
        <v>-448596</v>
      </c>
      <c r="CK189" s="207">
        <v>0</v>
      </c>
      <c r="CL189" s="207">
        <v>0</v>
      </c>
      <c r="CM189" s="207">
        <v>-15101.18896</v>
      </c>
      <c r="CN189" s="207">
        <v>14662041.736801837</v>
      </c>
      <c r="CO189" s="207">
        <v>14646940.547841836</v>
      </c>
      <c r="CP189" s="207">
        <v>4514</v>
      </c>
    </row>
    <row r="190" spans="1:94" ht="9.75">
      <c r="A190" s="175">
        <v>608</v>
      </c>
      <c r="B190" s="175" t="s">
        <v>246</v>
      </c>
      <c r="C190" s="207">
        <v>2166</v>
      </c>
      <c r="D190" s="207">
        <v>8131288.55</v>
      </c>
      <c r="E190" s="207">
        <v>2988440.930083015</v>
      </c>
      <c r="F190" s="207">
        <v>519566.794202149</v>
      </c>
      <c r="G190" s="207">
        <v>11639296.274285164</v>
      </c>
      <c r="H190" s="207">
        <v>3524.51</v>
      </c>
      <c r="I190" s="207">
        <v>7634088.66</v>
      </c>
      <c r="J190" s="207">
        <v>4005207.6142851636</v>
      </c>
      <c r="K190" s="207">
        <v>49334.28923076924</v>
      </c>
      <c r="L190" s="207">
        <v>767656.0912914146</v>
      </c>
      <c r="M190" s="207">
        <v>1457.7907886448863</v>
      </c>
      <c r="N190" s="207">
        <v>4823655.785595993</v>
      </c>
      <c r="O190" s="207">
        <v>2079474.8781379987</v>
      </c>
      <c r="P190" s="207">
        <v>6903130.663733991</v>
      </c>
      <c r="Q190" s="207">
        <v>117</v>
      </c>
      <c r="R190" s="207">
        <v>19</v>
      </c>
      <c r="S190" s="207">
        <v>149</v>
      </c>
      <c r="T190" s="207">
        <v>75</v>
      </c>
      <c r="U190" s="207">
        <v>83</v>
      </c>
      <c r="V190" s="207">
        <v>1084</v>
      </c>
      <c r="W190" s="207">
        <v>339</v>
      </c>
      <c r="X190" s="207">
        <v>205</v>
      </c>
      <c r="Y190" s="207">
        <v>95</v>
      </c>
      <c r="Z190" s="207">
        <v>2</v>
      </c>
      <c r="AA190" s="207">
        <v>0</v>
      </c>
      <c r="AB190" s="207">
        <v>2145</v>
      </c>
      <c r="AC190" s="207">
        <v>19</v>
      </c>
      <c r="AD190" s="207">
        <v>639</v>
      </c>
      <c r="AE190" s="207">
        <v>1.2173473392363259</v>
      </c>
      <c r="AF190" s="207">
        <v>2988440.930083015</v>
      </c>
      <c r="AG190" s="207">
        <v>19247066.996988986</v>
      </c>
      <c r="AH190" s="207">
        <v>4124927.134718959</v>
      </c>
      <c r="AI190" s="207">
        <v>1724399.768880737</v>
      </c>
      <c r="AJ190" s="207">
        <v>113</v>
      </c>
      <c r="AK190" s="207">
        <v>904</v>
      </c>
      <c r="AL190" s="207">
        <v>1.0802748846320283</v>
      </c>
      <c r="AM190" s="207">
        <v>19</v>
      </c>
      <c r="AN190" s="207">
        <v>0.008771929824561403</v>
      </c>
      <c r="AO190" s="207">
        <v>0.00383121836211081</v>
      </c>
      <c r="AP190" s="207">
        <v>0</v>
      </c>
      <c r="AQ190" s="207">
        <v>2</v>
      </c>
      <c r="AR190" s="207">
        <v>0</v>
      </c>
      <c r="AS190" s="207">
        <v>0</v>
      </c>
      <c r="AT190" s="207">
        <v>0</v>
      </c>
      <c r="AU190" s="207">
        <v>301.18</v>
      </c>
      <c r="AV190" s="207">
        <v>7.191712597118002</v>
      </c>
      <c r="AW190" s="207">
        <v>2.521768170736791</v>
      </c>
      <c r="AX190" s="207">
        <v>96</v>
      </c>
      <c r="AY190" s="207">
        <v>580</v>
      </c>
      <c r="AZ190" s="207">
        <v>0.16551724137931034</v>
      </c>
      <c r="BA190" s="207">
        <v>0.10433340529507584</v>
      </c>
      <c r="BB190" s="207">
        <v>0</v>
      </c>
      <c r="BC190" s="207">
        <v>567</v>
      </c>
      <c r="BD190" s="207">
        <v>741</v>
      </c>
      <c r="BE190" s="207">
        <v>0.7651821862348178</v>
      </c>
      <c r="BF190" s="207">
        <v>0.35627530364372473</v>
      </c>
      <c r="BG190" s="207">
        <v>0</v>
      </c>
      <c r="BH190" s="207">
        <v>0</v>
      </c>
      <c r="BI190" s="207">
        <v>0</v>
      </c>
      <c r="BJ190" s="207">
        <v>-519.84</v>
      </c>
      <c r="BK190" s="207">
        <v>-8880.599999999999</v>
      </c>
      <c r="BL190" s="207">
        <v>-606.48</v>
      </c>
      <c r="BM190" s="207">
        <v>-844.74</v>
      </c>
      <c r="BN190" s="207">
        <v>-43.32</v>
      </c>
      <c r="BO190" s="207">
        <v>69250</v>
      </c>
      <c r="BP190" s="207">
        <v>-56646.47851651608</v>
      </c>
      <c r="BQ190" s="207">
        <v>-196434.54</v>
      </c>
      <c r="BR190" s="207">
        <v>-60503.46341793239</v>
      </c>
      <c r="BS190" s="207">
        <v>227685</v>
      </c>
      <c r="BT190" s="207">
        <v>68669</v>
      </c>
      <c r="BU190" s="207">
        <v>174137.51447144392</v>
      </c>
      <c r="BV190" s="207">
        <v>9685.854308653408</v>
      </c>
      <c r="BW190" s="207">
        <v>19472.155895094435</v>
      </c>
      <c r="BX190" s="207">
        <v>85293.42274896333</v>
      </c>
      <c r="BY190" s="207">
        <v>118840.12738225592</v>
      </c>
      <c r="BZ190" s="207">
        <v>187810.57467574356</v>
      </c>
      <c r="CA190" s="207">
        <v>47927.0629042701</v>
      </c>
      <c r="CB190" s="207">
        <v>97253.69510786733</v>
      </c>
      <c r="CC190" s="207">
        <v>194.94</v>
      </c>
      <c r="CD190" s="207">
        <v>9417.305731571021</v>
      </c>
      <c r="CE190" s="207">
        <v>93614.52</v>
      </c>
      <c r="CF190" s="207">
        <v>1148747.7098079307</v>
      </c>
      <c r="CG190" s="207">
        <v>767656.0912914146</v>
      </c>
      <c r="CH190" s="207">
        <v>1457.7907886448863</v>
      </c>
      <c r="CI190" s="207">
        <v>2079474.8781379987</v>
      </c>
      <c r="CJ190" s="207">
        <v>188748</v>
      </c>
      <c r="CK190" s="207">
        <v>0</v>
      </c>
      <c r="CL190" s="207">
        <v>0</v>
      </c>
      <c r="CM190" s="207">
        <v>-44881.155999999995</v>
      </c>
      <c r="CN190" s="207">
        <v>7091878.663733991</v>
      </c>
      <c r="CO190" s="207">
        <v>7046997.50773399</v>
      </c>
      <c r="CP190" s="207">
        <v>2233</v>
      </c>
    </row>
    <row r="191" spans="1:94" ht="9.75">
      <c r="A191" s="175">
        <v>609</v>
      </c>
      <c r="B191" s="175" t="s">
        <v>247</v>
      </c>
      <c r="C191" s="207">
        <v>84587</v>
      </c>
      <c r="D191" s="207">
        <v>282526882.24</v>
      </c>
      <c r="E191" s="207">
        <v>96053197.33889884</v>
      </c>
      <c r="F191" s="207">
        <v>16820649.506194882</v>
      </c>
      <c r="G191" s="207">
        <v>395400729.08509374</v>
      </c>
      <c r="H191" s="207">
        <v>3524.51</v>
      </c>
      <c r="I191" s="207">
        <v>298127727.37</v>
      </c>
      <c r="J191" s="207">
        <v>97273001.71509373</v>
      </c>
      <c r="K191" s="207">
        <v>3452518.404313973</v>
      </c>
      <c r="L191" s="207">
        <v>21217159.485787794</v>
      </c>
      <c r="M191" s="207">
        <v>0</v>
      </c>
      <c r="N191" s="207">
        <v>121942679.60519549</v>
      </c>
      <c r="O191" s="207">
        <v>26405853.24124076</v>
      </c>
      <c r="P191" s="207">
        <v>148348532.84643626</v>
      </c>
      <c r="Q191" s="207">
        <v>4606</v>
      </c>
      <c r="R191" s="207">
        <v>824</v>
      </c>
      <c r="S191" s="207">
        <v>5125</v>
      </c>
      <c r="T191" s="207">
        <v>2541</v>
      </c>
      <c r="U191" s="207">
        <v>2553</v>
      </c>
      <c r="V191" s="207">
        <v>47827</v>
      </c>
      <c r="W191" s="207">
        <v>11749</v>
      </c>
      <c r="X191" s="207">
        <v>6629</v>
      </c>
      <c r="Y191" s="207">
        <v>2733</v>
      </c>
      <c r="Z191" s="207">
        <v>463</v>
      </c>
      <c r="AA191" s="207">
        <v>1</v>
      </c>
      <c r="AB191" s="207">
        <v>81484</v>
      </c>
      <c r="AC191" s="207">
        <v>2639</v>
      </c>
      <c r="AD191" s="207">
        <v>21111</v>
      </c>
      <c r="AE191" s="207">
        <v>1.0019279471674383</v>
      </c>
      <c r="AF191" s="207">
        <v>96053197.33889884</v>
      </c>
      <c r="AG191" s="207">
        <v>9637515.882424762</v>
      </c>
      <c r="AH191" s="207">
        <v>1937607.0787796148</v>
      </c>
      <c r="AI191" s="207">
        <v>848797.8136977721</v>
      </c>
      <c r="AJ191" s="207">
        <v>5683</v>
      </c>
      <c r="AK191" s="207">
        <v>39541</v>
      </c>
      <c r="AL191" s="207">
        <v>1.2420934562836177</v>
      </c>
      <c r="AM191" s="207">
        <v>2639</v>
      </c>
      <c r="AN191" s="207">
        <v>0.031198647546313265</v>
      </c>
      <c r="AO191" s="207">
        <v>0.026257936083862673</v>
      </c>
      <c r="AP191" s="207">
        <v>0</v>
      </c>
      <c r="AQ191" s="207">
        <v>463</v>
      </c>
      <c r="AR191" s="207">
        <v>1</v>
      </c>
      <c r="AS191" s="207">
        <v>3</v>
      </c>
      <c r="AT191" s="207">
        <v>952</v>
      </c>
      <c r="AU191" s="207">
        <v>1155.79</v>
      </c>
      <c r="AV191" s="207">
        <v>73.18544026163923</v>
      </c>
      <c r="AW191" s="207">
        <v>0.24780655627216402</v>
      </c>
      <c r="AX191" s="207">
        <v>3233</v>
      </c>
      <c r="AY191" s="207">
        <v>24892</v>
      </c>
      <c r="AZ191" s="207">
        <v>0.12988108629278483</v>
      </c>
      <c r="BA191" s="207">
        <v>0.06869725020855033</v>
      </c>
      <c r="BB191" s="207">
        <v>0</v>
      </c>
      <c r="BC191" s="207">
        <v>33439</v>
      </c>
      <c r="BD191" s="207">
        <v>31927</v>
      </c>
      <c r="BE191" s="207">
        <v>1.0473580355185266</v>
      </c>
      <c r="BF191" s="207">
        <v>0.6384511529274335</v>
      </c>
      <c r="BG191" s="207">
        <v>0</v>
      </c>
      <c r="BH191" s="207">
        <v>1</v>
      </c>
      <c r="BI191" s="207">
        <v>0</v>
      </c>
      <c r="BJ191" s="207">
        <v>-20300.88</v>
      </c>
      <c r="BK191" s="207">
        <v>-346806.69999999995</v>
      </c>
      <c r="BL191" s="207">
        <v>-23684.36</v>
      </c>
      <c r="BM191" s="207">
        <v>-32988.93</v>
      </c>
      <c r="BN191" s="207">
        <v>-1691.74</v>
      </c>
      <c r="BO191" s="207">
        <v>2961916</v>
      </c>
      <c r="BP191" s="207">
        <v>-5316637.024565099</v>
      </c>
      <c r="BQ191" s="207">
        <v>-7671195.03</v>
      </c>
      <c r="BR191" s="207">
        <v>391170.84370395355</v>
      </c>
      <c r="BS191" s="207">
        <v>5977751</v>
      </c>
      <c r="BT191" s="207">
        <v>2064395</v>
      </c>
      <c r="BU191" s="207">
        <v>4911326.570886874</v>
      </c>
      <c r="BV191" s="207">
        <v>211502.83104590638</v>
      </c>
      <c r="BW191" s="207">
        <v>284484.42643885675</v>
      </c>
      <c r="BX191" s="207">
        <v>2351587.2856159857</v>
      </c>
      <c r="BY191" s="207">
        <v>4132607.308693329</v>
      </c>
      <c r="BZ191" s="207">
        <v>6287328.97257184</v>
      </c>
      <c r="CA191" s="207">
        <v>2094464.6514643608</v>
      </c>
      <c r="CB191" s="207">
        <v>3575023.8903953033</v>
      </c>
      <c r="CC191" s="207">
        <v>7612.83</v>
      </c>
      <c r="CD191" s="207">
        <v>297061.489536478</v>
      </c>
      <c r="CE191" s="207">
        <v>3655850.14</v>
      </c>
      <c r="CF191" s="207">
        <v>39204083.24035289</v>
      </c>
      <c r="CG191" s="207">
        <v>21217159.485787794</v>
      </c>
      <c r="CH191" s="207">
        <v>0</v>
      </c>
      <c r="CI191" s="207">
        <v>26405853.24124076</v>
      </c>
      <c r="CJ191" s="207">
        <v>-6305652</v>
      </c>
      <c r="CK191" s="207">
        <v>0</v>
      </c>
      <c r="CL191" s="207">
        <v>0</v>
      </c>
      <c r="CM191" s="207">
        <v>-2915714.859812</v>
      </c>
      <c r="CN191" s="207">
        <v>142042880.84643626</v>
      </c>
      <c r="CO191" s="207">
        <v>139127165.98662427</v>
      </c>
      <c r="CP191" s="207">
        <v>85059</v>
      </c>
    </row>
    <row r="192" spans="1:94" ht="9.75">
      <c r="A192" s="175">
        <v>611</v>
      </c>
      <c r="B192" s="175" t="s">
        <v>248</v>
      </c>
      <c r="C192" s="207">
        <v>5121</v>
      </c>
      <c r="D192" s="207">
        <v>18399099.91</v>
      </c>
      <c r="E192" s="207">
        <v>3781914.043368918</v>
      </c>
      <c r="F192" s="207">
        <v>697572.9282476306</v>
      </c>
      <c r="G192" s="207">
        <v>22878586.881616548</v>
      </c>
      <c r="H192" s="207">
        <v>3524.51</v>
      </c>
      <c r="I192" s="207">
        <v>18049015.71</v>
      </c>
      <c r="J192" s="207">
        <v>4829571.171616547</v>
      </c>
      <c r="K192" s="207">
        <v>18022.419494605852</v>
      </c>
      <c r="L192" s="207">
        <v>981766.9537628856</v>
      </c>
      <c r="M192" s="207">
        <v>0</v>
      </c>
      <c r="N192" s="207">
        <v>5829360.544874039</v>
      </c>
      <c r="O192" s="207">
        <v>951777.1369512869</v>
      </c>
      <c r="P192" s="207">
        <v>6781137.681825326</v>
      </c>
      <c r="Q192" s="207">
        <v>357</v>
      </c>
      <c r="R192" s="207">
        <v>73</v>
      </c>
      <c r="S192" s="207">
        <v>501</v>
      </c>
      <c r="T192" s="207">
        <v>301</v>
      </c>
      <c r="U192" s="207">
        <v>239</v>
      </c>
      <c r="V192" s="207">
        <v>2896</v>
      </c>
      <c r="W192" s="207">
        <v>466</v>
      </c>
      <c r="X192" s="207">
        <v>205</v>
      </c>
      <c r="Y192" s="207">
        <v>83</v>
      </c>
      <c r="Z192" s="207">
        <v>118</v>
      </c>
      <c r="AA192" s="207">
        <v>0</v>
      </c>
      <c r="AB192" s="207">
        <v>4883</v>
      </c>
      <c r="AC192" s="207">
        <v>120</v>
      </c>
      <c r="AD192" s="207">
        <v>754</v>
      </c>
      <c r="AE192" s="207">
        <v>0.6516061358566436</v>
      </c>
      <c r="AF192" s="207">
        <v>3781914.043368918</v>
      </c>
      <c r="AG192" s="207">
        <v>4113212.162061268</v>
      </c>
      <c r="AH192" s="207">
        <v>918942.208060145</v>
      </c>
      <c r="AI192" s="207">
        <v>464605.11907667527</v>
      </c>
      <c r="AJ192" s="207">
        <v>161</v>
      </c>
      <c r="AK192" s="207">
        <v>2585</v>
      </c>
      <c r="AL192" s="207">
        <v>0.5382568864240047</v>
      </c>
      <c r="AM192" s="207">
        <v>120</v>
      </c>
      <c r="AN192" s="207">
        <v>0.023432923257176334</v>
      </c>
      <c r="AO192" s="207">
        <v>0.01849221179472574</v>
      </c>
      <c r="AP192" s="207">
        <v>0</v>
      </c>
      <c r="AQ192" s="207">
        <v>118</v>
      </c>
      <c r="AR192" s="207">
        <v>0</v>
      </c>
      <c r="AS192" s="207">
        <v>0</v>
      </c>
      <c r="AT192" s="207">
        <v>0</v>
      </c>
      <c r="AU192" s="207">
        <v>146.52</v>
      </c>
      <c r="AV192" s="207">
        <v>34.95085995085995</v>
      </c>
      <c r="AW192" s="207">
        <v>0.5188951558272825</v>
      </c>
      <c r="AX192" s="207">
        <v>262</v>
      </c>
      <c r="AY192" s="207">
        <v>1777</v>
      </c>
      <c r="AZ192" s="207">
        <v>0.14743950478334272</v>
      </c>
      <c r="BA192" s="207">
        <v>0.08625566869910822</v>
      </c>
      <c r="BB192" s="207">
        <v>0</v>
      </c>
      <c r="BC192" s="207">
        <v>1107</v>
      </c>
      <c r="BD192" s="207">
        <v>2386</v>
      </c>
      <c r="BE192" s="207">
        <v>0.4639564124056999</v>
      </c>
      <c r="BF192" s="207">
        <v>0.05504952981460681</v>
      </c>
      <c r="BG192" s="207">
        <v>0</v>
      </c>
      <c r="BH192" s="207">
        <v>0</v>
      </c>
      <c r="BI192" s="207">
        <v>0</v>
      </c>
      <c r="BJ192" s="207">
        <v>-1229.04</v>
      </c>
      <c r="BK192" s="207">
        <v>-20996.1</v>
      </c>
      <c r="BL192" s="207">
        <v>-1433.88</v>
      </c>
      <c r="BM192" s="207">
        <v>-1997.19</v>
      </c>
      <c r="BN192" s="207">
        <v>-102.42</v>
      </c>
      <c r="BO192" s="207">
        <v>-12387</v>
      </c>
      <c r="BP192" s="207">
        <v>-104411.69936076539</v>
      </c>
      <c r="BQ192" s="207">
        <v>-464423.49</v>
      </c>
      <c r="BR192" s="207">
        <v>-66364.87476905528</v>
      </c>
      <c r="BS192" s="207">
        <v>383656</v>
      </c>
      <c r="BT192" s="207">
        <v>117909</v>
      </c>
      <c r="BU192" s="207">
        <v>224768.97935533107</v>
      </c>
      <c r="BV192" s="207">
        <v>-45.47227589964298</v>
      </c>
      <c r="BW192" s="207">
        <v>9676.06178048576</v>
      </c>
      <c r="BX192" s="207">
        <v>53223.876379360496</v>
      </c>
      <c r="BY192" s="207">
        <v>245023.06201938295</v>
      </c>
      <c r="BZ192" s="207">
        <v>374090.33204037865</v>
      </c>
      <c r="CA192" s="207">
        <v>101058.82328673525</v>
      </c>
      <c r="CB192" s="207">
        <v>182531.78083425</v>
      </c>
      <c r="CC192" s="207">
        <v>460.89</v>
      </c>
      <c r="CD192" s="207">
        <v>18322.164472681998</v>
      </c>
      <c r="CE192" s="207">
        <v>221329.62</v>
      </c>
      <c r="CF192" s="207">
        <v>1853253.243123651</v>
      </c>
      <c r="CG192" s="207">
        <v>981766.9537628856</v>
      </c>
      <c r="CH192" s="207">
        <v>0</v>
      </c>
      <c r="CI192" s="207">
        <v>951777.1369512869</v>
      </c>
      <c r="CJ192" s="207">
        <v>-1168054</v>
      </c>
      <c r="CK192" s="207">
        <v>0</v>
      </c>
      <c r="CL192" s="207">
        <v>0</v>
      </c>
      <c r="CM192" s="207">
        <v>-111635.27537999999</v>
      </c>
      <c r="CN192" s="207">
        <v>5613083.681825326</v>
      </c>
      <c r="CO192" s="207">
        <v>5501448.406445326</v>
      </c>
      <c r="CP192" s="207">
        <v>5108</v>
      </c>
    </row>
    <row r="193" spans="1:94" ht="9.75">
      <c r="A193" s="175">
        <v>638</v>
      </c>
      <c r="B193" s="175" t="s">
        <v>249</v>
      </c>
      <c r="C193" s="207">
        <v>50159</v>
      </c>
      <c r="D193" s="207">
        <v>165993176.18</v>
      </c>
      <c r="E193" s="207">
        <v>47624408.104950786</v>
      </c>
      <c r="F193" s="207">
        <v>16740441.299258338</v>
      </c>
      <c r="G193" s="207">
        <v>230358025.58420914</v>
      </c>
      <c r="H193" s="207">
        <v>3524.51</v>
      </c>
      <c r="I193" s="207">
        <v>176785897.09</v>
      </c>
      <c r="J193" s="207">
        <v>53572128.49420914</v>
      </c>
      <c r="K193" s="207">
        <v>1684654.6066167722</v>
      </c>
      <c r="L193" s="207">
        <v>7936296.3526173085</v>
      </c>
      <c r="M193" s="207">
        <v>0</v>
      </c>
      <c r="N193" s="207">
        <v>63193079.45344322</v>
      </c>
      <c r="O193" s="207">
        <v>-6294858.314377082</v>
      </c>
      <c r="P193" s="207">
        <v>56898221.13906614</v>
      </c>
      <c r="Q193" s="207">
        <v>3147</v>
      </c>
      <c r="R193" s="207">
        <v>605</v>
      </c>
      <c r="S193" s="207">
        <v>3750</v>
      </c>
      <c r="T193" s="207">
        <v>1865</v>
      </c>
      <c r="U193" s="207">
        <v>1803</v>
      </c>
      <c r="V193" s="207">
        <v>28815</v>
      </c>
      <c r="W193" s="207">
        <v>6128</v>
      </c>
      <c r="X193" s="207">
        <v>2974</v>
      </c>
      <c r="Y193" s="207">
        <v>1072</v>
      </c>
      <c r="Z193" s="207">
        <v>14768</v>
      </c>
      <c r="AA193" s="207">
        <v>0</v>
      </c>
      <c r="AB193" s="207">
        <v>32088</v>
      </c>
      <c r="AC193" s="207">
        <v>3303</v>
      </c>
      <c r="AD193" s="207">
        <v>10174</v>
      </c>
      <c r="AE193" s="207">
        <v>0.8377395300319854</v>
      </c>
      <c r="AF193" s="207">
        <v>47624408.104950786</v>
      </c>
      <c r="AG193" s="207">
        <v>10843089.645571426</v>
      </c>
      <c r="AH193" s="207">
        <v>3083779.1957010543</v>
      </c>
      <c r="AI193" s="207">
        <v>973883.8072953386</v>
      </c>
      <c r="AJ193" s="207">
        <v>2289</v>
      </c>
      <c r="AK193" s="207">
        <v>24780</v>
      </c>
      <c r="AL193" s="207">
        <v>0.7983048299992616</v>
      </c>
      <c r="AM193" s="207">
        <v>3303</v>
      </c>
      <c r="AN193" s="207">
        <v>0.06585059510755796</v>
      </c>
      <c r="AO193" s="207">
        <v>0.06090988364510737</v>
      </c>
      <c r="AP193" s="207">
        <v>1</v>
      </c>
      <c r="AQ193" s="207">
        <v>14768</v>
      </c>
      <c r="AR193" s="207">
        <v>0</v>
      </c>
      <c r="AS193" s="207">
        <v>3</v>
      </c>
      <c r="AT193" s="207">
        <v>1758</v>
      </c>
      <c r="AU193" s="207">
        <v>654.42</v>
      </c>
      <c r="AV193" s="207">
        <v>76.64649613398124</v>
      </c>
      <c r="AW193" s="207">
        <v>0.2366165817782044</v>
      </c>
      <c r="AX193" s="207">
        <v>2492</v>
      </c>
      <c r="AY193" s="207">
        <v>16444</v>
      </c>
      <c r="AZ193" s="207">
        <v>0.15154463634152274</v>
      </c>
      <c r="BA193" s="207">
        <v>0.09036080025728824</v>
      </c>
      <c r="BB193" s="207">
        <v>0</v>
      </c>
      <c r="BC193" s="207">
        <v>20808</v>
      </c>
      <c r="BD193" s="207">
        <v>22272</v>
      </c>
      <c r="BE193" s="207">
        <v>0.9342672413793104</v>
      </c>
      <c r="BF193" s="207">
        <v>0.5253603587882173</v>
      </c>
      <c r="BG193" s="207">
        <v>0</v>
      </c>
      <c r="BH193" s="207">
        <v>0</v>
      </c>
      <c r="BI193" s="207">
        <v>0</v>
      </c>
      <c r="BJ193" s="207">
        <v>-12038.16</v>
      </c>
      <c r="BK193" s="207">
        <v>-205651.9</v>
      </c>
      <c r="BL193" s="207">
        <v>-14044.52</v>
      </c>
      <c r="BM193" s="207">
        <v>-19562.010000000002</v>
      </c>
      <c r="BN193" s="207">
        <v>-1003.1800000000001</v>
      </c>
      <c r="BO193" s="207">
        <v>340227</v>
      </c>
      <c r="BP193" s="207">
        <v>-3012912.96079133</v>
      </c>
      <c r="BQ193" s="207">
        <v>-4548919.71</v>
      </c>
      <c r="BR193" s="207">
        <v>-441406.7972930819</v>
      </c>
      <c r="BS193" s="207">
        <v>3312713</v>
      </c>
      <c r="BT193" s="207">
        <v>1135672</v>
      </c>
      <c r="BU193" s="207">
        <v>2360718.5689561497</v>
      </c>
      <c r="BV193" s="207">
        <v>50410.92073674268</v>
      </c>
      <c r="BW193" s="207">
        <v>227364.6802771861</v>
      </c>
      <c r="BX193" s="207">
        <v>805241.288831554</v>
      </c>
      <c r="BY193" s="207">
        <v>2210620.0389932</v>
      </c>
      <c r="BZ193" s="207">
        <v>3474053.090596174</v>
      </c>
      <c r="CA193" s="207">
        <v>1103991.4519041427</v>
      </c>
      <c r="CB193" s="207">
        <v>1855402.0311445042</v>
      </c>
      <c r="CC193" s="207">
        <v>4514.3099999999995</v>
      </c>
      <c r="CD193" s="207">
        <v>-144867.640737931</v>
      </c>
      <c r="CE193" s="207">
        <v>2167871.98</v>
      </c>
      <c r="CF193" s="207">
        <v>18462525.92340864</v>
      </c>
      <c r="CG193" s="207">
        <v>7936296.3526173085</v>
      </c>
      <c r="CH193" s="207">
        <v>0</v>
      </c>
      <c r="CI193" s="207">
        <v>-6294858.314377082</v>
      </c>
      <c r="CJ193" s="207">
        <v>-2590770</v>
      </c>
      <c r="CK193" s="207">
        <v>0</v>
      </c>
      <c r="CL193" s="207">
        <v>0</v>
      </c>
      <c r="CM193" s="207">
        <v>-447544.3273600001</v>
      </c>
      <c r="CN193" s="207">
        <v>54307451.13906614</v>
      </c>
      <c r="CO193" s="207">
        <v>53859906.81170614</v>
      </c>
      <c r="CP193" s="207">
        <v>50144</v>
      </c>
    </row>
    <row r="194" spans="1:94" ht="9.75">
      <c r="A194" s="175">
        <v>614</v>
      </c>
      <c r="B194" s="175" t="s">
        <v>250</v>
      </c>
      <c r="C194" s="207">
        <v>3310</v>
      </c>
      <c r="D194" s="207">
        <v>10749414.559999999</v>
      </c>
      <c r="E194" s="207">
        <v>6549981.683780762</v>
      </c>
      <c r="F194" s="207">
        <v>2761223.6254107305</v>
      </c>
      <c r="G194" s="207">
        <v>20060619.869191494</v>
      </c>
      <c r="H194" s="207">
        <v>3524.51</v>
      </c>
      <c r="I194" s="207">
        <v>11666128.100000001</v>
      </c>
      <c r="J194" s="207">
        <v>8394491.769191492</v>
      </c>
      <c r="K194" s="207">
        <v>3284844.9327368867</v>
      </c>
      <c r="L194" s="207">
        <v>1395913.5864140163</v>
      </c>
      <c r="M194" s="207">
        <v>0</v>
      </c>
      <c r="N194" s="207">
        <v>13075250.288342396</v>
      </c>
      <c r="O194" s="207">
        <v>3671398.2815566324</v>
      </c>
      <c r="P194" s="207">
        <v>16746648.569899028</v>
      </c>
      <c r="Q194" s="207">
        <v>90</v>
      </c>
      <c r="R194" s="207">
        <v>16</v>
      </c>
      <c r="S194" s="207">
        <v>134</v>
      </c>
      <c r="T194" s="207">
        <v>95</v>
      </c>
      <c r="U194" s="207">
        <v>84</v>
      </c>
      <c r="V194" s="207">
        <v>1671</v>
      </c>
      <c r="W194" s="207">
        <v>707</v>
      </c>
      <c r="X194" s="207">
        <v>400</v>
      </c>
      <c r="Y194" s="207">
        <v>113</v>
      </c>
      <c r="Z194" s="207">
        <v>5</v>
      </c>
      <c r="AA194" s="207">
        <v>0</v>
      </c>
      <c r="AB194" s="207">
        <v>3275</v>
      </c>
      <c r="AC194" s="207">
        <v>30</v>
      </c>
      <c r="AD194" s="207">
        <v>1220</v>
      </c>
      <c r="AE194" s="207">
        <v>1.7459844800420388</v>
      </c>
      <c r="AF194" s="207">
        <v>6549981.683780762</v>
      </c>
      <c r="AG194" s="207">
        <v>127362346.83871435</v>
      </c>
      <c r="AH194" s="207">
        <v>22857695.809962288</v>
      </c>
      <c r="AI194" s="207">
        <v>15421316.06781426</v>
      </c>
      <c r="AJ194" s="207">
        <v>261</v>
      </c>
      <c r="AK194" s="207">
        <v>1386</v>
      </c>
      <c r="AL194" s="207">
        <v>1.6274270989261723</v>
      </c>
      <c r="AM194" s="207">
        <v>30</v>
      </c>
      <c r="AN194" s="207">
        <v>0.00906344410876133</v>
      </c>
      <c r="AO194" s="207">
        <v>0.004122732646310737</v>
      </c>
      <c r="AP194" s="207">
        <v>0</v>
      </c>
      <c r="AQ194" s="207">
        <v>5</v>
      </c>
      <c r="AR194" s="207">
        <v>0</v>
      </c>
      <c r="AS194" s="207">
        <v>0</v>
      </c>
      <c r="AT194" s="207">
        <v>0</v>
      </c>
      <c r="AU194" s="207">
        <v>3039.79</v>
      </c>
      <c r="AV194" s="207">
        <v>1.0888910089183792</v>
      </c>
      <c r="AW194" s="207">
        <v>16.65532341801017</v>
      </c>
      <c r="AX194" s="207">
        <v>141</v>
      </c>
      <c r="AY194" s="207">
        <v>809</v>
      </c>
      <c r="AZ194" s="207">
        <v>0.17428924598269468</v>
      </c>
      <c r="BA194" s="207">
        <v>0.11310540989846019</v>
      </c>
      <c r="BB194" s="207">
        <v>1.520966</v>
      </c>
      <c r="BC194" s="207">
        <v>925</v>
      </c>
      <c r="BD194" s="207">
        <v>1030</v>
      </c>
      <c r="BE194" s="207">
        <v>0.8980582524271845</v>
      </c>
      <c r="BF194" s="207">
        <v>0.4891513698360914</v>
      </c>
      <c r="BG194" s="207">
        <v>0</v>
      </c>
      <c r="BH194" s="207">
        <v>0</v>
      </c>
      <c r="BI194" s="207">
        <v>0</v>
      </c>
      <c r="BJ194" s="207">
        <v>-794.4</v>
      </c>
      <c r="BK194" s="207">
        <v>-13570.999999999998</v>
      </c>
      <c r="BL194" s="207">
        <v>-926.8000000000001</v>
      </c>
      <c r="BM194" s="207">
        <v>-1290.9</v>
      </c>
      <c r="BN194" s="207">
        <v>-66.2</v>
      </c>
      <c r="BO194" s="207">
        <v>73754</v>
      </c>
      <c r="BP194" s="207">
        <v>-79204.35811481063</v>
      </c>
      <c r="BQ194" s="207">
        <v>-300183.89999999997</v>
      </c>
      <c r="BR194" s="207">
        <v>-161676.7909724284</v>
      </c>
      <c r="BS194" s="207">
        <v>388225</v>
      </c>
      <c r="BT194" s="207">
        <v>132356</v>
      </c>
      <c r="BU194" s="207">
        <v>346191.88857336773</v>
      </c>
      <c r="BV194" s="207">
        <v>20772.919122280637</v>
      </c>
      <c r="BW194" s="207">
        <v>57066.91880422467</v>
      </c>
      <c r="BX194" s="207">
        <v>160530.7477414575</v>
      </c>
      <c r="BY194" s="207">
        <v>211708.16998792533</v>
      </c>
      <c r="BZ194" s="207">
        <v>327515.5728103581</v>
      </c>
      <c r="CA194" s="207">
        <v>96131.70210940945</v>
      </c>
      <c r="CB194" s="207">
        <v>174842.47341730597</v>
      </c>
      <c r="CC194" s="207">
        <v>297.9</v>
      </c>
      <c r="CD194" s="207">
        <v>148.1429349255268</v>
      </c>
      <c r="CE194" s="207">
        <v>143058.19999999998</v>
      </c>
      <c r="CF194" s="207">
        <v>1970922.844528827</v>
      </c>
      <c r="CG194" s="207">
        <v>1395913.5864140163</v>
      </c>
      <c r="CH194" s="207">
        <v>0</v>
      </c>
      <c r="CI194" s="207">
        <v>3671398.2815566324</v>
      </c>
      <c r="CJ194" s="207">
        <v>53544</v>
      </c>
      <c r="CK194" s="207">
        <v>0</v>
      </c>
      <c r="CL194" s="207">
        <v>0</v>
      </c>
      <c r="CM194" s="207">
        <v>-106988.7557</v>
      </c>
      <c r="CN194" s="207">
        <v>16800192.56989903</v>
      </c>
      <c r="CO194" s="207">
        <v>16693203.814199029</v>
      </c>
      <c r="CP194" s="207">
        <v>3424</v>
      </c>
    </row>
    <row r="195" spans="1:94" ht="9.75">
      <c r="A195" s="175">
        <v>615</v>
      </c>
      <c r="B195" s="175" t="s">
        <v>251</v>
      </c>
      <c r="C195" s="207">
        <v>8103</v>
      </c>
      <c r="D195" s="207">
        <v>30074731.01</v>
      </c>
      <c r="E195" s="207">
        <v>14349727.618203484</v>
      </c>
      <c r="F195" s="207">
        <v>5463580.95596241</v>
      </c>
      <c r="G195" s="207">
        <v>49888039.58416589</v>
      </c>
      <c r="H195" s="207">
        <v>3524.51</v>
      </c>
      <c r="I195" s="207">
        <v>28559104.53</v>
      </c>
      <c r="J195" s="207">
        <v>21328935.054165892</v>
      </c>
      <c r="K195" s="207">
        <v>3927320.9989685705</v>
      </c>
      <c r="L195" s="207">
        <v>2850699.3417376895</v>
      </c>
      <c r="M195" s="207">
        <v>0</v>
      </c>
      <c r="N195" s="207">
        <v>28106955.39487215</v>
      </c>
      <c r="O195" s="207">
        <v>8320311.083429824</v>
      </c>
      <c r="P195" s="207">
        <v>36427266.47830197</v>
      </c>
      <c r="Q195" s="207">
        <v>473</v>
      </c>
      <c r="R195" s="207">
        <v>105</v>
      </c>
      <c r="S195" s="207">
        <v>540</v>
      </c>
      <c r="T195" s="207">
        <v>285</v>
      </c>
      <c r="U195" s="207">
        <v>275</v>
      </c>
      <c r="V195" s="207">
        <v>4034</v>
      </c>
      <c r="W195" s="207">
        <v>1268</v>
      </c>
      <c r="X195" s="207">
        <v>820</v>
      </c>
      <c r="Y195" s="207">
        <v>303</v>
      </c>
      <c r="Z195" s="207">
        <v>10</v>
      </c>
      <c r="AA195" s="207">
        <v>3</v>
      </c>
      <c r="AB195" s="207">
        <v>7915</v>
      </c>
      <c r="AC195" s="207">
        <v>175</v>
      </c>
      <c r="AD195" s="207">
        <v>2391</v>
      </c>
      <c r="AE195" s="207">
        <v>1.5625218739605715</v>
      </c>
      <c r="AF195" s="207">
        <v>14349727.618203484</v>
      </c>
      <c r="AG195" s="207">
        <v>4787488.548171178</v>
      </c>
      <c r="AH195" s="207">
        <v>1145707.750622677</v>
      </c>
      <c r="AI195" s="207">
        <v>464605.11907667527</v>
      </c>
      <c r="AJ195" s="207">
        <v>503</v>
      </c>
      <c r="AK195" s="207">
        <v>3129</v>
      </c>
      <c r="AL195" s="207">
        <v>1.3892700977178913</v>
      </c>
      <c r="AM195" s="207">
        <v>175</v>
      </c>
      <c r="AN195" s="207">
        <v>0.021596939405158583</v>
      </c>
      <c r="AO195" s="207">
        <v>0.01665622794270799</v>
      </c>
      <c r="AP195" s="207">
        <v>0</v>
      </c>
      <c r="AQ195" s="207">
        <v>10</v>
      </c>
      <c r="AR195" s="207">
        <v>3</v>
      </c>
      <c r="AS195" s="207">
        <v>0</v>
      </c>
      <c r="AT195" s="207">
        <v>0</v>
      </c>
      <c r="AU195" s="207">
        <v>5638.07</v>
      </c>
      <c r="AV195" s="207">
        <v>1.437193933385006</v>
      </c>
      <c r="AW195" s="207">
        <v>12.618917669506084</v>
      </c>
      <c r="AX195" s="207">
        <v>298</v>
      </c>
      <c r="AY195" s="207">
        <v>1939</v>
      </c>
      <c r="AZ195" s="207">
        <v>0.15368746776689016</v>
      </c>
      <c r="BA195" s="207">
        <v>0.09250363168265566</v>
      </c>
      <c r="BB195" s="207">
        <v>1.418383</v>
      </c>
      <c r="BC195" s="207">
        <v>2475</v>
      </c>
      <c r="BD195" s="207">
        <v>2525</v>
      </c>
      <c r="BE195" s="207">
        <v>0.9801980198019802</v>
      </c>
      <c r="BF195" s="207">
        <v>0.5712911372108871</v>
      </c>
      <c r="BG195" s="207">
        <v>0</v>
      </c>
      <c r="BH195" s="207">
        <v>3</v>
      </c>
      <c r="BI195" s="207">
        <v>0</v>
      </c>
      <c r="BJ195" s="207">
        <v>-1944.72</v>
      </c>
      <c r="BK195" s="207">
        <v>-33222.299999999996</v>
      </c>
      <c r="BL195" s="207">
        <v>-2268.84</v>
      </c>
      <c r="BM195" s="207">
        <v>-3160.17</v>
      </c>
      <c r="BN195" s="207">
        <v>-162.06</v>
      </c>
      <c r="BO195" s="207">
        <v>420717</v>
      </c>
      <c r="BP195" s="207">
        <v>-122607.68796208495</v>
      </c>
      <c r="BQ195" s="207">
        <v>-734861.07</v>
      </c>
      <c r="BR195" s="207">
        <v>-466887.4905638397</v>
      </c>
      <c r="BS195" s="207">
        <v>805732</v>
      </c>
      <c r="BT195" s="207">
        <v>241095</v>
      </c>
      <c r="BU195" s="207">
        <v>688020.9831289338</v>
      </c>
      <c r="BV195" s="207">
        <v>36509.242249512936</v>
      </c>
      <c r="BW195" s="207">
        <v>95626.54889223831</v>
      </c>
      <c r="BX195" s="207">
        <v>348466.6260850866</v>
      </c>
      <c r="BY195" s="207">
        <v>455622.06844321423</v>
      </c>
      <c r="BZ195" s="207">
        <v>656757.2029113228</v>
      </c>
      <c r="CA195" s="207">
        <v>192948.82523202122</v>
      </c>
      <c r="CB195" s="207">
        <v>373608.3753078873</v>
      </c>
      <c r="CC195" s="207">
        <v>729.27</v>
      </c>
      <c r="CD195" s="207">
        <v>-12101.911986603023</v>
      </c>
      <c r="CE195" s="207">
        <v>350211.66</v>
      </c>
      <c r="CF195" s="207">
        <v>4187055.3996997746</v>
      </c>
      <c r="CG195" s="207">
        <v>2850699.3417376895</v>
      </c>
      <c r="CH195" s="207">
        <v>0</v>
      </c>
      <c r="CI195" s="207">
        <v>8320311.083429824</v>
      </c>
      <c r="CJ195" s="207">
        <v>-50022</v>
      </c>
      <c r="CK195" s="207">
        <v>0</v>
      </c>
      <c r="CL195" s="207">
        <v>0</v>
      </c>
      <c r="CM195" s="207">
        <v>15840.408000000003</v>
      </c>
      <c r="CN195" s="207">
        <v>36377244.47830197</v>
      </c>
      <c r="CO195" s="207">
        <v>36393084.88630197</v>
      </c>
      <c r="CP195" s="207">
        <v>8187</v>
      </c>
    </row>
    <row r="196" spans="1:94" ht="9.75">
      <c r="A196" s="175">
        <v>616</v>
      </c>
      <c r="B196" s="175" t="s">
        <v>252</v>
      </c>
      <c r="C196" s="207">
        <v>1940</v>
      </c>
      <c r="D196" s="207">
        <v>6759985.800000001</v>
      </c>
      <c r="E196" s="207">
        <v>1809289.7330963234</v>
      </c>
      <c r="F196" s="207">
        <v>406478.7893486569</v>
      </c>
      <c r="G196" s="207">
        <v>8975754.322444981</v>
      </c>
      <c r="H196" s="207">
        <v>3524.51</v>
      </c>
      <c r="I196" s="207">
        <v>6837549.4</v>
      </c>
      <c r="J196" s="207">
        <v>2138204.9224449806</v>
      </c>
      <c r="K196" s="207">
        <v>18947.147778612813</v>
      </c>
      <c r="L196" s="207">
        <v>687378.3709545967</v>
      </c>
      <c r="M196" s="207">
        <v>0</v>
      </c>
      <c r="N196" s="207">
        <v>2844530.4411781905</v>
      </c>
      <c r="O196" s="207">
        <v>1041326.4902688243</v>
      </c>
      <c r="P196" s="207">
        <v>3885856.9314470147</v>
      </c>
      <c r="Q196" s="207">
        <v>126</v>
      </c>
      <c r="R196" s="207">
        <v>24</v>
      </c>
      <c r="S196" s="207">
        <v>140</v>
      </c>
      <c r="T196" s="207">
        <v>71</v>
      </c>
      <c r="U196" s="207">
        <v>75</v>
      </c>
      <c r="V196" s="207">
        <v>1064</v>
      </c>
      <c r="W196" s="207">
        <v>249</v>
      </c>
      <c r="X196" s="207">
        <v>137</v>
      </c>
      <c r="Y196" s="207">
        <v>54</v>
      </c>
      <c r="Z196" s="207">
        <v>17</v>
      </c>
      <c r="AA196" s="207">
        <v>0</v>
      </c>
      <c r="AB196" s="207">
        <v>1866</v>
      </c>
      <c r="AC196" s="207">
        <v>57</v>
      </c>
      <c r="AD196" s="207">
        <v>440</v>
      </c>
      <c r="AE196" s="207">
        <v>0.8228765308425241</v>
      </c>
      <c r="AF196" s="207">
        <v>1809289.7330963234</v>
      </c>
      <c r="AG196" s="207">
        <v>8325662.716482719</v>
      </c>
      <c r="AH196" s="207">
        <v>2132524.832685327</v>
      </c>
      <c r="AI196" s="207">
        <v>929210.2381533504</v>
      </c>
      <c r="AJ196" s="207">
        <v>91</v>
      </c>
      <c r="AK196" s="207">
        <v>943</v>
      </c>
      <c r="AL196" s="207">
        <v>0.8339767932259984</v>
      </c>
      <c r="AM196" s="207">
        <v>57</v>
      </c>
      <c r="AN196" s="207">
        <v>0.029381443298969072</v>
      </c>
      <c r="AO196" s="207">
        <v>0.02444073183651848</v>
      </c>
      <c r="AP196" s="207">
        <v>0</v>
      </c>
      <c r="AQ196" s="207">
        <v>17</v>
      </c>
      <c r="AR196" s="207">
        <v>0</v>
      </c>
      <c r="AS196" s="207">
        <v>0</v>
      </c>
      <c r="AT196" s="207">
        <v>0</v>
      </c>
      <c r="AU196" s="207">
        <v>145.03</v>
      </c>
      <c r="AV196" s="207">
        <v>13.376542784251534</v>
      </c>
      <c r="AW196" s="207">
        <v>1.3557936615618402</v>
      </c>
      <c r="AX196" s="207">
        <v>97</v>
      </c>
      <c r="AY196" s="207">
        <v>617</v>
      </c>
      <c r="AZ196" s="207">
        <v>0.15721231766612642</v>
      </c>
      <c r="BA196" s="207">
        <v>0.09602848158189192</v>
      </c>
      <c r="BB196" s="207">
        <v>0</v>
      </c>
      <c r="BC196" s="207">
        <v>469</v>
      </c>
      <c r="BD196" s="207">
        <v>835</v>
      </c>
      <c r="BE196" s="207">
        <v>0.5616766467065868</v>
      </c>
      <c r="BF196" s="207">
        <v>0.1527697641154937</v>
      </c>
      <c r="BG196" s="207">
        <v>0</v>
      </c>
      <c r="BH196" s="207">
        <v>0</v>
      </c>
      <c r="BI196" s="207">
        <v>0</v>
      </c>
      <c r="BJ196" s="207">
        <v>-465.59999999999997</v>
      </c>
      <c r="BK196" s="207">
        <v>-7953.999999999999</v>
      </c>
      <c r="BL196" s="207">
        <v>-543.2</v>
      </c>
      <c r="BM196" s="207">
        <v>-756.6</v>
      </c>
      <c r="BN196" s="207">
        <v>-38.800000000000004</v>
      </c>
      <c r="BO196" s="207">
        <v>3269</v>
      </c>
      <c r="BP196" s="207">
        <v>-57378.75417141405</v>
      </c>
      <c r="BQ196" s="207">
        <v>-175938.6</v>
      </c>
      <c r="BR196" s="207">
        <v>50486.45994817</v>
      </c>
      <c r="BS196" s="207">
        <v>169950</v>
      </c>
      <c r="BT196" s="207">
        <v>60269</v>
      </c>
      <c r="BU196" s="207">
        <v>134916.29841328936</v>
      </c>
      <c r="BV196" s="207">
        <v>5613.310900917095</v>
      </c>
      <c r="BW196" s="207">
        <v>26742.79937552646</v>
      </c>
      <c r="BX196" s="207">
        <v>40079.038482578464</v>
      </c>
      <c r="BY196" s="207">
        <v>126662.72441790301</v>
      </c>
      <c r="BZ196" s="207">
        <v>192233.72481729407</v>
      </c>
      <c r="CA196" s="207">
        <v>54526.841074924756</v>
      </c>
      <c r="CB196" s="207">
        <v>91988.06653750643</v>
      </c>
      <c r="CC196" s="207">
        <v>174.6</v>
      </c>
      <c r="CD196" s="207">
        <v>-5408.938842098967</v>
      </c>
      <c r="CE196" s="207">
        <v>83846.8</v>
      </c>
      <c r="CF196" s="207">
        <v>1035349.7251260107</v>
      </c>
      <c r="CG196" s="207">
        <v>687378.3709545967</v>
      </c>
      <c r="CH196" s="207">
        <v>0</v>
      </c>
      <c r="CI196" s="207">
        <v>1041326.4902688243</v>
      </c>
      <c r="CJ196" s="207">
        <v>-463940</v>
      </c>
      <c r="CK196" s="207">
        <v>0</v>
      </c>
      <c r="CL196" s="207">
        <v>0</v>
      </c>
      <c r="CM196" s="207">
        <v>-753739.4140000001</v>
      </c>
      <c r="CN196" s="207">
        <v>3421916.9314470147</v>
      </c>
      <c r="CO196" s="207">
        <v>2668177.5174470143</v>
      </c>
      <c r="CP196" s="207">
        <v>1988</v>
      </c>
    </row>
    <row r="197" spans="1:94" ht="9.75">
      <c r="A197" s="175">
        <v>619</v>
      </c>
      <c r="B197" s="175" t="s">
        <v>253</v>
      </c>
      <c r="C197" s="207">
        <v>2949</v>
      </c>
      <c r="D197" s="207">
        <v>11355340.51</v>
      </c>
      <c r="E197" s="207">
        <v>4151202.5883836183</v>
      </c>
      <c r="F197" s="207">
        <v>746535.918674783</v>
      </c>
      <c r="G197" s="207">
        <v>16253079.017058402</v>
      </c>
      <c r="H197" s="207">
        <v>3524.51</v>
      </c>
      <c r="I197" s="207">
        <v>10393779.99</v>
      </c>
      <c r="J197" s="207">
        <v>5859299.027058402</v>
      </c>
      <c r="K197" s="207">
        <v>84200.54805392759</v>
      </c>
      <c r="L197" s="207">
        <v>1377107.449939578</v>
      </c>
      <c r="M197" s="207">
        <v>0</v>
      </c>
      <c r="N197" s="207">
        <v>7320607.025051908</v>
      </c>
      <c r="O197" s="207">
        <v>2816999.333125832</v>
      </c>
      <c r="P197" s="207">
        <v>10137606.35817774</v>
      </c>
      <c r="Q197" s="207">
        <v>121</v>
      </c>
      <c r="R197" s="207">
        <v>18</v>
      </c>
      <c r="S197" s="207">
        <v>183</v>
      </c>
      <c r="T197" s="207">
        <v>85</v>
      </c>
      <c r="U197" s="207">
        <v>100</v>
      </c>
      <c r="V197" s="207">
        <v>1488</v>
      </c>
      <c r="W197" s="207">
        <v>470</v>
      </c>
      <c r="X197" s="207">
        <v>307</v>
      </c>
      <c r="Y197" s="207">
        <v>177</v>
      </c>
      <c r="Z197" s="207">
        <v>4</v>
      </c>
      <c r="AA197" s="207">
        <v>0</v>
      </c>
      <c r="AB197" s="207">
        <v>2841</v>
      </c>
      <c r="AC197" s="207">
        <v>104</v>
      </c>
      <c r="AD197" s="207">
        <v>954</v>
      </c>
      <c r="AE197" s="207">
        <v>1.2420167222534382</v>
      </c>
      <c r="AF197" s="207">
        <v>4151202.5883836183</v>
      </c>
      <c r="AG197" s="207">
        <v>18167168.62764785</v>
      </c>
      <c r="AH197" s="207">
        <v>3702702.0775688253</v>
      </c>
      <c r="AI197" s="207">
        <v>2278352.026241388</v>
      </c>
      <c r="AJ197" s="207">
        <v>108</v>
      </c>
      <c r="AK197" s="207">
        <v>1225</v>
      </c>
      <c r="AL197" s="207">
        <v>0.7619244900588346</v>
      </c>
      <c r="AM197" s="207">
        <v>104</v>
      </c>
      <c r="AN197" s="207">
        <v>0.035266191929467616</v>
      </c>
      <c r="AO197" s="207">
        <v>0.030325480467017024</v>
      </c>
      <c r="AP197" s="207">
        <v>0</v>
      </c>
      <c r="AQ197" s="207">
        <v>4</v>
      </c>
      <c r="AR197" s="207">
        <v>0</v>
      </c>
      <c r="AS197" s="207">
        <v>0</v>
      </c>
      <c r="AT197" s="207">
        <v>0</v>
      </c>
      <c r="AU197" s="207">
        <v>361.08</v>
      </c>
      <c r="AV197" s="207">
        <v>8.167165171153208</v>
      </c>
      <c r="AW197" s="207">
        <v>2.2205785655658796</v>
      </c>
      <c r="AX197" s="207">
        <v>130</v>
      </c>
      <c r="AY197" s="207">
        <v>758</v>
      </c>
      <c r="AZ197" s="207">
        <v>0.17150395778364116</v>
      </c>
      <c r="BA197" s="207">
        <v>0.11032012169940666</v>
      </c>
      <c r="BB197" s="207">
        <v>0</v>
      </c>
      <c r="BC197" s="207">
        <v>906</v>
      </c>
      <c r="BD197" s="207">
        <v>1059</v>
      </c>
      <c r="BE197" s="207">
        <v>0.8555240793201133</v>
      </c>
      <c r="BF197" s="207">
        <v>0.4466171967290202</v>
      </c>
      <c r="BG197" s="207">
        <v>0</v>
      </c>
      <c r="BH197" s="207">
        <v>0</v>
      </c>
      <c r="BI197" s="207">
        <v>0</v>
      </c>
      <c r="BJ197" s="207">
        <v>-707.76</v>
      </c>
      <c r="BK197" s="207">
        <v>-12090.9</v>
      </c>
      <c r="BL197" s="207">
        <v>-825.72</v>
      </c>
      <c r="BM197" s="207">
        <v>-1150.1100000000001</v>
      </c>
      <c r="BN197" s="207">
        <v>-58.980000000000004</v>
      </c>
      <c r="BO197" s="207">
        <v>-2031</v>
      </c>
      <c r="BP197" s="207">
        <v>-96908.88054618819</v>
      </c>
      <c r="BQ197" s="207">
        <v>-267444.81</v>
      </c>
      <c r="BR197" s="207">
        <v>164582.84655112214</v>
      </c>
      <c r="BS197" s="207">
        <v>336617</v>
      </c>
      <c r="BT197" s="207">
        <v>105974</v>
      </c>
      <c r="BU197" s="207">
        <v>275176.4261463324</v>
      </c>
      <c r="BV197" s="207">
        <v>17270.633688822705</v>
      </c>
      <c r="BW197" s="207">
        <v>36750.65009825855</v>
      </c>
      <c r="BX197" s="207">
        <v>126163.3288833969</v>
      </c>
      <c r="BY197" s="207">
        <v>187520.19939022846</v>
      </c>
      <c r="BZ197" s="207">
        <v>296557.1127692157</v>
      </c>
      <c r="CA197" s="207">
        <v>89942.95135549175</v>
      </c>
      <c r="CB197" s="207">
        <v>155477.05861407673</v>
      </c>
      <c r="CC197" s="207">
        <v>265.40999999999997</v>
      </c>
      <c r="CD197" s="207">
        <v>-1975.3570111791305</v>
      </c>
      <c r="CE197" s="207">
        <v>127455.78</v>
      </c>
      <c r="CF197" s="207">
        <v>1915747.0404857663</v>
      </c>
      <c r="CG197" s="207">
        <v>1377107.449939578</v>
      </c>
      <c r="CH197" s="207">
        <v>0</v>
      </c>
      <c r="CI197" s="207">
        <v>2816999.333125832</v>
      </c>
      <c r="CJ197" s="207">
        <v>-217087</v>
      </c>
      <c r="CK197" s="207">
        <v>0</v>
      </c>
      <c r="CL197" s="207">
        <v>0</v>
      </c>
      <c r="CM197" s="207">
        <v>177016.55940000003</v>
      </c>
      <c r="CN197" s="207">
        <v>9920519.35817774</v>
      </c>
      <c r="CO197" s="207">
        <v>10097535.91757774</v>
      </c>
      <c r="CP197" s="207">
        <v>3003</v>
      </c>
    </row>
    <row r="198" spans="1:94" ht="9.75">
      <c r="A198" s="175">
        <v>620</v>
      </c>
      <c r="B198" s="175" t="s">
        <v>254</v>
      </c>
      <c r="C198" s="207">
        <v>2669</v>
      </c>
      <c r="D198" s="207">
        <v>9276481.34</v>
      </c>
      <c r="E198" s="207">
        <v>5694825.710919121</v>
      </c>
      <c r="F198" s="207">
        <v>2237474.751142503</v>
      </c>
      <c r="G198" s="207">
        <v>17208781.802061625</v>
      </c>
      <c r="H198" s="207">
        <v>3524.51</v>
      </c>
      <c r="I198" s="207">
        <v>9406917.190000001</v>
      </c>
      <c r="J198" s="207">
        <v>7801864.6120616235</v>
      </c>
      <c r="K198" s="207">
        <v>2930060.030794123</v>
      </c>
      <c r="L198" s="207">
        <v>1138836.765121894</v>
      </c>
      <c r="M198" s="207">
        <v>0</v>
      </c>
      <c r="N198" s="207">
        <v>11870761.40797764</v>
      </c>
      <c r="O198" s="207">
        <v>2354090.716193761</v>
      </c>
      <c r="P198" s="207">
        <v>14224852.124171402</v>
      </c>
      <c r="Q198" s="207">
        <v>75</v>
      </c>
      <c r="R198" s="207">
        <v>22</v>
      </c>
      <c r="S198" s="207">
        <v>117</v>
      </c>
      <c r="T198" s="207">
        <v>66</v>
      </c>
      <c r="U198" s="207">
        <v>75</v>
      </c>
      <c r="V198" s="207">
        <v>1358</v>
      </c>
      <c r="W198" s="207">
        <v>532</v>
      </c>
      <c r="X198" s="207">
        <v>291</v>
      </c>
      <c r="Y198" s="207">
        <v>133</v>
      </c>
      <c r="Z198" s="207">
        <v>3</v>
      </c>
      <c r="AA198" s="207">
        <v>0</v>
      </c>
      <c r="AB198" s="207">
        <v>2610</v>
      </c>
      <c r="AC198" s="207">
        <v>56</v>
      </c>
      <c r="AD198" s="207">
        <v>956</v>
      </c>
      <c r="AE198" s="207">
        <v>1.882609086632537</v>
      </c>
      <c r="AF198" s="207">
        <v>5694825.710919121</v>
      </c>
      <c r="AG198" s="207">
        <v>2162188.025245165</v>
      </c>
      <c r="AH198" s="207">
        <v>683044.1282886097</v>
      </c>
      <c r="AI198" s="207">
        <v>205498.41805314485</v>
      </c>
      <c r="AJ198" s="207">
        <v>163</v>
      </c>
      <c r="AK198" s="207">
        <v>1074</v>
      </c>
      <c r="AL198" s="207">
        <v>1.311618668119334</v>
      </c>
      <c r="AM198" s="207">
        <v>56</v>
      </c>
      <c r="AN198" s="207">
        <v>0.02098164106406894</v>
      </c>
      <c r="AO198" s="207">
        <v>0.016040929601618348</v>
      </c>
      <c r="AP198" s="207">
        <v>0</v>
      </c>
      <c r="AQ198" s="207">
        <v>3</v>
      </c>
      <c r="AR198" s="207">
        <v>0</v>
      </c>
      <c r="AS198" s="207">
        <v>0</v>
      </c>
      <c r="AT198" s="207">
        <v>0</v>
      </c>
      <c r="AU198" s="207">
        <v>2461.28</v>
      </c>
      <c r="AV198" s="207">
        <v>1.084395111486706</v>
      </c>
      <c r="AW198" s="207">
        <v>16.72437631670505</v>
      </c>
      <c r="AX198" s="207">
        <v>120</v>
      </c>
      <c r="AY198" s="207">
        <v>628</v>
      </c>
      <c r="AZ198" s="207">
        <v>0.1910828025477707</v>
      </c>
      <c r="BA198" s="207">
        <v>0.12989896646353621</v>
      </c>
      <c r="BB198" s="207">
        <v>1.683249</v>
      </c>
      <c r="BC198" s="207">
        <v>775</v>
      </c>
      <c r="BD198" s="207">
        <v>822</v>
      </c>
      <c r="BE198" s="207">
        <v>0.9428223844282239</v>
      </c>
      <c r="BF198" s="207">
        <v>0.5339155018371308</v>
      </c>
      <c r="BG198" s="207">
        <v>0</v>
      </c>
      <c r="BH198" s="207">
        <v>0</v>
      </c>
      <c r="BI198" s="207">
        <v>0</v>
      </c>
      <c r="BJ198" s="207">
        <v>-640.56</v>
      </c>
      <c r="BK198" s="207">
        <v>-10942.9</v>
      </c>
      <c r="BL198" s="207">
        <v>-747.32</v>
      </c>
      <c r="BM198" s="207">
        <v>-1040.91</v>
      </c>
      <c r="BN198" s="207">
        <v>-53.38</v>
      </c>
      <c r="BO198" s="207">
        <v>133095</v>
      </c>
      <c r="BP198" s="207">
        <v>-33501.00867056135</v>
      </c>
      <c r="BQ198" s="207">
        <v>-242051.61</v>
      </c>
      <c r="BR198" s="207">
        <v>-69019.54834536463</v>
      </c>
      <c r="BS198" s="207">
        <v>322815</v>
      </c>
      <c r="BT198" s="207">
        <v>97700</v>
      </c>
      <c r="BU198" s="207">
        <v>244790.15556027857</v>
      </c>
      <c r="BV198" s="207">
        <v>14632.251434991533</v>
      </c>
      <c r="BW198" s="207">
        <v>24727.2558363038</v>
      </c>
      <c r="BX198" s="207">
        <v>130873.78517567727</v>
      </c>
      <c r="BY198" s="207">
        <v>148340.0917950246</v>
      </c>
      <c r="BZ198" s="207">
        <v>236625.1477244411</v>
      </c>
      <c r="CA198" s="207">
        <v>72430.37775755036</v>
      </c>
      <c r="CB198" s="207">
        <v>137823.4190385528</v>
      </c>
      <c r="CC198" s="207">
        <v>240.20999999999998</v>
      </c>
      <c r="CD198" s="207">
        <v>-38300.04218500018</v>
      </c>
      <c r="CE198" s="207">
        <v>115354.18</v>
      </c>
      <c r="CF198" s="207">
        <v>1572127.2837924552</v>
      </c>
      <c r="CG198" s="207">
        <v>1138836.765121894</v>
      </c>
      <c r="CH198" s="207">
        <v>0</v>
      </c>
      <c r="CI198" s="207">
        <v>2354090.716193761</v>
      </c>
      <c r="CJ198" s="207">
        <v>-62666</v>
      </c>
      <c r="CK198" s="207">
        <v>0</v>
      </c>
      <c r="CL198" s="207">
        <v>0</v>
      </c>
      <c r="CM198" s="207">
        <v>10560.272</v>
      </c>
      <c r="CN198" s="207">
        <v>14162186.124171402</v>
      </c>
      <c r="CO198" s="207">
        <v>14172746.396171402</v>
      </c>
      <c r="CP198" s="207">
        <v>2735</v>
      </c>
    </row>
    <row r="199" spans="1:94" ht="9.75">
      <c r="A199" s="175">
        <v>623</v>
      </c>
      <c r="B199" s="175" t="s">
        <v>255</v>
      </c>
      <c r="C199" s="207">
        <v>2208</v>
      </c>
      <c r="D199" s="207">
        <v>7630734.790000001</v>
      </c>
      <c r="E199" s="207">
        <v>4252307.418216935</v>
      </c>
      <c r="F199" s="207">
        <v>1728653.3384378706</v>
      </c>
      <c r="G199" s="207">
        <v>13611695.546654806</v>
      </c>
      <c r="H199" s="207">
        <v>3524.51</v>
      </c>
      <c r="I199" s="207">
        <v>7782118.08</v>
      </c>
      <c r="J199" s="207">
        <v>5829577.4666548055</v>
      </c>
      <c r="K199" s="207">
        <v>421899.23792389827</v>
      </c>
      <c r="L199" s="207">
        <v>1192822.3616126226</v>
      </c>
      <c r="M199" s="207">
        <v>0</v>
      </c>
      <c r="N199" s="207">
        <v>7444299.066191326</v>
      </c>
      <c r="O199" s="207">
        <v>963421.8816959449</v>
      </c>
      <c r="P199" s="207">
        <v>8407720.947887272</v>
      </c>
      <c r="Q199" s="207">
        <v>41</v>
      </c>
      <c r="R199" s="207">
        <v>12</v>
      </c>
      <c r="S199" s="207">
        <v>83</v>
      </c>
      <c r="T199" s="207">
        <v>58</v>
      </c>
      <c r="U199" s="207">
        <v>44</v>
      </c>
      <c r="V199" s="207">
        <v>1091</v>
      </c>
      <c r="W199" s="207">
        <v>510</v>
      </c>
      <c r="X199" s="207">
        <v>251</v>
      </c>
      <c r="Y199" s="207">
        <v>118</v>
      </c>
      <c r="Z199" s="207">
        <v>4</v>
      </c>
      <c r="AA199" s="207">
        <v>0</v>
      </c>
      <c r="AB199" s="207">
        <v>2160</v>
      </c>
      <c r="AC199" s="207">
        <v>44</v>
      </c>
      <c r="AD199" s="207">
        <v>879</v>
      </c>
      <c r="AE199" s="207">
        <v>1.699236672001267</v>
      </c>
      <c r="AF199" s="207">
        <v>4252307.418216935</v>
      </c>
      <c r="AG199" s="207">
        <v>5542005.883391596</v>
      </c>
      <c r="AH199" s="207">
        <v>1231538.1215106796</v>
      </c>
      <c r="AI199" s="207">
        <v>616495.2541594346</v>
      </c>
      <c r="AJ199" s="207">
        <v>99</v>
      </c>
      <c r="AK199" s="207">
        <v>894</v>
      </c>
      <c r="AL199" s="207">
        <v>0.9570220454458237</v>
      </c>
      <c r="AM199" s="207">
        <v>44</v>
      </c>
      <c r="AN199" s="207">
        <v>0.019927536231884056</v>
      </c>
      <c r="AO199" s="207">
        <v>0.014986824769433464</v>
      </c>
      <c r="AP199" s="207">
        <v>0</v>
      </c>
      <c r="AQ199" s="207">
        <v>4</v>
      </c>
      <c r="AR199" s="207">
        <v>0</v>
      </c>
      <c r="AS199" s="207">
        <v>1</v>
      </c>
      <c r="AT199" s="207">
        <v>0</v>
      </c>
      <c r="AU199" s="207">
        <v>794.51</v>
      </c>
      <c r="AV199" s="207">
        <v>2.779071377326906</v>
      </c>
      <c r="AW199" s="207">
        <v>6.5258604253422385</v>
      </c>
      <c r="AX199" s="207">
        <v>87</v>
      </c>
      <c r="AY199" s="207">
        <v>486</v>
      </c>
      <c r="AZ199" s="207">
        <v>0.17901234567901234</v>
      </c>
      <c r="BA199" s="207">
        <v>0.11782850959477784</v>
      </c>
      <c r="BB199" s="207">
        <v>0.786733</v>
      </c>
      <c r="BC199" s="207">
        <v>605</v>
      </c>
      <c r="BD199" s="207">
        <v>751</v>
      </c>
      <c r="BE199" s="207">
        <v>0.8055925432756325</v>
      </c>
      <c r="BF199" s="207">
        <v>0.39668566068453937</v>
      </c>
      <c r="BG199" s="207">
        <v>0</v>
      </c>
      <c r="BH199" s="207">
        <v>0</v>
      </c>
      <c r="BI199" s="207">
        <v>0</v>
      </c>
      <c r="BJ199" s="207">
        <v>-529.92</v>
      </c>
      <c r="BK199" s="207">
        <v>-9052.8</v>
      </c>
      <c r="BL199" s="207">
        <v>-618.24</v>
      </c>
      <c r="BM199" s="207">
        <v>-861.12</v>
      </c>
      <c r="BN199" s="207">
        <v>-44.160000000000004</v>
      </c>
      <c r="BO199" s="207">
        <v>2864</v>
      </c>
      <c r="BP199" s="207">
        <v>-27603.359913156015</v>
      </c>
      <c r="BQ199" s="207">
        <v>-200243.52</v>
      </c>
      <c r="BR199" s="207">
        <v>270448.9247596208</v>
      </c>
      <c r="BS199" s="207">
        <v>306712</v>
      </c>
      <c r="BT199" s="207">
        <v>80932</v>
      </c>
      <c r="BU199" s="207">
        <v>212840.17227451561</v>
      </c>
      <c r="BV199" s="207">
        <v>11757.206041825455</v>
      </c>
      <c r="BW199" s="207">
        <v>28178.923088862364</v>
      </c>
      <c r="BX199" s="207">
        <v>96841.9166642587</v>
      </c>
      <c r="BY199" s="207">
        <v>115917.57965680344</v>
      </c>
      <c r="BZ199" s="207">
        <v>195401.13376254923</v>
      </c>
      <c r="CA199" s="207">
        <v>64132.152054768645</v>
      </c>
      <c r="CB199" s="207">
        <v>103884.00046307367</v>
      </c>
      <c r="CC199" s="207">
        <v>198.72</v>
      </c>
      <c r="CD199" s="207">
        <v>-34376.4472404994</v>
      </c>
      <c r="CE199" s="207">
        <v>95429.76</v>
      </c>
      <c r="CF199" s="207">
        <v>1551162.0415257786</v>
      </c>
      <c r="CG199" s="207">
        <v>1192822.3616126226</v>
      </c>
      <c r="CH199" s="207">
        <v>0</v>
      </c>
      <c r="CI199" s="207">
        <v>963421.8816959449</v>
      </c>
      <c r="CJ199" s="207">
        <v>-290999</v>
      </c>
      <c r="CK199" s="207">
        <v>0</v>
      </c>
      <c r="CL199" s="207">
        <v>0</v>
      </c>
      <c r="CM199" s="207">
        <v>-113522.924</v>
      </c>
      <c r="CN199" s="207">
        <v>8116721.947887272</v>
      </c>
      <c r="CO199" s="207">
        <v>8003199.023887272</v>
      </c>
      <c r="CP199" s="207">
        <v>2234</v>
      </c>
    </row>
    <row r="200" spans="1:94" ht="9.75">
      <c r="A200" s="175">
        <v>624</v>
      </c>
      <c r="B200" s="175" t="s">
        <v>256</v>
      </c>
      <c r="C200" s="207">
        <v>5264</v>
      </c>
      <c r="D200" s="207">
        <v>18269102.05</v>
      </c>
      <c r="E200" s="207">
        <v>6029764.615651145</v>
      </c>
      <c r="F200" s="207">
        <v>1397180.137763579</v>
      </c>
      <c r="G200" s="207">
        <v>25696046.803414725</v>
      </c>
      <c r="H200" s="207">
        <v>3524.51</v>
      </c>
      <c r="I200" s="207">
        <v>18553020.64</v>
      </c>
      <c r="J200" s="207">
        <v>7143026.163414724</v>
      </c>
      <c r="K200" s="207">
        <v>26407.906172241663</v>
      </c>
      <c r="L200" s="207">
        <v>1197017.063738152</v>
      </c>
      <c r="M200" s="207">
        <v>0</v>
      </c>
      <c r="N200" s="207">
        <v>8366451.133325119</v>
      </c>
      <c r="O200" s="207">
        <v>1245223.527527274</v>
      </c>
      <c r="P200" s="207">
        <v>9611674.660852393</v>
      </c>
      <c r="Q200" s="207">
        <v>326</v>
      </c>
      <c r="R200" s="207">
        <v>69</v>
      </c>
      <c r="S200" s="207">
        <v>377</v>
      </c>
      <c r="T200" s="207">
        <v>167</v>
      </c>
      <c r="U200" s="207">
        <v>165</v>
      </c>
      <c r="V200" s="207">
        <v>2851</v>
      </c>
      <c r="W200" s="207">
        <v>764</v>
      </c>
      <c r="X200" s="207">
        <v>381</v>
      </c>
      <c r="Y200" s="207">
        <v>164</v>
      </c>
      <c r="Z200" s="207">
        <v>401</v>
      </c>
      <c r="AA200" s="207">
        <v>0</v>
      </c>
      <c r="AB200" s="207">
        <v>4680</v>
      </c>
      <c r="AC200" s="207">
        <v>183</v>
      </c>
      <c r="AD200" s="207">
        <v>1309</v>
      </c>
      <c r="AE200" s="207">
        <v>1.0106778911154213</v>
      </c>
      <c r="AF200" s="207">
        <v>6029764.615651145</v>
      </c>
      <c r="AG200" s="207">
        <v>7172763.68234651</v>
      </c>
      <c r="AH200" s="207">
        <v>2072853.7632942991</v>
      </c>
      <c r="AI200" s="207">
        <v>670103.5371298201</v>
      </c>
      <c r="AJ200" s="207">
        <v>280</v>
      </c>
      <c r="AK200" s="207">
        <v>2439</v>
      </c>
      <c r="AL200" s="207">
        <v>0.9921343753898085</v>
      </c>
      <c r="AM200" s="207">
        <v>183</v>
      </c>
      <c r="AN200" s="207">
        <v>0.034764437689969604</v>
      </c>
      <c r="AO200" s="207">
        <v>0.029823726227519012</v>
      </c>
      <c r="AP200" s="207">
        <v>1</v>
      </c>
      <c r="AQ200" s="207">
        <v>401</v>
      </c>
      <c r="AR200" s="207">
        <v>0</v>
      </c>
      <c r="AS200" s="207">
        <v>3</v>
      </c>
      <c r="AT200" s="207">
        <v>192</v>
      </c>
      <c r="AU200" s="207">
        <v>324.75</v>
      </c>
      <c r="AV200" s="207">
        <v>16.20939183987683</v>
      </c>
      <c r="AW200" s="207">
        <v>1.1188471535300246</v>
      </c>
      <c r="AX200" s="207">
        <v>235</v>
      </c>
      <c r="AY200" s="207">
        <v>1701</v>
      </c>
      <c r="AZ200" s="207">
        <v>0.13815402704291593</v>
      </c>
      <c r="BA200" s="207">
        <v>0.07697019095868143</v>
      </c>
      <c r="BB200" s="207">
        <v>0</v>
      </c>
      <c r="BC200" s="207">
        <v>1004</v>
      </c>
      <c r="BD200" s="207">
        <v>2060</v>
      </c>
      <c r="BE200" s="207">
        <v>0.487378640776699</v>
      </c>
      <c r="BF200" s="207">
        <v>0.07847175818560592</v>
      </c>
      <c r="BG200" s="207">
        <v>0</v>
      </c>
      <c r="BH200" s="207">
        <v>0</v>
      </c>
      <c r="BI200" s="207">
        <v>0</v>
      </c>
      <c r="BJ200" s="207">
        <v>-1263.36</v>
      </c>
      <c r="BK200" s="207">
        <v>-21582.399999999998</v>
      </c>
      <c r="BL200" s="207">
        <v>-1473.92</v>
      </c>
      <c r="BM200" s="207">
        <v>-2052.96</v>
      </c>
      <c r="BN200" s="207">
        <v>-105.28</v>
      </c>
      <c r="BO200" s="207">
        <v>97136</v>
      </c>
      <c r="BP200" s="207">
        <v>-218491.70918707742</v>
      </c>
      <c r="BQ200" s="207">
        <v>-477392.16</v>
      </c>
      <c r="BR200" s="207">
        <v>190396.44915563427</v>
      </c>
      <c r="BS200" s="207">
        <v>373776</v>
      </c>
      <c r="BT200" s="207">
        <v>115577</v>
      </c>
      <c r="BU200" s="207">
        <v>235069.5784648998</v>
      </c>
      <c r="BV200" s="207">
        <v>9112.403436958746</v>
      </c>
      <c r="BW200" s="207">
        <v>-127110.83688082914</v>
      </c>
      <c r="BX200" s="207">
        <v>99430.33695296093</v>
      </c>
      <c r="BY200" s="207">
        <v>228962.00169117263</v>
      </c>
      <c r="BZ200" s="207">
        <v>403407.92759863316</v>
      </c>
      <c r="CA200" s="207">
        <v>117512.97516334013</v>
      </c>
      <c r="CB200" s="207">
        <v>200386.0547264546</v>
      </c>
      <c r="CC200" s="207">
        <v>473.76</v>
      </c>
      <c r="CD200" s="207">
        <v>32363.60261600413</v>
      </c>
      <c r="CE200" s="207">
        <v>227510.08</v>
      </c>
      <c r="CF200" s="207">
        <v>2204003.3329252293</v>
      </c>
      <c r="CG200" s="207">
        <v>1197017.063738152</v>
      </c>
      <c r="CH200" s="207">
        <v>0</v>
      </c>
      <c r="CI200" s="207">
        <v>1245223.527527274</v>
      </c>
      <c r="CJ200" s="207">
        <v>-802175</v>
      </c>
      <c r="CK200" s="207">
        <v>0</v>
      </c>
      <c r="CL200" s="207">
        <v>0</v>
      </c>
      <c r="CM200" s="207">
        <v>-14837.182159999997</v>
      </c>
      <c r="CN200" s="207">
        <v>8809499.660852393</v>
      </c>
      <c r="CO200" s="207">
        <v>8794662.478692394</v>
      </c>
      <c r="CP200" s="207">
        <v>5340</v>
      </c>
    </row>
    <row r="201" spans="1:94" ht="9.75">
      <c r="A201" s="175">
        <v>625</v>
      </c>
      <c r="B201" s="175" t="s">
        <v>257</v>
      </c>
      <c r="C201" s="207">
        <v>3189</v>
      </c>
      <c r="D201" s="207">
        <v>12190691.739999998</v>
      </c>
      <c r="E201" s="207">
        <v>4945451.344086286</v>
      </c>
      <c r="F201" s="207">
        <v>754860.6306124951</v>
      </c>
      <c r="G201" s="207">
        <v>17891003.71469878</v>
      </c>
      <c r="H201" s="207">
        <v>3524.51</v>
      </c>
      <c r="I201" s="207">
        <v>11239662.39</v>
      </c>
      <c r="J201" s="207">
        <v>6651341.32469878</v>
      </c>
      <c r="K201" s="207">
        <v>251678.7265845881</v>
      </c>
      <c r="L201" s="207">
        <v>967296.4034667421</v>
      </c>
      <c r="M201" s="207">
        <v>0</v>
      </c>
      <c r="N201" s="207">
        <v>7870316.45475011</v>
      </c>
      <c r="O201" s="207">
        <v>2008319.063342387</v>
      </c>
      <c r="P201" s="207">
        <v>9878635.518092498</v>
      </c>
      <c r="Q201" s="207">
        <v>205</v>
      </c>
      <c r="R201" s="207">
        <v>37</v>
      </c>
      <c r="S201" s="207">
        <v>248</v>
      </c>
      <c r="T201" s="207">
        <v>126</v>
      </c>
      <c r="U201" s="207">
        <v>122</v>
      </c>
      <c r="V201" s="207">
        <v>1563</v>
      </c>
      <c r="W201" s="207">
        <v>517</v>
      </c>
      <c r="X201" s="207">
        <v>242</v>
      </c>
      <c r="Y201" s="207">
        <v>129</v>
      </c>
      <c r="Z201" s="207">
        <v>12</v>
      </c>
      <c r="AA201" s="207">
        <v>0</v>
      </c>
      <c r="AB201" s="207">
        <v>3114</v>
      </c>
      <c r="AC201" s="207">
        <v>63</v>
      </c>
      <c r="AD201" s="207">
        <v>888</v>
      </c>
      <c r="AE201" s="207">
        <v>1.3682948783592939</v>
      </c>
      <c r="AF201" s="207">
        <v>4945451.344086286</v>
      </c>
      <c r="AG201" s="207">
        <v>4914259.948318035</v>
      </c>
      <c r="AH201" s="207">
        <v>1654034.059001759</v>
      </c>
      <c r="AI201" s="207">
        <v>303780.27016551845</v>
      </c>
      <c r="AJ201" s="207">
        <v>121</v>
      </c>
      <c r="AK201" s="207">
        <v>1286</v>
      </c>
      <c r="AL201" s="207">
        <v>0.8131462584166433</v>
      </c>
      <c r="AM201" s="207">
        <v>63</v>
      </c>
      <c r="AN201" s="207">
        <v>0.01975540921919097</v>
      </c>
      <c r="AO201" s="207">
        <v>0.014814697756740377</v>
      </c>
      <c r="AP201" s="207">
        <v>0</v>
      </c>
      <c r="AQ201" s="207">
        <v>12</v>
      </c>
      <c r="AR201" s="207">
        <v>0</v>
      </c>
      <c r="AS201" s="207">
        <v>0</v>
      </c>
      <c r="AT201" s="207">
        <v>0</v>
      </c>
      <c r="AU201" s="207">
        <v>543.01</v>
      </c>
      <c r="AV201" s="207">
        <v>5.872820021730723</v>
      </c>
      <c r="AW201" s="207">
        <v>3.0880959834274577</v>
      </c>
      <c r="AX201" s="207">
        <v>94</v>
      </c>
      <c r="AY201" s="207">
        <v>868</v>
      </c>
      <c r="AZ201" s="207">
        <v>0.10829493087557604</v>
      </c>
      <c r="BA201" s="207">
        <v>0.04711109479134155</v>
      </c>
      <c r="BB201" s="207">
        <v>0.283466</v>
      </c>
      <c r="BC201" s="207">
        <v>791</v>
      </c>
      <c r="BD201" s="207">
        <v>1115</v>
      </c>
      <c r="BE201" s="207">
        <v>0.7094170403587444</v>
      </c>
      <c r="BF201" s="207">
        <v>0.30051015776765133</v>
      </c>
      <c r="BG201" s="207">
        <v>0</v>
      </c>
      <c r="BH201" s="207">
        <v>0</v>
      </c>
      <c r="BI201" s="207">
        <v>0</v>
      </c>
      <c r="BJ201" s="207">
        <v>-765.36</v>
      </c>
      <c r="BK201" s="207">
        <v>-13074.9</v>
      </c>
      <c r="BL201" s="207">
        <v>-892.9200000000001</v>
      </c>
      <c r="BM201" s="207">
        <v>-1243.71</v>
      </c>
      <c r="BN201" s="207">
        <v>-63.78</v>
      </c>
      <c r="BO201" s="207">
        <v>22461</v>
      </c>
      <c r="BP201" s="207">
        <v>-52744.88696469393</v>
      </c>
      <c r="BQ201" s="207">
        <v>-289210.41</v>
      </c>
      <c r="BR201" s="207">
        <v>-15316.170387493446</v>
      </c>
      <c r="BS201" s="207">
        <v>278360</v>
      </c>
      <c r="BT201" s="207">
        <v>90828</v>
      </c>
      <c r="BU201" s="207">
        <v>209003.70193620183</v>
      </c>
      <c r="BV201" s="207">
        <v>9695.638026579994</v>
      </c>
      <c r="BW201" s="207">
        <v>35066.45150657508</v>
      </c>
      <c r="BX201" s="207">
        <v>103455.7139788927</v>
      </c>
      <c r="BY201" s="207">
        <v>169578.02322362876</v>
      </c>
      <c r="BZ201" s="207">
        <v>253663.12014994805</v>
      </c>
      <c r="CA201" s="207">
        <v>67489.5917378455</v>
      </c>
      <c r="CB201" s="207">
        <v>122279.33884860553</v>
      </c>
      <c r="CC201" s="207">
        <v>287.01</v>
      </c>
      <c r="CD201" s="207">
        <v>13041.601410651849</v>
      </c>
      <c r="CE201" s="207">
        <v>137828.58</v>
      </c>
      <c r="CF201" s="207">
        <v>1497721.600431436</v>
      </c>
      <c r="CG201" s="207">
        <v>967296.4034667421</v>
      </c>
      <c r="CH201" s="207">
        <v>0</v>
      </c>
      <c r="CI201" s="207">
        <v>2008319.063342387</v>
      </c>
      <c r="CJ201" s="207">
        <v>315103</v>
      </c>
      <c r="CK201" s="207">
        <v>0</v>
      </c>
      <c r="CL201" s="207">
        <v>0</v>
      </c>
      <c r="CM201" s="207">
        <v>104282.68599999999</v>
      </c>
      <c r="CN201" s="207">
        <v>10193738.518092498</v>
      </c>
      <c r="CO201" s="207">
        <v>10298021.204092499</v>
      </c>
      <c r="CP201" s="207">
        <v>3188</v>
      </c>
    </row>
    <row r="202" spans="1:94" ht="9.75">
      <c r="A202" s="175">
        <v>626</v>
      </c>
      <c r="B202" s="175" t="s">
        <v>258</v>
      </c>
      <c r="C202" s="207">
        <v>5337</v>
      </c>
      <c r="D202" s="207">
        <v>19790656.99</v>
      </c>
      <c r="E202" s="207">
        <v>11063801.24817573</v>
      </c>
      <c r="F202" s="207">
        <v>1635462.9184707764</v>
      </c>
      <c r="G202" s="207">
        <v>32489921.156646505</v>
      </c>
      <c r="H202" s="207">
        <v>3524.51</v>
      </c>
      <c r="I202" s="207">
        <v>18810309.87</v>
      </c>
      <c r="J202" s="207">
        <v>13679611.286646504</v>
      </c>
      <c r="K202" s="207">
        <v>1277801.8044681398</v>
      </c>
      <c r="L202" s="207">
        <v>1478470.7519677987</v>
      </c>
      <c r="M202" s="207">
        <v>0</v>
      </c>
      <c r="N202" s="207">
        <v>16435883.843082443</v>
      </c>
      <c r="O202" s="207">
        <v>507255.5595901678</v>
      </c>
      <c r="P202" s="207">
        <v>16943139.40267261</v>
      </c>
      <c r="Q202" s="207">
        <v>287</v>
      </c>
      <c r="R202" s="207">
        <v>64</v>
      </c>
      <c r="S202" s="207">
        <v>336</v>
      </c>
      <c r="T202" s="207">
        <v>141</v>
      </c>
      <c r="U202" s="207">
        <v>143</v>
      </c>
      <c r="V202" s="207">
        <v>2652</v>
      </c>
      <c r="W202" s="207">
        <v>927</v>
      </c>
      <c r="X202" s="207">
        <v>537</v>
      </c>
      <c r="Y202" s="207">
        <v>250</v>
      </c>
      <c r="Z202" s="207">
        <v>11</v>
      </c>
      <c r="AA202" s="207">
        <v>0</v>
      </c>
      <c r="AB202" s="207">
        <v>5263</v>
      </c>
      <c r="AC202" s="207">
        <v>63</v>
      </c>
      <c r="AD202" s="207">
        <v>1714</v>
      </c>
      <c r="AE202" s="207">
        <v>1.829091577099661</v>
      </c>
      <c r="AF202" s="207">
        <v>11063801.24817573</v>
      </c>
      <c r="AG202" s="207">
        <v>7693267.057536862</v>
      </c>
      <c r="AH202" s="207">
        <v>1936639.6489905252</v>
      </c>
      <c r="AI202" s="207">
        <v>839863.0998693745</v>
      </c>
      <c r="AJ202" s="207">
        <v>247</v>
      </c>
      <c r="AK202" s="207">
        <v>2129</v>
      </c>
      <c r="AL202" s="207">
        <v>1.002641226882521</v>
      </c>
      <c r="AM202" s="207">
        <v>63</v>
      </c>
      <c r="AN202" s="207">
        <v>0.011804384485666104</v>
      </c>
      <c r="AO202" s="207">
        <v>0.006863673023215511</v>
      </c>
      <c r="AP202" s="207">
        <v>0</v>
      </c>
      <c r="AQ202" s="207">
        <v>11</v>
      </c>
      <c r="AR202" s="207">
        <v>0</v>
      </c>
      <c r="AS202" s="207">
        <v>0</v>
      </c>
      <c r="AT202" s="207">
        <v>0</v>
      </c>
      <c r="AU202" s="207">
        <v>1310.79</v>
      </c>
      <c r="AV202" s="207">
        <v>4.071590414940609</v>
      </c>
      <c r="AW202" s="207">
        <v>4.4542377970902916</v>
      </c>
      <c r="AX202" s="207">
        <v>189</v>
      </c>
      <c r="AY202" s="207">
        <v>1270</v>
      </c>
      <c r="AZ202" s="207">
        <v>0.14881889763779527</v>
      </c>
      <c r="BA202" s="207">
        <v>0.08763506155356077</v>
      </c>
      <c r="BB202" s="207">
        <v>0.967833</v>
      </c>
      <c r="BC202" s="207">
        <v>1688</v>
      </c>
      <c r="BD202" s="207">
        <v>1749</v>
      </c>
      <c r="BE202" s="207">
        <v>0.9651229273870783</v>
      </c>
      <c r="BF202" s="207">
        <v>0.5562160447959852</v>
      </c>
      <c r="BG202" s="207">
        <v>0</v>
      </c>
      <c r="BH202" s="207">
        <v>0</v>
      </c>
      <c r="BI202" s="207">
        <v>0</v>
      </c>
      <c r="BJ202" s="207">
        <v>-1280.8799999999999</v>
      </c>
      <c r="BK202" s="207">
        <v>-21881.699999999997</v>
      </c>
      <c r="BL202" s="207">
        <v>-1494.3600000000001</v>
      </c>
      <c r="BM202" s="207">
        <v>-2081.4300000000003</v>
      </c>
      <c r="BN202" s="207">
        <v>-106.74000000000001</v>
      </c>
      <c r="BO202" s="207">
        <v>115437</v>
      </c>
      <c r="BP202" s="207">
        <v>-173232.67454225963</v>
      </c>
      <c r="BQ202" s="207">
        <v>-484012.52999999997</v>
      </c>
      <c r="BR202" s="207">
        <v>-60032.6572009027</v>
      </c>
      <c r="BS202" s="207">
        <v>568854</v>
      </c>
      <c r="BT202" s="207">
        <v>160404</v>
      </c>
      <c r="BU202" s="207">
        <v>347711.14435782126</v>
      </c>
      <c r="BV202" s="207">
        <v>18609.89689071376</v>
      </c>
      <c r="BW202" s="207">
        <v>54407.33896008739</v>
      </c>
      <c r="BX202" s="207">
        <v>220486.06081992874</v>
      </c>
      <c r="BY202" s="207">
        <v>276663.9387210996</v>
      </c>
      <c r="BZ202" s="207">
        <v>449731.40092725924</v>
      </c>
      <c r="CA202" s="207">
        <v>115058.54717717654</v>
      </c>
      <c r="CB202" s="207">
        <v>223906.49939928832</v>
      </c>
      <c r="CC202" s="207">
        <v>480.33</v>
      </c>
      <c r="CD202" s="207">
        <v>-271249.98354241444</v>
      </c>
      <c r="CE202" s="207">
        <v>230665.13999999998</v>
      </c>
      <c r="CF202" s="207">
        <v>2451132.6565100583</v>
      </c>
      <c r="CG202" s="207">
        <v>1478470.7519677987</v>
      </c>
      <c r="CH202" s="207">
        <v>0</v>
      </c>
      <c r="CI202" s="207">
        <v>507255.5595901678</v>
      </c>
      <c r="CJ202" s="207">
        <v>-395521</v>
      </c>
      <c r="CK202" s="207">
        <v>0</v>
      </c>
      <c r="CL202" s="207">
        <v>0</v>
      </c>
      <c r="CM202" s="207">
        <v>-77948.00769999999</v>
      </c>
      <c r="CN202" s="207">
        <v>16547618.402672611</v>
      </c>
      <c r="CO202" s="207">
        <v>16469670.394972611</v>
      </c>
      <c r="CP202" s="207">
        <v>5446</v>
      </c>
    </row>
    <row r="203" spans="1:94" ht="9.75">
      <c r="A203" s="175">
        <v>630</v>
      </c>
      <c r="B203" s="175" t="s">
        <v>259</v>
      </c>
      <c r="C203" s="207">
        <v>1579</v>
      </c>
      <c r="D203" s="207">
        <v>5752364.890000001</v>
      </c>
      <c r="E203" s="207">
        <v>2141361.5593915894</v>
      </c>
      <c r="F203" s="207">
        <v>740917.2638333819</v>
      </c>
      <c r="G203" s="207">
        <v>8634643.713224972</v>
      </c>
      <c r="H203" s="207">
        <v>3524.51</v>
      </c>
      <c r="I203" s="207">
        <v>5565201.29</v>
      </c>
      <c r="J203" s="207">
        <v>3069442.4232249716</v>
      </c>
      <c r="K203" s="207">
        <v>823799.510723444</v>
      </c>
      <c r="L203" s="207">
        <v>490073.78459475713</v>
      </c>
      <c r="M203" s="207">
        <v>0</v>
      </c>
      <c r="N203" s="207">
        <v>4383315.718543173</v>
      </c>
      <c r="O203" s="207">
        <v>1307405.8296362292</v>
      </c>
      <c r="P203" s="207">
        <v>5690721.548179402</v>
      </c>
      <c r="Q203" s="207">
        <v>124</v>
      </c>
      <c r="R203" s="207">
        <v>26</v>
      </c>
      <c r="S203" s="207">
        <v>142</v>
      </c>
      <c r="T203" s="207">
        <v>67</v>
      </c>
      <c r="U203" s="207">
        <v>59</v>
      </c>
      <c r="V203" s="207">
        <v>826</v>
      </c>
      <c r="W203" s="207">
        <v>197</v>
      </c>
      <c r="X203" s="207">
        <v>105</v>
      </c>
      <c r="Y203" s="207">
        <v>33</v>
      </c>
      <c r="Z203" s="207">
        <v>0</v>
      </c>
      <c r="AA203" s="207">
        <v>0</v>
      </c>
      <c r="AB203" s="207">
        <v>1560</v>
      </c>
      <c r="AC203" s="207">
        <v>19</v>
      </c>
      <c r="AD203" s="207">
        <v>335</v>
      </c>
      <c r="AE203" s="207">
        <v>1.1965646252030357</v>
      </c>
      <c r="AF203" s="207">
        <v>2141361.5593915894</v>
      </c>
      <c r="AG203" s="207">
        <v>5870874.210416536</v>
      </c>
      <c r="AH203" s="207">
        <v>1943837.3266213497</v>
      </c>
      <c r="AI203" s="207">
        <v>500343.97439026565</v>
      </c>
      <c r="AJ203" s="207">
        <v>70</v>
      </c>
      <c r="AK203" s="207">
        <v>659</v>
      </c>
      <c r="AL203" s="207">
        <v>0.9179877623580208</v>
      </c>
      <c r="AM203" s="207">
        <v>19</v>
      </c>
      <c r="AN203" s="207">
        <v>0.012032932235592146</v>
      </c>
      <c r="AO203" s="207">
        <v>0.007092220773141553</v>
      </c>
      <c r="AP203" s="207">
        <v>0</v>
      </c>
      <c r="AQ203" s="207">
        <v>0</v>
      </c>
      <c r="AR203" s="207">
        <v>0</v>
      </c>
      <c r="AS203" s="207">
        <v>0</v>
      </c>
      <c r="AT203" s="207">
        <v>0</v>
      </c>
      <c r="AU203" s="207">
        <v>810.69</v>
      </c>
      <c r="AV203" s="207">
        <v>1.9477235441414102</v>
      </c>
      <c r="AW203" s="207">
        <v>9.311296757206673</v>
      </c>
      <c r="AX203" s="207">
        <v>41</v>
      </c>
      <c r="AY203" s="207">
        <v>385</v>
      </c>
      <c r="AZ203" s="207">
        <v>0.10649350649350649</v>
      </c>
      <c r="BA203" s="207">
        <v>0.045309670409271995</v>
      </c>
      <c r="BB203" s="207">
        <v>1.430633</v>
      </c>
      <c r="BC203" s="207">
        <v>886</v>
      </c>
      <c r="BD203" s="207">
        <v>591</v>
      </c>
      <c r="BE203" s="207">
        <v>1.4991539763113366</v>
      </c>
      <c r="BF203" s="207">
        <v>1.0902470937202435</v>
      </c>
      <c r="BG203" s="207">
        <v>0</v>
      </c>
      <c r="BH203" s="207">
        <v>0</v>
      </c>
      <c r="BI203" s="207">
        <v>0</v>
      </c>
      <c r="BJ203" s="207">
        <v>-378.96</v>
      </c>
      <c r="BK203" s="207">
        <v>-6473.9</v>
      </c>
      <c r="BL203" s="207">
        <v>-442.12000000000006</v>
      </c>
      <c r="BM203" s="207">
        <v>-615.8100000000001</v>
      </c>
      <c r="BN203" s="207">
        <v>-31.580000000000002</v>
      </c>
      <c r="BO203" s="207">
        <v>27930</v>
      </c>
      <c r="BP203" s="207">
        <v>-24511.817517084557</v>
      </c>
      <c r="BQ203" s="207">
        <v>-143199.51</v>
      </c>
      <c r="BR203" s="207">
        <v>-38762.769205734134</v>
      </c>
      <c r="BS203" s="207">
        <v>142597</v>
      </c>
      <c r="BT203" s="207">
        <v>43369</v>
      </c>
      <c r="BU203" s="207">
        <v>115066.9355321736</v>
      </c>
      <c r="BV203" s="207">
        <v>6926.724569399294</v>
      </c>
      <c r="BW203" s="207">
        <v>14447.999352274763</v>
      </c>
      <c r="BX203" s="207">
        <v>58673.82537882386</v>
      </c>
      <c r="BY203" s="207">
        <v>84154.45967872407</v>
      </c>
      <c r="BZ203" s="207">
        <v>133597.43870718923</v>
      </c>
      <c r="CA203" s="207">
        <v>38246.73357772989</v>
      </c>
      <c r="CB203" s="207">
        <v>71275.45868150082</v>
      </c>
      <c r="CC203" s="207">
        <v>142.10999999999999</v>
      </c>
      <c r="CD203" s="207">
        <v>-14805.284160239758</v>
      </c>
      <c r="CE203" s="207">
        <v>68244.38</v>
      </c>
      <c r="CF203" s="207">
        <v>751104.0121118417</v>
      </c>
      <c r="CG203" s="207">
        <v>490073.78459475713</v>
      </c>
      <c r="CH203" s="207">
        <v>0</v>
      </c>
      <c r="CI203" s="207">
        <v>1307405.8296362292</v>
      </c>
      <c r="CJ203" s="207">
        <v>-149406</v>
      </c>
      <c r="CK203" s="207">
        <v>0</v>
      </c>
      <c r="CL203" s="207">
        <v>0</v>
      </c>
      <c r="CM203" s="207">
        <v>138669.57170000003</v>
      </c>
      <c r="CN203" s="207">
        <v>5541315.548179402</v>
      </c>
      <c r="CO203" s="207">
        <v>5679985.119879402</v>
      </c>
      <c r="CP203" s="207">
        <v>1579</v>
      </c>
    </row>
    <row r="204" spans="1:94" ht="9.75">
      <c r="A204" s="175">
        <v>631</v>
      </c>
      <c r="B204" s="175" t="s">
        <v>260</v>
      </c>
      <c r="C204" s="207">
        <v>2077</v>
      </c>
      <c r="D204" s="207">
        <v>7088648.0600000005</v>
      </c>
      <c r="E204" s="207">
        <v>2264544.099813478</v>
      </c>
      <c r="F204" s="207">
        <v>304028.5844298935</v>
      </c>
      <c r="G204" s="207">
        <v>9657220.744243372</v>
      </c>
      <c r="H204" s="207">
        <v>3524.51</v>
      </c>
      <c r="I204" s="207">
        <v>7320407.2700000005</v>
      </c>
      <c r="J204" s="207">
        <v>2336813.4742433717</v>
      </c>
      <c r="K204" s="207">
        <v>24124.12420023815</v>
      </c>
      <c r="L204" s="207">
        <v>757108.9748455816</v>
      </c>
      <c r="M204" s="207">
        <v>0</v>
      </c>
      <c r="N204" s="207">
        <v>3118046.573289192</v>
      </c>
      <c r="O204" s="207">
        <v>758062.0860204991</v>
      </c>
      <c r="P204" s="207">
        <v>3876108.659309691</v>
      </c>
      <c r="Q204" s="207">
        <v>114</v>
      </c>
      <c r="R204" s="207">
        <v>31</v>
      </c>
      <c r="S204" s="207">
        <v>124</v>
      </c>
      <c r="T204" s="207">
        <v>71</v>
      </c>
      <c r="U204" s="207">
        <v>67</v>
      </c>
      <c r="V204" s="207">
        <v>1113</v>
      </c>
      <c r="W204" s="207">
        <v>322</v>
      </c>
      <c r="X204" s="207">
        <v>175</v>
      </c>
      <c r="Y204" s="207">
        <v>60</v>
      </c>
      <c r="Z204" s="207">
        <v>7</v>
      </c>
      <c r="AA204" s="207">
        <v>0</v>
      </c>
      <c r="AB204" s="207">
        <v>2041</v>
      </c>
      <c r="AC204" s="207">
        <v>29</v>
      </c>
      <c r="AD204" s="207">
        <v>557</v>
      </c>
      <c r="AE204" s="207">
        <v>0.9619944649473262</v>
      </c>
      <c r="AF204" s="207">
        <v>2264544.099813478</v>
      </c>
      <c r="AG204" s="207">
        <v>13188941.76377235</v>
      </c>
      <c r="AH204" s="207">
        <v>3349512.810168104</v>
      </c>
      <c r="AI204" s="207">
        <v>1447423.6402004114</v>
      </c>
      <c r="AJ204" s="207">
        <v>68</v>
      </c>
      <c r="AK204" s="207">
        <v>995</v>
      </c>
      <c r="AL204" s="207">
        <v>0.5906226504922848</v>
      </c>
      <c r="AM204" s="207">
        <v>29</v>
      </c>
      <c r="AN204" s="207">
        <v>0.013962445835339432</v>
      </c>
      <c r="AO204" s="207">
        <v>0.009021734372888838</v>
      </c>
      <c r="AP204" s="207">
        <v>0</v>
      </c>
      <c r="AQ204" s="207">
        <v>7</v>
      </c>
      <c r="AR204" s="207">
        <v>0</v>
      </c>
      <c r="AS204" s="207">
        <v>0</v>
      </c>
      <c r="AT204" s="207">
        <v>0</v>
      </c>
      <c r="AU204" s="207">
        <v>143.49</v>
      </c>
      <c r="AV204" s="207">
        <v>14.47487629799986</v>
      </c>
      <c r="AW204" s="207">
        <v>1.252917921171113</v>
      </c>
      <c r="AX204" s="207">
        <v>85</v>
      </c>
      <c r="AY204" s="207">
        <v>626</v>
      </c>
      <c r="AZ204" s="207">
        <v>0.13578274760383385</v>
      </c>
      <c r="BA204" s="207">
        <v>0.07459891151959935</v>
      </c>
      <c r="BB204" s="207">
        <v>0</v>
      </c>
      <c r="BC204" s="207">
        <v>502</v>
      </c>
      <c r="BD204" s="207">
        <v>850</v>
      </c>
      <c r="BE204" s="207">
        <v>0.5905882352941176</v>
      </c>
      <c r="BF204" s="207">
        <v>0.18168135270302455</v>
      </c>
      <c r="BG204" s="207">
        <v>0</v>
      </c>
      <c r="BH204" s="207">
        <v>0</v>
      </c>
      <c r="BI204" s="207">
        <v>0</v>
      </c>
      <c r="BJ204" s="207">
        <v>-498.47999999999996</v>
      </c>
      <c r="BK204" s="207">
        <v>-8515.699999999999</v>
      </c>
      <c r="BL204" s="207">
        <v>-581.5600000000001</v>
      </c>
      <c r="BM204" s="207">
        <v>-810.03</v>
      </c>
      <c r="BN204" s="207">
        <v>-41.54</v>
      </c>
      <c r="BO204" s="207">
        <v>38872</v>
      </c>
      <c r="BP204" s="207">
        <v>-7584.061154613737</v>
      </c>
      <c r="BQ204" s="207">
        <v>-188363.13</v>
      </c>
      <c r="BR204" s="207">
        <v>125422.74595760088</v>
      </c>
      <c r="BS204" s="207">
        <v>166578</v>
      </c>
      <c r="BT204" s="207">
        <v>56438</v>
      </c>
      <c r="BU204" s="207">
        <v>129722.21444774065</v>
      </c>
      <c r="BV204" s="207">
        <v>5761.346417775909</v>
      </c>
      <c r="BW204" s="207">
        <v>-32797.7229609648</v>
      </c>
      <c r="BX204" s="207">
        <v>53378.44238395563</v>
      </c>
      <c r="BY204" s="207">
        <v>104600.43267838539</v>
      </c>
      <c r="BZ204" s="207">
        <v>186841.64452944396</v>
      </c>
      <c r="CA204" s="207">
        <v>53002.486559640914</v>
      </c>
      <c r="CB204" s="207">
        <v>88648.77410462896</v>
      </c>
      <c r="CC204" s="207">
        <v>186.93</v>
      </c>
      <c r="CD204" s="207">
        <v>9383.631881987802</v>
      </c>
      <c r="CE204" s="207">
        <v>89767.94</v>
      </c>
      <c r="CF204" s="207">
        <v>1075806.8660001953</v>
      </c>
      <c r="CG204" s="207">
        <v>757108.9748455816</v>
      </c>
      <c r="CH204" s="207">
        <v>0</v>
      </c>
      <c r="CI204" s="207">
        <v>758062.0860204991</v>
      </c>
      <c r="CJ204" s="207">
        <v>-434895</v>
      </c>
      <c r="CK204" s="207">
        <v>0</v>
      </c>
      <c r="CL204" s="207">
        <v>0</v>
      </c>
      <c r="CM204" s="207">
        <v>-764920.1019800002</v>
      </c>
      <c r="CN204" s="207">
        <v>3441213.659309691</v>
      </c>
      <c r="CO204" s="207">
        <v>2676293.5573296905</v>
      </c>
      <c r="CP204" s="207">
        <v>2075</v>
      </c>
    </row>
    <row r="205" spans="1:94" ht="9.75">
      <c r="A205" s="175">
        <v>635</v>
      </c>
      <c r="B205" s="175" t="s">
        <v>261</v>
      </c>
      <c r="C205" s="207">
        <v>6567</v>
      </c>
      <c r="D205" s="207">
        <v>23515769.07</v>
      </c>
      <c r="E205" s="207">
        <v>8936588.414095927</v>
      </c>
      <c r="F205" s="207">
        <v>1277461.625323495</v>
      </c>
      <c r="G205" s="207">
        <v>33729819.10941942</v>
      </c>
      <c r="H205" s="207">
        <v>3524.51</v>
      </c>
      <c r="I205" s="207">
        <v>23145457.17</v>
      </c>
      <c r="J205" s="207">
        <v>10584361.939419419</v>
      </c>
      <c r="K205" s="207">
        <v>146340.99502260194</v>
      </c>
      <c r="L205" s="207">
        <v>2015317.6185692123</v>
      </c>
      <c r="M205" s="207">
        <v>0</v>
      </c>
      <c r="N205" s="207">
        <v>12746020.553011233</v>
      </c>
      <c r="O205" s="207">
        <v>4243436.170120463</v>
      </c>
      <c r="P205" s="207">
        <v>16989456.723131694</v>
      </c>
      <c r="Q205" s="207">
        <v>324</v>
      </c>
      <c r="R205" s="207">
        <v>64</v>
      </c>
      <c r="S205" s="207">
        <v>452</v>
      </c>
      <c r="T205" s="207">
        <v>237</v>
      </c>
      <c r="U205" s="207">
        <v>219</v>
      </c>
      <c r="V205" s="207">
        <v>3411</v>
      </c>
      <c r="W205" s="207">
        <v>1030</v>
      </c>
      <c r="X205" s="207">
        <v>589</v>
      </c>
      <c r="Y205" s="207">
        <v>241</v>
      </c>
      <c r="Z205" s="207">
        <v>28</v>
      </c>
      <c r="AA205" s="207">
        <v>0</v>
      </c>
      <c r="AB205" s="207">
        <v>6389</v>
      </c>
      <c r="AC205" s="207">
        <v>150</v>
      </c>
      <c r="AD205" s="207">
        <v>1860</v>
      </c>
      <c r="AE205" s="207">
        <v>1.2006958990850491</v>
      </c>
      <c r="AF205" s="207">
        <v>8936588.414095927</v>
      </c>
      <c r="AG205" s="207">
        <v>3016275.8759595</v>
      </c>
      <c r="AH205" s="207">
        <v>552673.2899109356</v>
      </c>
      <c r="AI205" s="207">
        <v>294845.55633712077</v>
      </c>
      <c r="AJ205" s="207">
        <v>286</v>
      </c>
      <c r="AK205" s="207">
        <v>2946</v>
      </c>
      <c r="AL205" s="207">
        <v>0.83899149220573</v>
      </c>
      <c r="AM205" s="207">
        <v>150</v>
      </c>
      <c r="AN205" s="207">
        <v>0.02284148012791229</v>
      </c>
      <c r="AO205" s="207">
        <v>0.017900768665461697</v>
      </c>
      <c r="AP205" s="207">
        <v>0</v>
      </c>
      <c r="AQ205" s="207">
        <v>28</v>
      </c>
      <c r="AR205" s="207">
        <v>0</v>
      </c>
      <c r="AS205" s="207">
        <v>0</v>
      </c>
      <c r="AT205" s="207">
        <v>0</v>
      </c>
      <c r="AU205" s="207">
        <v>560.48</v>
      </c>
      <c r="AV205" s="207">
        <v>11.716742791892663</v>
      </c>
      <c r="AW205" s="207">
        <v>1.5478561100656738</v>
      </c>
      <c r="AX205" s="207">
        <v>246</v>
      </c>
      <c r="AY205" s="207">
        <v>1882</v>
      </c>
      <c r="AZ205" s="207">
        <v>0.13071200850159406</v>
      </c>
      <c r="BA205" s="207">
        <v>0.06952817241735956</v>
      </c>
      <c r="BB205" s="207">
        <v>0</v>
      </c>
      <c r="BC205" s="207">
        <v>1924</v>
      </c>
      <c r="BD205" s="207">
        <v>2540</v>
      </c>
      <c r="BE205" s="207">
        <v>0.75748031496063</v>
      </c>
      <c r="BF205" s="207">
        <v>0.34857343236953686</v>
      </c>
      <c r="BG205" s="207">
        <v>0</v>
      </c>
      <c r="BH205" s="207">
        <v>0</v>
      </c>
      <c r="BI205" s="207">
        <v>0</v>
      </c>
      <c r="BJ205" s="207">
        <v>-1576.08</v>
      </c>
      <c r="BK205" s="207">
        <v>-26924.699999999997</v>
      </c>
      <c r="BL205" s="207">
        <v>-1838.7600000000002</v>
      </c>
      <c r="BM205" s="207">
        <v>-2561.13</v>
      </c>
      <c r="BN205" s="207">
        <v>-131.34</v>
      </c>
      <c r="BO205" s="207">
        <v>-130052</v>
      </c>
      <c r="BP205" s="207">
        <v>-145322.74920274076</v>
      </c>
      <c r="BQ205" s="207">
        <v>-595561.23</v>
      </c>
      <c r="BR205" s="207">
        <v>-12804.24278062582</v>
      </c>
      <c r="BS205" s="207">
        <v>642019</v>
      </c>
      <c r="BT205" s="207">
        <v>195798</v>
      </c>
      <c r="BU205" s="207">
        <v>456431.13350845047</v>
      </c>
      <c r="BV205" s="207">
        <v>18923.51818230522</v>
      </c>
      <c r="BW205" s="207">
        <v>38485.85235614743</v>
      </c>
      <c r="BX205" s="207">
        <v>180396.70705651797</v>
      </c>
      <c r="BY205" s="207">
        <v>367715.8901137397</v>
      </c>
      <c r="BZ205" s="207">
        <v>580818.1819355405</v>
      </c>
      <c r="CA205" s="207">
        <v>180688.9369229741</v>
      </c>
      <c r="CB205" s="207">
        <v>312527.8583041322</v>
      </c>
      <c r="CC205" s="207">
        <v>591.03</v>
      </c>
      <c r="CD205" s="207">
        <v>28945.692172771458</v>
      </c>
      <c r="CE205" s="207">
        <v>283825.74</v>
      </c>
      <c r="CF205" s="207">
        <v>3144311.297771953</v>
      </c>
      <c r="CG205" s="207">
        <v>2015317.6185692123</v>
      </c>
      <c r="CH205" s="207">
        <v>0</v>
      </c>
      <c r="CI205" s="207">
        <v>4243436.170120463</v>
      </c>
      <c r="CJ205" s="207">
        <v>-725492</v>
      </c>
      <c r="CK205" s="207">
        <v>0</v>
      </c>
      <c r="CL205" s="207">
        <v>0</v>
      </c>
      <c r="CM205" s="207">
        <v>-645004.2533179999</v>
      </c>
      <c r="CN205" s="207">
        <v>16263964.723131694</v>
      </c>
      <c r="CO205" s="207">
        <v>15618960.469813693</v>
      </c>
      <c r="CP205" s="207">
        <v>6627</v>
      </c>
    </row>
    <row r="206" spans="1:94" ht="9.75">
      <c r="A206" s="175">
        <v>636</v>
      </c>
      <c r="B206" s="175" t="s">
        <v>262</v>
      </c>
      <c r="C206" s="207">
        <v>8422</v>
      </c>
      <c r="D206" s="207">
        <v>31162534.11</v>
      </c>
      <c r="E206" s="207">
        <v>9232263.128081165</v>
      </c>
      <c r="F206" s="207">
        <v>1891440.4954403155</v>
      </c>
      <c r="G206" s="207">
        <v>42286237.73352148</v>
      </c>
      <c r="H206" s="207">
        <v>3524.51</v>
      </c>
      <c r="I206" s="207">
        <v>29683423.220000003</v>
      </c>
      <c r="J206" s="207">
        <v>12602814.513521474</v>
      </c>
      <c r="K206" s="207">
        <v>190611.79016389584</v>
      </c>
      <c r="L206" s="207">
        <v>2685444.2711135303</v>
      </c>
      <c r="M206" s="207">
        <v>0</v>
      </c>
      <c r="N206" s="207">
        <v>15478870.574798899</v>
      </c>
      <c r="O206" s="207">
        <v>6049813.321177478</v>
      </c>
      <c r="P206" s="207">
        <v>21528683.895976376</v>
      </c>
      <c r="Q206" s="207">
        <v>599</v>
      </c>
      <c r="R206" s="207">
        <v>102</v>
      </c>
      <c r="S206" s="207">
        <v>644</v>
      </c>
      <c r="T206" s="207">
        <v>335</v>
      </c>
      <c r="U206" s="207">
        <v>281</v>
      </c>
      <c r="V206" s="207">
        <v>4438</v>
      </c>
      <c r="W206" s="207">
        <v>1146</v>
      </c>
      <c r="X206" s="207">
        <v>584</v>
      </c>
      <c r="Y206" s="207">
        <v>293</v>
      </c>
      <c r="Z206" s="207">
        <v>49</v>
      </c>
      <c r="AA206" s="207">
        <v>2</v>
      </c>
      <c r="AB206" s="207">
        <v>8097</v>
      </c>
      <c r="AC206" s="207">
        <v>274</v>
      </c>
      <c r="AD206" s="207">
        <v>2023</v>
      </c>
      <c r="AE206" s="207">
        <v>0.9672109929398991</v>
      </c>
      <c r="AF206" s="207">
        <v>9232263.128081165</v>
      </c>
      <c r="AG206" s="207">
        <v>2891165.091481319</v>
      </c>
      <c r="AH206" s="207">
        <v>879741.9530062465</v>
      </c>
      <c r="AI206" s="207">
        <v>250171.98719513285</v>
      </c>
      <c r="AJ206" s="207">
        <v>325</v>
      </c>
      <c r="AK206" s="207">
        <v>3852</v>
      </c>
      <c r="AL206" s="207">
        <v>0.729157502607288</v>
      </c>
      <c r="AM206" s="207">
        <v>274</v>
      </c>
      <c r="AN206" s="207">
        <v>0.03253383994300641</v>
      </c>
      <c r="AO206" s="207">
        <v>0.02759312848055582</v>
      </c>
      <c r="AP206" s="207">
        <v>0</v>
      </c>
      <c r="AQ206" s="207">
        <v>49</v>
      </c>
      <c r="AR206" s="207">
        <v>2</v>
      </c>
      <c r="AS206" s="207">
        <v>0</v>
      </c>
      <c r="AT206" s="207">
        <v>0</v>
      </c>
      <c r="AU206" s="207">
        <v>750.06</v>
      </c>
      <c r="AV206" s="207">
        <v>11.228435058528651</v>
      </c>
      <c r="AW206" s="207">
        <v>1.6151700415921966</v>
      </c>
      <c r="AX206" s="207">
        <v>455</v>
      </c>
      <c r="AY206" s="207">
        <v>2548</v>
      </c>
      <c r="AZ206" s="207">
        <v>0.17857142857142858</v>
      </c>
      <c r="BA206" s="207">
        <v>0.11738759248719408</v>
      </c>
      <c r="BB206" s="207">
        <v>0</v>
      </c>
      <c r="BC206" s="207">
        <v>2626</v>
      </c>
      <c r="BD206" s="207">
        <v>3442</v>
      </c>
      <c r="BE206" s="207">
        <v>0.7629285299244625</v>
      </c>
      <c r="BF206" s="207">
        <v>0.3540216473333694</v>
      </c>
      <c r="BG206" s="207">
        <v>0</v>
      </c>
      <c r="BH206" s="207">
        <v>2</v>
      </c>
      <c r="BI206" s="207">
        <v>0</v>
      </c>
      <c r="BJ206" s="207">
        <v>-2021.28</v>
      </c>
      <c r="BK206" s="207">
        <v>-34530.2</v>
      </c>
      <c r="BL206" s="207">
        <v>-2358.1600000000003</v>
      </c>
      <c r="BM206" s="207">
        <v>-3284.58</v>
      </c>
      <c r="BN206" s="207">
        <v>-168.44</v>
      </c>
      <c r="BO206" s="207">
        <v>-25759</v>
      </c>
      <c r="BP206" s="207">
        <v>-188114.97841116635</v>
      </c>
      <c r="BQ206" s="207">
        <v>-763791.1799999999</v>
      </c>
      <c r="BR206" s="207">
        <v>4699.763645730913</v>
      </c>
      <c r="BS206" s="207">
        <v>728276</v>
      </c>
      <c r="BT206" s="207">
        <v>246779</v>
      </c>
      <c r="BU206" s="207">
        <v>568370.5156629826</v>
      </c>
      <c r="BV206" s="207">
        <v>26839.74081675102</v>
      </c>
      <c r="BW206" s="207">
        <v>50553.860423168335</v>
      </c>
      <c r="BX206" s="207">
        <v>235055.66469803228</v>
      </c>
      <c r="BY206" s="207">
        <v>500128.3131237348</v>
      </c>
      <c r="BZ206" s="207">
        <v>790161.8219502514</v>
      </c>
      <c r="CA206" s="207">
        <v>233954.87761570083</v>
      </c>
      <c r="CB206" s="207">
        <v>406319.4653399742</v>
      </c>
      <c r="CC206" s="207">
        <v>757.98</v>
      </c>
      <c r="CD206" s="207">
        <v>4953.786248370576</v>
      </c>
      <c r="CE206" s="207">
        <v>363998.83999999997</v>
      </c>
      <c r="CF206" s="207">
        <v>4135090.6295246966</v>
      </c>
      <c r="CG206" s="207">
        <v>2685444.2711135303</v>
      </c>
      <c r="CH206" s="207">
        <v>0</v>
      </c>
      <c r="CI206" s="207">
        <v>6049813.321177478</v>
      </c>
      <c r="CJ206" s="207">
        <v>-456092</v>
      </c>
      <c r="CK206" s="207">
        <v>0</v>
      </c>
      <c r="CL206" s="207">
        <v>0</v>
      </c>
      <c r="CM206" s="207">
        <v>-49184.46684000001</v>
      </c>
      <c r="CN206" s="207">
        <v>21072591.895976376</v>
      </c>
      <c r="CO206" s="207">
        <v>21023407.429136377</v>
      </c>
      <c r="CP206" s="207">
        <v>8503</v>
      </c>
    </row>
    <row r="207" spans="1:94" ht="9.75">
      <c r="A207" s="175">
        <v>678</v>
      </c>
      <c r="B207" s="175" t="s">
        <v>263</v>
      </c>
      <c r="C207" s="207">
        <v>25001</v>
      </c>
      <c r="D207" s="207">
        <v>88664945.34</v>
      </c>
      <c r="E207" s="207">
        <v>38482739.07627303</v>
      </c>
      <c r="F207" s="207">
        <v>4540070.617990323</v>
      </c>
      <c r="G207" s="207">
        <v>131687755.03426336</v>
      </c>
      <c r="H207" s="207">
        <v>3524.51</v>
      </c>
      <c r="I207" s="207">
        <v>88116274.51</v>
      </c>
      <c r="J207" s="207">
        <v>43571480.52426335</v>
      </c>
      <c r="K207" s="207">
        <v>1227463.238539692</v>
      </c>
      <c r="L207" s="207">
        <v>5162547.467134674</v>
      </c>
      <c r="M207" s="207">
        <v>0</v>
      </c>
      <c r="N207" s="207">
        <v>49961491.229937725</v>
      </c>
      <c r="O207" s="207">
        <v>10125088.63146648</v>
      </c>
      <c r="P207" s="207">
        <v>60086579.8614042</v>
      </c>
      <c r="Q207" s="207">
        <v>1775</v>
      </c>
      <c r="R207" s="207">
        <v>348</v>
      </c>
      <c r="S207" s="207">
        <v>2050</v>
      </c>
      <c r="T207" s="207">
        <v>964</v>
      </c>
      <c r="U207" s="207">
        <v>933</v>
      </c>
      <c r="V207" s="207">
        <v>13166</v>
      </c>
      <c r="W207" s="207">
        <v>3546</v>
      </c>
      <c r="X207" s="207">
        <v>1605</v>
      </c>
      <c r="Y207" s="207">
        <v>614</v>
      </c>
      <c r="Z207" s="207">
        <v>14</v>
      </c>
      <c r="AA207" s="207">
        <v>2</v>
      </c>
      <c r="AB207" s="207">
        <v>24327</v>
      </c>
      <c r="AC207" s="207">
        <v>658</v>
      </c>
      <c r="AD207" s="207">
        <v>5765</v>
      </c>
      <c r="AE207" s="207">
        <v>1.358116054890456</v>
      </c>
      <c r="AF207" s="207">
        <v>38482739.07627303</v>
      </c>
      <c r="AG207" s="207">
        <v>12207318.629703559</v>
      </c>
      <c r="AH207" s="207">
        <v>2929803.0704696015</v>
      </c>
      <c r="AI207" s="207">
        <v>1447423.6402004112</v>
      </c>
      <c r="AJ207" s="207">
        <v>1239</v>
      </c>
      <c r="AK207" s="207">
        <v>10626</v>
      </c>
      <c r="AL207" s="207">
        <v>1.0076872441626825</v>
      </c>
      <c r="AM207" s="207">
        <v>658</v>
      </c>
      <c r="AN207" s="207">
        <v>0.026318947242110317</v>
      </c>
      <c r="AO207" s="207">
        <v>0.021378235779659725</v>
      </c>
      <c r="AP207" s="207">
        <v>0</v>
      </c>
      <c r="AQ207" s="207">
        <v>14</v>
      </c>
      <c r="AR207" s="207">
        <v>2</v>
      </c>
      <c r="AS207" s="207">
        <v>0</v>
      </c>
      <c r="AT207" s="207">
        <v>0</v>
      </c>
      <c r="AU207" s="207">
        <v>1014.41</v>
      </c>
      <c r="AV207" s="207">
        <v>24.645853254601196</v>
      </c>
      <c r="AW207" s="207">
        <v>0.7358573360454939</v>
      </c>
      <c r="AX207" s="207">
        <v>876</v>
      </c>
      <c r="AY207" s="207">
        <v>7162</v>
      </c>
      <c r="AZ207" s="207">
        <v>0.12231220329516895</v>
      </c>
      <c r="BA207" s="207">
        <v>0.06112836721093446</v>
      </c>
      <c r="BB207" s="207">
        <v>0</v>
      </c>
      <c r="BC207" s="207">
        <v>10466</v>
      </c>
      <c r="BD207" s="207">
        <v>8893</v>
      </c>
      <c r="BE207" s="207">
        <v>1.1768806926796356</v>
      </c>
      <c r="BF207" s="207">
        <v>0.7679738100885425</v>
      </c>
      <c r="BG207" s="207">
        <v>0</v>
      </c>
      <c r="BH207" s="207">
        <v>2</v>
      </c>
      <c r="BI207" s="207">
        <v>0</v>
      </c>
      <c r="BJ207" s="207">
        <v>-6000.24</v>
      </c>
      <c r="BK207" s="207">
        <v>-102504.09999999999</v>
      </c>
      <c r="BL207" s="207">
        <v>-7000.280000000001</v>
      </c>
      <c r="BM207" s="207">
        <v>-9750.390000000001</v>
      </c>
      <c r="BN207" s="207">
        <v>-500.02000000000004</v>
      </c>
      <c r="BO207" s="207">
        <v>619971</v>
      </c>
      <c r="BP207" s="207">
        <v>-1051308.1142834635</v>
      </c>
      <c r="BQ207" s="207">
        <v>-2267340.69</v>
      </c>
      <c r="BR207" s="207">
        <v>-262736.8353430629</v>
      </c>
      <c r="BS207" s="207">
        <v>1718173</v>
      </c>
      <c r="BT207" s="207">
        <v>523096</v>
      </c>
      <c r="BU207" s="207">
        <v>1194796.575612194</v>
      </c>
      <c r="BV207" s="207">
        <v>48400.668529056275</v>
      </c>
      <c r="BW207" s="207">
        <v>88377.66139206645</v>
      </c>
      <c r="BX207" s="207">
        <v>693320.6224758168</v>
      </c>
      <c r="BY207" s="207">
        <v>1030296.7893436988</v>
      </c>
      <c r="BZ207" s="207">
        <v>1749558.4975446665</v>
      </c>
      <c r="CA207" s="207">
        <v>422834.2612383189</v>
      </c>
      <c r="CB207" s="207">
        <v>858606.1745617748</v>
      </c>
      <c r="CC207" s="207">
        <v>2250.0899999999997</v>
      </c>
      <c r="CD207" s="207">
        <v>191267.64606360756</v>
      </c>
      <c r="CE207" s="207">
        <v>1080543.22</v>
      </c>
      <c r="CF207" s="207">
        <v>9958755.371418137</v>
      </c>
      <c r="CG207" s="207">
        <v>5162547.467134674</v>
      </c>
      <c r="CH207" s="207">
        <v>0</v>
      </c>
      <c r="CI207" s="207">
        <v>10125088.63146648</v>
      </c>
      <c r="CJ207" s="207">
        <v>-1768725</v>
      </c>
      <c r="CK207" s="207">
        <v>0</v>
      </c>
      <c r="CL207" s="207">
        <v>0</v>
      </c>
      <c r="CM207" s="207">
        <v>-150048.26477999997</v>
      </c>
      <c r="CN207" s="207">
        <v>58317854.8614042</v>
      </c>
      <c r="CO207" s="207">
        <v>58167806.5966242</v>
      </c>
      <c r="CP207" s="207">
        <v>25010</v>
      </c>
    </row>
    <row r="208" spans="1:94" ht="9.75">
      <c r="A208" s="175">
        <v>710</v>
      </c>
      <c r="B208" s="175" t="s">
        <v>264</v>
      </c>
      <c r="C208" s="207">
        <v>27851</v>
      </c>
      <c r="D208" s="207">
        <v>95900874.92</v>
      </c>
      <c r="E208" s="207">
        <v>28853323.56486953</v>
      </c>
      <c r="F208" s="207">
        <v>11900251.260093493</v>
      </c>
      <c r="G208" s="207">
        <v>136654449.74496302</v>
      </c>
      <c r="H208" s="207">
        <v>3524.51</v>
      </c>
      <c r="I208" s="207">
        <v>98161128.01</v>
      </c>
      <c r="J208" s="207">
        <v>38493321.734963015</v>
      </c>
      <c r="K208" s="207">
        <v>851984.2427081093</v>
      </c>
      <c r="L208" s="207">
        <v>7191821.809677112</v>
      </c>
      <c r="M208" s="207">
        <v>0</v>
      </c>
      <c r="N208" s="207">
        <v>46537127.78734823</v>
      </c>
      <c r="O208" s="207">
        <v>9306687.513676303</v>
      </c>
      <c r="P208" s="207">
        <v>55843815.301024534</v>
      </c>
      <c r="Q208" s="207">
        <v>1447</v>
      </c>
      <c r="R208" s="207">
        <v>291</v>
      </c>
      <c r="S208" s="207">
        <v>1880</v>
      </c>
      <c r="T208" s="207">
        <v>861</v>
      </c>
      <c r="U208" s="207">
        <v>883</v>
      </c>
      <c r="V208" s="207">
        <v>15258</v>
      </c>
      <c r="W208" s="207">
        <v>3993</v>
      </c>
      <c r="X208" s="207">
        <v>2279</v>
      </c>
      <c r="Y208" s="207">
        <v>959</v>
      </c>
      <c r="Z208" s="207">
        <v>18020</v>
      </c>
      <c r="AA208" s="207">
        <v>1</v>
      </c>
      <c r="AB208" s="207">
        <v>8585</v>
      </c>
      <c r="AC208" s="207">
        <v>1245</v>
      </c>
      <c r="AD208" s="207">
        <v>7231</v>
      </c>
      <c r="AE208" s="207">
        <v>0.9140781756233167</v>
      </c>
      <c r="AF208" s="207">
        <v>28853323.56486953</v>
      </c>
      <c r="AG208" s="207">
        <v>5847858.077248663</v>
      </c>
      <c r="AH208" s="207">
        <v>1163624.550316611</v>
      </c>
      <c r="AI208" s="207">
        <v>741581.2477570008</v>
      </c>
      <c r="AJ208" s="207">
        <v>1296</v>
      </c>
      <c r="AK208" s="207">
        <v>13101</v>
      </c>
      <c r="AL208" s="207">
        <v>0.8549187087905403</v>
      </c>
      <c r="AM208" s="207">
        <v>1245</v>
      </c>
      <c r="AN208" s="207">
        <v>0.04470216509281534</v>
      </c>
      <c r="AO208" s="207">
        <v>0.03976145363036475</v>
      </c>
      <c r="AP208" s="207">
        <v>3</v>
      </c>
      <c r="AQ208" s="207">
        <v>18020</v>
      </c>
      <c r="AR208" s="207">
        <v>1</v>
      </c>
      <c r="AS208" s="207">
        <v>3</v>
      </c>
      <c r="AT208" s="207">
        <v>1867</v>
      </c>
      <c r="AU208" s="207">
        <v>1148.12</v>
      </c>
      <c r="AV208" s="207">
        <v>24.257917290875522</v>
      </c>
      <c r="AW208" s="207">
        <v>0.747625268197311</v>
      </c>
      <c r="AX208" s="207">
        <v>1517</v>
      </c>
      <c r="AY208" s="207">
        <v>8380</v>
      </c>
      <c r="AZ208" s="207">
        <v>0.18102625298329356</v>
      </c>
      <c r="BA208" s="207">
        <v>0.11984241689905906</v>
      </c>
      <c r="BB208" s="207">
        <v>0</v>
      </c>
      <c r="BC208" s="207">
        <v>10144</v>
      </c>
      <c r="BD208" s="207">
        <v>11431</v>
      </c>
      <c r="BE208" s="207">
        <v>0.8874114250721722</v>
      </c>
      <c r="BF208" s="207">
        <v>0.4785045424810791</v>
      </c>
      <c r="BG208" s="207">
        <v>0</v>
      </c>
      <c r="BH208" s="207">
        <v>1</v>
      </c>
      <c r="BI208" s="207">
        <v>0</v>
      </c>
      <c r="BJ208" s="207">
        <v>-6684.24</v>
      </c>
      <c r="BK208" s="207">
        <v>-114189.09999999999</v>
      </c>
      <c r="BL208" s="207">
        <v>-7798.280000000001</v>
      </c>
      <c r="BM208" s="207">
        <v>-10861.890000000001</v>
      </c>
      <c r="BN208" s="207">
        <v>-557.02</v>
      </c>
      <c r="BO208" s="207">
        <v>-62333</v>
      </c>
      <c r="BP208" s="207">
        <v>-1532269.0554841638</v>
      </c>
      <c r="BQ208" s="207">
        <v>-2525807.19</v>
      </c>
      <c r="BR208" s="207">
        <v>100751.36435972154</v>
      </c>
      <c r="BS208" s="207">
        <v>2274555</v>
      </c>
      <c r="BT208" s="207">
        <v>774472</v>
      </c>
      <c r="BU208" s="207">
        <v>1740977.2657312586</v>
      </c>
      <c r="BV208" s="207">
        <v>55966.14853698343</v>
      </c>
      <c r="BW208" s="207">
        <v>183065.70473621695</v>
      </c>
      <c r="BX208" s="207">
        <v>718511.309927462</v>
      </c>
      <c r="BY208" s="207">
        <v>1375150.3688940979</v>
      </c>
      <c r="BZ208" s="207">
        <v>2388585.246096866</v>
      </c>
      <c r="CA208" s="207">
        <v>737475.7514669271</v>
      </c>
      <c r="CB208" s="207">
        <v>1230032.8171418419</v>
      </c>
      <c r="CC208" s="207">
        <v>2506.5899999999997</v>
      </c>
      <c r="CD208" s="207">
        <v>172455.36826989887</v>
      </c>
      <c r="CE208" s="207">
        <v>1203720.22</v>
      </c>
      <c r="CF208" s="207">
        <v>12895892.155161275</v>
      </c>
      <c r="CG208" s="207">
        <v>7191821.809677112</v>
      </c>
      <c r="CH208" s="207">
        <v>0</v>
      </c>
      <c r="CI208" s="207">
        <v>9306687.513676303</v>
      </c>
      <c r="CJ208" s="207">
        <v>-1343701</v>
      </c>
      <c r="CK208" s="207">
        <v>0</v>
      </c>
      <c r="CL208" s="207">
        <v>0</v>
      </c>
      <c r="CM208" s="207">
        <v>-953683.6439460004</v>
      </c>
      <c r="CN208" s="207">
        <v>54500114.301024534</v>
      </c>
      <c r="CO208" s="207">
        <v>53546430.657078534</v>
      </c>
      <c r="CP208" s="207">
        <v>28077</v>
      </c>
    </row>
    <row r="209" spans="1:94" ht="9.75">
      <c r="A209" s="175">
        <v>680</v>
      </c>
      <c r="B209" s="175" t="s">
        <v>265</v>
      </c>
      <c r="C209" s="207">
        <v>24234</v>
      </c>
      <c r="D209" s="207">
        <v>79871785.97999999</v>
      </c>
      <c r="E209" s="207">
        <v>26237435.621241335</v>
      </c>
      <c r="F209" s="207">
        <v>5774089.133389998</v>
      </c>
      <c r="G209" s="207">
        <v>111883310.73463131</v>
      </c>
      <c r="H209" s="207">
        <v>3524.51</v>
      </c>
      <c r="I209" s="207">
        <v>85412975.34</v>
      </c>
      <c r="J209" s="207">
        <v>26470335.39463131</v>
      </c>
      <c r="K209" s="207">
        <v>864270.579529607</v>
      </c>
      <c r="L209" s="207">
        <v>3532209.0654028123</v>
      </c>
      <c r="M209" s="207">
        <v>0</v>
      </c>
      <c r="N209" s="207">
        <v>30866815.03956373</v>
      </c>
      <c r="O209" s="207">
        <v>-332500.5975185519</v>
      </c>
      <c r="P209" s="207">
        <v>30534314.44204518</v>
      </c>
      <c r="Q209" s="207">
        <v>1505</v>
      </c>
      <c r="R209" s="207">
        <v>257</v>
      </c>
      <c r="S209" s="207">
        <v>1551</v>
      </c>
      <c r="T209" s="207">
        <v>784</v>
      </c>
      <c r="U209" s="207">
        <v>843</v>
      </c>
      <c r="V209" s="207">
        <v>14049</v>
      </c>
      <c r="W209" s="207">
        <v>2965</v>
      </c>
      <c r="X209" s="207">
        <v>1637</v>
      </c>
      <c r="Y209" s="207">
        <v>643</v>
      </c>
      <c r="Z209" s="207">
        <v>339</v>
      </c>
      <c r="AA209" s="207">
        <v>0</v>
      </c>
      <c r="AB209" s="207">
        <v>22145</v>
      </c>
      <c r="AC209" s="207">
        <v>1750</v>
      </c>
      <c r="AD209" s="207">
        <v>5245</v>
      </c>
      <c r="AE209" s="207">
        <v>0.9552665478675645</v>
      </c>
      <c r="AF209" s="207">
        <v>26237435.621241335</v>
      </c>
      <c r="AG209" s="207">
        <v>57628511.611690484</v>
      </c>
      <c r="AH209" s="207">
        <v>14339631.305797251</v>
      </c>
      <c r="AI209" s="207">
        <v>6147083.11393755</v>
      </c>
      <c r="AJ209" s="207">
        <v>1155</v>
      </c>
      <c r="AK209" s="207">
        <v>11626</v>
      </c>
      <c r="AL209" s="207">
        <v>0.8585704398761345</v>
      </c>
      <c r="AM209" s="207">
        <v>1750</v>
      </c>
      <c r="AN209" s="207">
        <v>0.07221259387637204</v>
      </c>
      <c r="AO209" s="207">
        <v>0.06727188241392144</v>
      </c>
      <c r="AP209" s="207">
        <v>0</v>
      </c>
      <c r="AQ209" s="207">
        <v>339</v>
      </c>
      <c r="AR209" s="207">
        <v>0</v>
      </c>
      <c r="AS209" s="207">
        <v>0</v>
      </c>
      <c r="AT209" s="207">
        <v>0</v>
      </c>
      <c r="AU209" s="207">
        <v>48.76</v>
      </c>
      <c r="AV209" s="207">
        <v>497.005742411813</v>
      </c>
      <c r="AW209" s="207">
        <v>0.036490185872886494</v>
      </c>
      <c r="AX209" s="207">
        <v>1131</v>
      </c>
      <c r="AY209" s="207">
        <v>7766</v>
      </c>
      <c r="AZ209" s="207">
        <v>0.14563481843935103</v>
      </c>
      <c r="BA209" s="207">
        <v>0.08445098235511653</v>
      </c>
      <c r="BB209" s="207">
        <v>0</v>
      </c>
      <c r="BC209" s="207">
        <v>10005</v>
      </c>
      <c r="BD209" s="207">
        <v>10349</v>
      </c>
      <c r="BE209" s="207">
        <v>0.9667600734370471</v>
      </c>
      <c r="BF209" s="207">
        <v>0.557853190845954</v>
      </c>
      <c r="BG209" s="207">
        <v>0</v>
      </c>
      <c r="BH209" s="207">
        <v>0</v>
      </c>
      <c r="BI209" s="207">
        <v>0</v>
      </c>
      <c r="BJ209" s="207">
        <v>-5816.16</v>
      </c>
      <c r="BK209" s="207">
        <v>-99359.4</v>
      </c>
      <c r="BL209" s="207">
        <v>-6785.52</v>
      </c>
      <c r="BM209" s="207">
        <v>-9451.26</v>
      </c>
      <c r="BN209" s="207">
        <v>-484.68</v>
      </c>
      <c r="BO209" s="207">
        <v>-382405</v>
      </c>
      <c r="BP209" s="207">
        <v>-1269768.262958501</v>
      </c>
      <c r="BQ209" s="207">
        <v>-2197781.46</v>
      </c>
      <c r="BR209" s="207">
        <v>-208527.08328069</v>
      </c>
      <c r="BS209" s="207">
        <v>1528954</v>
      </c>
      <c r="BT209" s="207">
        <v>539128</v>
      </c>
      <c r="BU209" s="207">
        <v>1052685.2707331371</v>
      </c>
      <c r="BV209" s="207">
        <v>26314.82731204461</v>
      </c>
      <c r="BW209" s="207">
        <v>-43151.45647350224</v>
      </c>
      <c r="BX209" s="207">
        <v>577164.9349497573</v>
      </c>
      <c r="BY209" s="207">
        <v>1044890.0202465078</v>
      </c>
      <c r="BZ209" s="207">
        <v>1811262.2017673086</v>
      </c>
      <c r="CA209" s="207">
        <v>522894.02766410855</v>
      </c>
      <c r="CB209" s="207">
        <v>949681.4101408351</v>
      </c>
      <c r="CC209" s="207">
        <v>2181.06</v>
      </c>
      <c r="CD209" s="207">
        <v>-36477.504698191886</v>
      </c>
      <c r="CE209" s="207">
        <v>1047393.48</v>
      </c>
      <c r="CF209" s="207">
        <v>8431988.188361313</v>
      </c>
      <c r="CG209" s="207">
        <v>3532209.0654028123</v>
      </c>
      <c r="CH209" s="207">
        <v>0</v>
      </c>
      <c r="CI209" s="207">
        <v>-332500.5975185519</v>
      </c>
      <c r="CJ209" s="207">
        <v>-2086478</v>
      </c>
      <c r="CK209" s="207">
        <v>0</v>
      </c>
      <c r="CL209" s="207">
        <v>0</v>
      </c>
      <c r="CM209" s="207">
        <v>-1245923.331138</v>
      </c>
      <c r="CN209" s="207">
        <v>28447836.44204518</v>
      </c>
      <c r="CO209" s="207">
        <v>27201913.11090718</v>
      </c>
      <c r="CP209" s="207">
        <v>24283</v>
      </c>
    </row>
    <row r="210" spans="1:94" ht="9.75">
      <c r="A210" s="175">
        <v>681</v>
      </c>
      <c r="B210" s="175" t="s">
        <v>266</v>
      </c>
      <c r="C210" s="207">
        <v>3553</v>
      </c>
      <c r="D210" s="207">
        <v>12688816.86</v>
      </c>
      <c r="E210" s="207">
        <v>5187966.312238319</v>
      </c>
      <c r="F210" s="207">
        <v>1044169.9983690698</v>
      </c>
      <c r="G210" s="207">
        <v>18920953.170607388</v>
      </c>
      <c r="H210" s="207">
        <v>3524.51</v>
      </c>
      <c r="I210" s="207">
        <v>12522584.030000001</v>
      </c>
      <c r="J210" s="207">
        <v>6398369.140607387</v>
      </c>
      <c r="K210" s="207">
        <v>484043.12027162407</v>
      </c>
      <c r="L210" s="207">
        <v>1447769.0035889396</v>
      </c>
      <c r="M210" s="207">
        <v>75444.89361739349</v>
      </c>
      <c r="N210" s="207">
        <v>8405626.158085344</v>
      </c>
      <c r="O210" s="207">
        <v>3293178.462843279</v>
      </c>
      <c r="P210" s="207">
        <v>11698804.620928623</v>
      </c>
      <c r="Q210" s="207">
        <v>158</v>
      </c>
      <c r="R210" s="207">
        <v>27</v>
      </c>
      <c r="S210" s="207">
        <v>162</v>
      </c>
      <c r="T210" s="207">
        <v>117</v>
      </c>
      <c r="U210" s="207">
        <v>101</v>
      </c>
      <c r="V210" s="207">
        <v>1835</v>
      </c>
      <c r="W210" s="207">
        <v>638</v>
      </c>
      <c r="X210" s="207">
        <v>349</v>
      </c>
      <c r="Y210" s="207">
        <v>166</v>
      </c>
      <c r="Z210" s="207">
        <v>6</v>
      </c>
      <c r="AA210" s="207">
        <v>0</v>
      </c>
      <c r="AB210" s="207">
        <v>3464</v>
      </c>
      <c r="AC210" s="207">
        <v>83</v>
      </c>
      <c r="AD210" s="207">
        <v>1153</v>
      </c>
      <c r="AE210" s="207">
        <v>1.2883392174880042</v>
      </c>
      <c r="AF210" s="207">
        <v>5187966.312238319</v>
      </c>
      <c r="AG210" s="207">
        <v>46252297.91184677</v>
      </c>
      <c r="AH210" s="207">
        <v>11732253.23543533</v>
      </c>
      <c r="AI210" s="207">
        <v>5226807.589612598</v>
      </c>
      <c r="AJ210" s="207">
        <v>228</v>
      </c>
      <c r="AK210" s="207">
        <v>1581</v>
      </c>
      <c r="AL210" s="207">
        <v>1.2463133393857175</v>
      </c>
      <c r="AM210" s="207">
        <v>83</v>
      </c>
      <c r="AN210" s="207">
        <v>0.023360540388404166</v>
      </c>
      <c r="AO210" s="207">
        <v>0.018419828925953573</v>
      </c>
      <c r="AP210" s="207">
        <v>0</v>
      </c>
      <c r="AQ210" s="207">
        <v>6</v>
      </c>
      <c r="AR210" s="207">
        <v>0</v>
      </c>
      <c r="AS210" s="207">
        <v>0</v>
      </c>
      <c r="AT210" s="207">
        <v>0</v>
      </c>
      <c r="AU210" s="207">
        <v>559.2</v>
      </c>
      <c r="AV210" s="207">
        <v>6.3537195994277536</v>
      </c>
      <c r="AW210" s="207">
        <v>2.8543645398094686</v>
      </c>
      <c r="AX210" s="207">
        <v>141</v>
      </c>
      <c r="AY210" s="207">
        <v>868</v>
      </c>
      <c r="AZ210" s="207">
        <v>0.16244239631336405</v>
      </c>
      <c r="BA210" s="207">
        <v>0.10125856022912955</v>
      </c>
      <c r="BB210" s="207">
        <v>0.556</v>
      </c>
      <c r="BC210" s="207">
        <v>897</v>
      </c>
      <c r="BD210" s="207">
        <v>1267</v>
      </c>
      <c r="BE210" s="207">
        <v>0.7079715864246251</v>
      </c>
      <c r="BF210" s="207">
        <v>0.299064703833532</v>
      </c>
      <c r="BG210" s="207">
        <v>0</v>
      </c>
      <c r="BH210" s="207">
        <v>0</v>
      </c>
      <c r="BI210" s="207">
        <v>0</v>
      </c>
      <c r="BJ210" s="207">
        <v>-852.7199999999999</v>
      </c>
      <c r="BK210" s="207">
        <v>-14567.3</v>
      </c>
      <c r="BL210" s="207">
        <v>-994.8400000000001</v>
      </c>
      <c r="BM210" s="207">
        <v>-1385.67</v>
      </c>
      <c r="BN210" s="207">
        <v>-71.06</v>
      </c>
      <c r="BO210" s="207">
        <v>-61714</v>
      </c>
      <c r="BP210" s="207">
        <v>-117245.83082574356</v>
      </c>
      <c r="BQ210" s="207">
        <v>-322221.57</v>
      </c>
      <c r="BR210" s="207">
        <v>78566.64100998268</v>
      </c>
      <c r="BS210" s="207">
        <v>411804</v>
      </c>
      <c r="BT210" s="207">
        <v>130474</v>
      </c>
      <c r="BU210" s="207">
        <v>344562.1825584938</v>
      </c>
      <c r="BV210" s="207">
        <v>19231.41621597007</v>
      </c>
      <c r="BW210" s="207">
        <v>10822.416604734512</v>
      </c>
      <c r="BX210" s="207">
        <v>149765.78572192296</v>
      </c>
      <c r="BY210" s="207">
        <v>221860.94889061732</v>
      </c>
      <c r="BZ210" s="207">
        <v>352014.0620886088</v>
      </c>
      <c r="CA210" s="207">
        <v>109483.44561055586</v>
      </c>
      <c r="CB210" s="207">
        <v>181810.03428081225</v>
      </c>
      <c r="CC210" s="207">
        <v>319.77</v>
      </c>
      <c r="CD210" s="207">
        <v>-5342.658567014834</v>
      </c>
      <c r="CE210" s="207">
        <v>153560.66</v>
      </c>
      <c r="CF210" s="207">
        <v>2097218.7044146834</v>
      </c>
      <c r="CG210" s="207">
        <v>1447769.0035889396</v>
      </c>
      <c r="CH210" s="207">
        <v>75444.89361739349</v>
      </c>
      <c r="CI210" s="207">
        <v>3293178.462843279</v>
      </c>
      <c r="CJ210" s="207">
        <v>-184117</v>
      </c>
      <c r="CK210" s="207">
        <v>0</v>
      </c>
      <c r="CL210" s="207">
        <v>0</v>
      </c>
      <c r="CM210" s="207">
        <v>-93220.80108</v>
      </c>
      <c r="CN210" s="207">
        <v>11514687.620928623</v>
      </c>
      <c r="CO210" s="207">
        <v>11421466.819848623</v>
      </c>
      <c r="CP210" s="207">
        <v>3649</v>
      </c>
    </row>
    <row r="211" spans="1:94" ht="9.75">
      <c r="A211" s="175">
        <v>683</v>
      </c>
      <c r="B211" s="175" t="s">
        <v>267</v>
      </c>
      <c r="C211" s="207">
        <v>3972</v>
      </c>
      <c r="D211" s="207">
        <v>15090546.009999998</v>
      </c>
      <c r="E211" s="207">
        <v>5455438.176309344</v>
      </c>
      <c r="F211" s="207">
        <v>3065902.345535406</v>
      </c>
      <c r="G211" s="207">
        <v>23611886.531844746</v>
      </c>
      <c r="H211" s="207">
        <v>3524.51</v>
      </c>
      <c r="I211" s="207">
        <v>13999353.72</v>
      </c>
      <c r="J211" s="207">
        <v>9612532.811844746</v>
      </c>
      <c r="K211" s="207">
        <v>4316250.063455568</v>
      </c>
      <c r="L211" s="207">
        <v>1648670.9725778433</v>
      </c>
      <c r="M211" s="207">
        <v>0</v>
      </c>
      <c r="N211" s="207">
        <v>15577453.847878158</v>
      </c>
      <c r="O211" s="207">
        <v>4862116.789258438</v>
      </c>
      <c r="P211" s="207">
        <v>20439570.637136597</v>
      </c>
      <c r="Q211" s="207">
        <v>232</v>
      </c>
      <c r="R211" s="207">
        <v>55</v>
      </c>
      <c r="S211" s="207">
        <v>337</v>
      </c>
      <c r="T211" s="207">
        <v>186</v>
      </c>
      <c r="U211" s="207">
        <v>173</v>
      </c>
      <c r="V211" s="207">
        <v>1952</v>
      </c>
      <c r="W211" s="207">
        <v>571</v>
      </c>
      <c r="X211" s="207">
        <v>344</v>
      </c>
      <c r="Y211" s="207">
        <v>122</v>
      </c>
      <c r="Z211" s="207">
        <v>5</v>
      </c>
      <c r="AA211" s="207">
        <v>0</v>
      </c>
      <c r="AB211" s="207">
        <v>3924</v>
      </c>
      <c r="AC211" s="207">
        <v>43</v>
      </c>
      <c r="AD211" s="207">
        <v>1037</v>
      </c>
      <c r="AE211" s="207">
        <v>1.2118494940796665</v>
      </c>
      <c r="AF211" s="207">
        <v>5455438.176309344</v>
      </c>
      <c r="AG211" s="207">
        <v>32286719.41214721</v>
      </c>
      <c r="AH211" s="207">
        <v>8224236.728622835</v>
      </c>
      <c r="AI211" s="207">
        <v>4395879.2035716195</v>
      </c>
      <c r="AJ211" s="207">
        <v>234</v>
      </c>
      <c r="AK211" s="207">
        <v>1550</v>
      </c>
      <c r="AL211" s="207">
        <v>1.3046932800201012</v>
      </c>
      <c r="AM211" s="207">
        <v>43</v>
      </c>
      <c r="AN211" s="207">
        <v>0.0108257804632427</v>
      </c>
      <c r="AO211" s="207">
        <v>0.0058850690007921065</v>
      </c>
      <c r="AP211" s="207">
        <v>0</v>
      </c>
      <c r="AQ211" s="207">
        <v>5</v>
      </c>
      <c r="AR211" s="207">
        <v>0</v>
      </c>
      <c r="AS211" s="207">
        <v>0</v>
      </c>
      <c r="AT211" s="207">
        <v>0</v>
      </c>
      <c r="AU211" s="207">
        <v>3453.62</v>
      </c>
      <c r="AV211" s="207">
        <v>1.1500975787724186</v>
      </c>
      <c r="AW211" s="207">
        <v>15.768950613613734</v>
      </c>
      <c r="AX211" s="207">
        <v>149</v>
      </c>
      <c r="AY211" s="207">
        <v>898</v>
      </c>
      <c r="AZ211" s="207">
        <v>0.16592427616926503</v>
      </c>
      <c r="BA211" s="207">
        <v>0.10474044008503053</v>
      </c>
      <c r="BB211" s="207">
        <v>1.665716</v>
      </c>
      <c r="BC211" s="207">
        <v>1182</v>
      </c>
      <c r="BD211" s="207">
        <v>1255</v>
      </c>
      <c r="BE211" s="207">
        <v>0.9418326693227091</v>
      </c>
      <c r="BF211" s="207">
        <v>0.5329257867316161</v>
      </c>
      <c r="BG211" s="207">
        <v>0</v>
      </c>
      <c r="BH211" s="207">
        <v>0</v>
      </c>
      <c r="BI211" s="207">
        <v>0</v>
      </c>
      <c r="BJ211" s="207">
        <v>-953.28</v>
      </c>
      <c r="BK211" s="207">
        <v>-16285.199999999999</v>
      </c>
      <c r="BL211" s="207">
        <v>-1112.16</v>
      </c>
      <c r="BM211" s="207">
        <v>-1549.0800000000002</v>
      </c>
      <c r="BN211" s="207">
        <v>-79.44</v>
      </c>
      <c r="BO211" s="207">
        <v>230009</v>
      </c>
      <c r="BP211" s="207">
        <v>-115451.26553525528</v>
      </c>
      <c r="BQ211" s="207">
        <v>-360220.68</v>
      </c>
      <c r="BR211" s="207">
        <v>26685.365200374275</v>
      </c>
      <c r="BS211" s="207">
        <v>390442</v>
      </c>
      <c r="BT211" s="207">
        <v>122609</v>
      </c>
      <c r="BU211" s="207">
        <v>347331.21264556574</v>
      </c>
      <c r="BV211" s="207">
        <v>19520.681091053913</v>
      </c>
      <c r="BW211" s="207">
        <v>49288.64328394005</v>
      </c>
      <c r="BX211" s="207">
        <v>162882.72037355308</v>
      </c>
      <c r="BY211" s="207">
        <v>214276.4605479164</v>
      </c>
      <c r="BZ211" s="207">
        <v>320128.6243718793</v>
      </c>
      <c r="CA211" s="207">
        <v>93831.44175977557</v>
      </c>
      <c r="CB211" s="207">
        <v>177882.02778664883</v>
      </c>
      <c r="CC211" s="207">
        <v>357.47999999999996</v>
      </c>
      <c r="CD211" s="207">
        <v>32173.621052391634</v>
      </c>
      <c r="CE211" s="207">
        <v>171669.84</v>
      </c>
      <c r="CF211" s="207">
        <v>2359088.1181130987</v>
      </c>
      <c r="CG211" s="207">
        <v>1648670.9725778433</v>
      </c>
      <c r="CH211" s="207">
        <v>0</v>
      </c>
      <c r="CI211" s="207">
        <v>4862116.789258438</v>
      </c>
      <c r="CJ211" s="207">
        <v>224230</v>
      </c>
      <c r="CK211" s="207">
        <v>0</v>
      </c>
      <c r="CL211" s="207">
        <v>0</v>
      </c>
      <c r="CM211" s="207">
        <v>-16460.82398</v>
      </c>
      <c r="CN211" s="207">
        <v>20663800.637136597</v>
      </c>
      <c r="CO211" s="207">
        <v>20647339.813156597</v>
      </c>
      <c r="CP211" s="207">
        <v>4023</v>
      </c>
    </row>
    <row r="212" spans="1:94" ht="9.75">
      <c r="A212" s="175">
        <v>684</v>
      </c>
      <c r="B212" s="175" t="s">
        <v>268</v>
      </c>
      <c r="C212" s="207">
        <v>39620</v>
      </c>
      <c r="D212" s="207">
        <v>132025980.72</v>
      </c>
      <c r="E212" s="207">
        <v>41736195.394233204</v>
      </c>
      <c r="F212" s="207">
        <v>8492044.384963708</v>
      </c>
      <c r="G212" s="207">
        <v>182254220.49919692</v>
      </c>
      <c r="H212" s="207">
        <v>3524.51</v>
      </c>
      <c r="I212" s="207">
        <v>139641086.20000002</v>
      </c>
      <c r="J212" s="207">
        <v>42613134.2991969</v>
      </c>
      <c r="K212" s="207">
        <v>1492879.5184418322</v>
      </c>
      <c r="L212" s="207">
        <v>9398146.262136657</v>
      </c>
      <c r="M212" s="207">
        <v>0</v>
      </c>
      <c r="N212" s="207">
        <v>53504160.07977539</v>
      </c>
      <c r="O212" s="207">
        <v>-7160925.313459427</v>
      </c>
      <c r="P212" s="207">
        <v>46343234.76631597</v>
      </c>
      <c r="Q212" s="207">
        <v>2222</v>
      </c>
      <c r="R212" s="207">
        <v>410</v>
      </c>
      <c r="S212" s="207">
        <v>2452</v>
      </c>
      <c r="T212" s="207">
        <v>1154</v>
      </c>
      <c r="U212" s="207">
        <v>1220</v>
      </c>
      <c r="V212" s="207">
        <v>22420</v>
      </c>
      <c r="W212" s="207">
        <v>5480</v>
      </c>
      <c r="X212" s="207">
        <v>3009</v>
      </c>
      <c r="Y212" s="207">
        <v>1253</v>
      </c>
      <c r="Z212" s="207">
        <v>114</v>
      </c>
      <c r="AA212" s="207">
        <v>0</v>
      </c>
      <c r="AB212" s="207">
        <v>37492</v>
      </c>
      <c r="AC212" s="207">
        <v>2014</v>
      </c>
      <c r="AD212" s="207">
        <v>9742</v>
      </c>
      <c r="AE212" s="207">
        <v>0.9294513722104794</v>
      </c>
      <c r="AF212" s="207">
        <v>41736195.394233204</v>
      </c>
      <c r="AG212" s="207">
        <v>6773485.250969634</v>
      </c>
      <c r="AH212" s="207">
        <v>1804411.3454178</v>
      </c>
      <c r="AI212" s="207">
        <v>696907.6786150128</v>
      </c>
      <c r="AJ212" s="207">
        <v>1964</v>
      </c>
      <c r="AK212" s="207">
        <v>18535</v>
      </c>
      <c r="AL212" s="207">
        <v>0.9157420548874252</v>
      </c>
      <c r="AM212" s="207">
        <v>2014</v>
      </c>
      <c r="AN212" s="207">
        <v>0.0508329126703685</v>
      </c>
      <c r="AO212" s="207">
        <v>0.045892201207917906</v>
      </c>
      <c r="AP212" s="207">
        <v>0</v>
      </c>
      <c r="AQ212" s="207">
        <v>114</v>
      </c>
      <c r="AR212" s="207">
        <v>0</v>
      </c>
      <c r="AS212" s="207">
        <v>0</v>
      </c>
      <c r="AT212" s="207">
        <v>0</v>
      </c>
      <c r="AU212" s="207">
        <v>495.83</v>
      </c>
      <c r="AV212" s="207">
        <v>79.90641953895489</v>
      </c>
      <c r="AW212" s="207">
        <v>0.2269633907405608</v>
      </c>
      <c r="AX212" s="207">
        <v>1888</v>
      </c>
      <c r="AY212" s="207">
        <v>12010</v>
      </c>
      <c r="AZ212" s="207">
        <v>0.1572023313905079</v>
      </c>
      <c r="BA212" s="207">
        <v>0.0960184953062734</v>
      </c>
      <c r="BB212" s="207">
        <v>0</v>
      </c>
      <c r="BC212" s="207">
        <v>15862</v>
      </c>
      <c r="BD212" s="207">
        <v>15889</v>
      </c>
      <c r="BE212" s="207">
        <v>0.9983007111838379</v>
      </c>
      <c r="BF212" s="207">
        <v>0.5893938285927448</v>
      </c>
      <c r="BG212" s="207">
        <v>0</v>
      </c>
      <c r="BH212" s="207">
        <v>0</v>
      </c>
      <c r="BI212" s="207">
        <v>0</v>
      </c>
      <c r="BJ212" s="207">
        <v>-9508.8</v>
      </c>
      <c r="BK212" s="207">
        <v>-162442</v>
      </c>
      <c r="BL212" s="207">
        <v>-11093.6</v>
      </c>
      <c r="BM212" s="207">
        <v>-15451.800000000001</v>
      </c>
      <c r="BN212" s="207">
        <v>-792.4</v>
      </c>
      <c r="BO212" s="207">
        <v>819888</v>
      </c>
      <c r="BP212" s="207">
        <v>-1683564.04756713</v>
      </c>
      <c r="BQ212" s="207">
        <v>-3593137.8</v>
      </c>
      <c r="BR212" s="207">
        <v>441723.179392606</v>
      </c>
      <c r="BS212" s="207">
        <v>2791678</v>
      </c>
      <c r="BT212" s="207">
        <v>1004850</v>
      </c>
      <c r="BU212" s="207">
        <v>2239849.184151838</v>
      </c>
      <c r="BV212" s="207">
        <v>98973.14985240079</v>
      </c>
      <c r="BW212" s="207">
        <v>-246556.0515552825</v>
      </c>
      <c r="BX212" s="207">
        <v>955269.0614246762</v>
      </c>
      <c r="BY212" s="207">
        <v>1905271.7645717259</v>
      </c>
      <c r="BZ212" s="207">
        <v>3014864.1932441685</v>
      </c>
      <c r="CA212" s="207">
        <v>1134287.80984504</v>
      </c>
      <c r="CB212" s="207">
        <v>1813915.256291316</v>
      </c>
      <c r="CC212" s="207">
        <v>3565.7999999999997</v>
      </c>
      <c r="CD212" s="207">
        <v>-673565.637514699</v>
      </c>
      <c r="CE212" s="207">
        <v>1712376.4</v>
      </c>
      <c r="CF212" s="207">
        <v>17016390.109703787</v>
      </c>
      <c r="CG212" s="207">
        <v>9398146.262136657</v>
      </c>
      <c r="CH212" s="207">
        <v>0</v>
      </c>
      <c r="CI212" s="207">
        <v>-7160925.313459427</v>
      </c>
      <c r="CJ212" s="207">
        <v>-1952767</v>
      </c>
      <c r="CK212" s="207">
        <v>0</v>
      </c>
      <c r="CL212" s="207">
        <v>0</v>
      </c>
      <c r="CM212" s="207">
        <v>-3015521.310518</v>
      </c>
      <c r="CN212" s="207">
        <v>44390467.76631597</v>
      </c>
      <c r="CO212" s="207">
        <v>41374946.45579797</v>
      </c>
      <c r="CP212" s="207">
        <v>39614</v>
      </c>
    </row>
    <row r="213" spans="1:94" ht="9.75">
      <c r="A213" s="175">
        <v>686</v>
      </c>
      <c r="B213" s="175" t="s">
        <v>269</v>
      </c>
      <c r="C213" s="207">
        <v>3255</v>
      </c>
      <c r="D213" s="207">
        <v>11685642.83</v>
      </c>
      <c r="E213" s="207">
        <v>5891038.639104985</v>
      </c>
      <c r="F213" s="207">
        <v>875876.9499834201</v>
      </c>
      <c r="G213" s="207">
        <v>18452558.419088405</v>
      </c>
      <c r="H213" s="207">
        <v>3524.51</v>
      </c>
      <c r="I213" s="207">
        <v>11472280.05</v>
      </c>
      <c r="J213" s="207">
        <v>6980278.369088404</v>
      </c>
      <c r="K213" s="207">
        <v>251867.47771574897</v>
      </c>
      <c r="L213" s="207">
        <v>1272921.7989592166</v>
      </c>
      <c r="M213" s="207">
        <v>0</v>
      </c>
      <c r="N213" s="207">
        <v>8505067.64576337</v>
      </c>
      <c r="O213" s="207">
        <v>2949466.2553992546</v>
      </c>
      <c r="P213" s="207">
        <v>11454533.901162624</v>
      </c>
      <c r="Q213" s="207">
        <v>148</v>
      </c>
      <c r="R213" s="207">
        <v>21</v>
      </c>
      <c r="S213" s="207">
        <v>212</v>
      </c>
      <c r="T213" s="207">
        <v>92</v>
      </c>
      <c r="U213" s="207">
        <v>117</v>
      </c>
      <c r="V213" s="207">
        <v>1591</v>
      </c>
      <c r="W213" s="207">
        <v>601</v>
      </c>
      <c r="X213" s="207">
        <v>340</v>
      </c>
      <c r="Y213" s="207">
        <v>133</v>
      </c>
      <c r="Z213" s="207">
        <v>3</v>
      </c>
      <c r="AA213" s="207">
        <v>0</v>
      </c>
      <c r="AB213" s="207">
        <v>3161</v>
      </c>
      <c r="AC213" s="207">
        <v>91</v>
      </c>
      <c r="AD213" s="207">
        <v>1074</v>
      </c>
      <c r="AE213" s="207">
        <v>1.5968685423812556</v>
      </c>
      <c r="AF213" s="207">
        <v>5891038.639104985</v>
      </c>
      <c r="AG213" s="207">
        <v>7115605.291030624</v>
      </c>
      <c r="AH213" s="207">
        <v>1379670.9708160334</v>
      </c>
      <c r="AI213" s="207">
        <v>956014.3796385436</v>
      </c>
      <c r="AJ213" s="207">
        <v>131</v>
      </c>
      <c r="AK213" s="207">
        <v>1276</v>
      </c>
      <c r="AL213" s="207">
        <v>0.8872477108890011</v>
      </c>
      <c r="AM213" s="207">
        <v>91</v>
      </c>
      <c r="AN213" s="207">
        <v>0.02795698924731183</v>
      </c>
      <c r="AO213" s="207">
        <v>0.023016277784861237</v>
      </c>
      <c r="AP213" s="207">
        <v>0</v>
      </c>
      <c r="AQ213" s="207">
        <v>3</v>
      </c>
      <c r="AR213" s="207">
        <v>0</v>
      </c>
      <c r="AS213" s="207">
        <v>0</v>
      </c>
      <c r="AT213" s="207">
        <v>0</v>
      </c>
      <c r="AU213" s="207">
        <v>538.96</v>
      </c>
      <c r="AV213" s="207">
        <v>6.03940923259611</v>
      </c>
      <c r="AW213" s="207">
        <v>3.002914891512179</v>
      </c>
      <c r="AX213" s="207">
        <v>119</v>
      </c>
      <c r="AY213" s="207">
        <v>833</v>
      </c>
      <c r="AZ213" s="207">
        <v>0.14285714285714285</v>
      </c>
      <c r="BA213" s="207">
        <v>0.08167330677290835</v>
      </c>
      <c r="BB213" s="207">
        <v>0.229133</v>
      </c>
      <c r="BC213" s="207">
        <v>930</v>
      </c>
      <c r="BD213" s="207">
        <v>1076</v>
      </c>
      <c r="BE213" s="207">
        <v>0.8643122676579925</v>
      </c>
      <c r="BF213" s="207">
        <v>0.4554053850668994</v>
      </c>
      <c r="BG213" s="207">
        <v>0</v>
      </c>
      <c r="BH213" s="207">
        <v>0</v>
      </c>
      <c r="BI213" s="207">
        <v>0</v>
      </c>
      <c r="BJ213" s="207">
        <v>-781.1999999999999</v>
      </c>
      <c r="BK213" s="207">
        <v>-13345.499999999998</v>
      </c>
      <c r="BL213" s="207">
        <v>-911.4000000000001</v>
      </c>
      <c r="BM213" s="207">
        <v>-1269.45</v>
      </c>
      <c r="BN213" s="207">
        <v>-65.1</v>
      </c>
      <c r="BO213" s="207">
        <v>82080</v>
      </c>
      <c r="BP213" s="207">
        <v>-145300.29882181503</v>
      </c>
      <c r="BQ213" s="207">
        <v>-295195.95</v>
      </c>
      <c r="BR213" s="207">
        <v>44659.95051725209</v>
      </c>
      <c r="BS213" s="207">
        <v>362670</v>
      </c>
      <c r="BT213" s="207">
        <v>102000</v>
      </c>
      <c r="BU213" s="207">
        <v>267642.6833515385</v>
      </c>
      <c r="BV213" s="207">
        <v>13261.625876543416</v>
      </c>
      <c r="BW213" s="207">
        <v>41439.79547026726</v>
      </c>
      <c r="BX213" s="207">
        <v>141735.98122573993</v>
      </c>
      <c r="BY213" s="207">
        <v>170023.73389113502</v>
      </c>
      <c r="BZ213" s="207">
        <v>295831.9159426533</v>
      </c>
      <c r="CA213" s="207">
        <v>79431.95436947807</v>
      </c>
      <c r="CB213" s="207">
        <v>154362.25998894344</v>
      </c>
      <c r="CC213" s="207">
        <v>292.95</v>
      </c>
      <c r="CD213" s="207">
        <v>9674.597147480374</v>
      </c>
      <c r="CE213" s="207">
        <v>140681.1</v>
      </c>
      <c r="CF213" s="207">
        <v>1905788.5477810316</v>
      </c>
      <c r="CG213" s="207">
        <v>1272921.7989592166</v>
      </c>
      <c r="CH213" s="207">
        <v>0</v>
      </c>
      <c r="CI213" s="207">
        <v>2949466.2553992546</v>
      </c>
      <c r="CJ213" s="207">
        <v>208961</v>
      </c>
      <c r="CK213" s="207">
        <v>0</v>
      </c>
      <c r="CL213" s="207">
        <v>0</v>
      </c>
      <c r="CM213" s="207">
        <v>30070.374520000005</v>
      </c>
      <c r="CN213" s="207">
        <v>11663494.901162624</v>
      </c>
      <c r="CO213" s="207">
        <v>11693565.275682624</v>
      </c>
      <c r="CP213" s="207">
        <v>3288</v>
      </c>
    </row>
    <row r="214" spans="1:94" ht="9.75">
      <c r="A214" s="175">
        <v>687</v>
      </c>
      <c r="B214" s="175" t="s">
        <v>270</v>
      </c>
      <c r="C214" s="207">
        <v>1698</v>
      </c>
      <c r="D214" s="207">
        <v>5974247.34</v>
      </c>
      <c r="E214" s="207">
        <v>4113739.419035755</v>
      </c>
      <c r="F214" s="207">
        <v>1145109.7179082616</v>
      </c>
      <c r="G214" s="207">
        <v>11233096.476944016</v>
      </c>
      <c r="H214" s="207">
        <v>3524.51</v>
      </c>
      <c r="I214" s="207">
        <v>5984617.98</v>
      </c>
      <c r="J214" s="207">
        <v>5248478.496944016</v>
      </c>
      <c r="K214" s="207">
        <v>677079.6329796382</v>
      </c>
      <c r="L214" s="207">
        <v>816225.0147859743</v>
      </c>
      <c r="M214" s="207">
        <v>0</v>
      </c>
      <c r="N214" s="207">
        <v>6741783.144709628</v>
      </c>
      <c r="O214" s="207">
        <v>1299101.8691163664</v>
      </c>
      <c r="P214" s="207">
        <v>8040885.013825994</v>
      </c>
      <c r="Q214" s="207">
        <v>48</v>
      </c>
      <c r="R214" s="207">
        <v>12</v>
      </c>
      <c r="S214" s="207">
        <v>86</v>
      </c>
      <c r="T214" s="207">
        <v>35</v>
      </c>
      <c r="U214" s="207">
        <v>43</v>
      </c>
      <c r="V214" s="207">
        <v>840</v>
      </c>
      <c r="W214" s="207">
        <v>327</v>
      </c>
      <c r="X214" s="207">
        <v>226</v>
      </c>
      <c r="Y214" s="207">
        <v>81</v>
      </c>
      <c r="Z214" s="207">
        <v>0</v>
      </c>
      <c r="AA214" s="207">
        <v>0</v>
      </c>
      <c r="AB214" s="207">
        <v>1679</v>
      </c>
      <c r="AC214" s="207">
        <v>19</v>
      </c>
      <c r="AD214" s="207">
        <v>634</v>
      </c>
      <c r="AE214" s="207">
        <v>2.1376046205425485</v>
      </c>
      <c r="AF214" s="207">
        <v>4113739.419035755</v>
      </c>
      <c r="AG214" s="207">
        <v>54041349.28115297</v>
      </c>
      <c r="AH214" s="207">
        <v>12867087.075228643</v>
      </c>
      <c r="AI214" s="207">
        <v>5414436.580008945</v>
      </c>
      <c r="AJ214" s="207">
        <v>104</v>
      </c>
      <c r="AK214" s="207">
        <v>620</v>
      </c>
      <c r="AL214" s="207">
        <v>1.4496592000223347</v>
      </c>
      <c r="AM214" s="207">
        <v>19</v>
      </c>
      <c r="AN214" s="207">
        <v>0.011189634864546525</v>
      </c>
      <c r="AO214" s="207">
        <v>0.006248923402095932</v>
      </c>
      <c r="AP214" s="207">
        <v>0</v>
      </c>
      <c r="AQ214" s="207">
        <v>0</v>
      </c>
      <c r="AR214" s="207">
        <v>0</v>
      </c>
      <c r="AS214" s="207">
        <v>0</v>
      </c>
      <c r="AT214" s="207">
        <v>0</v>
      </c>
      <c r="AU214" s="207">
        <v>1150.96</v>
      </c>
      <c r="AV214" s="207">
        <v>1.4752901925349273</v>
      </c>
      <c r="AW214" s="207">
        <v>12.29306072274295</v>
      </c>
      <c r="AX214" s="207">
        <v>90</v>
      </c>
      <c r="AY214" s="207">
        <v>403</v>
      </c>
      <c r="AZ214" s="207">
        <v>0.22332506203473945</v>
      </c>
      <c r="BA214" s="207">
        <v>0.16214122595050495</v>
      </c>
      <c r="BB214" s="207">
        <v>1.161999</v>
      </c>
      <c r="BC214" s="207">
        <v>439</v>
      </c>
      <c r="BD214" s="207">
        <v>486</v>
      </c>
      <c r="BE214" s="207">
        <v>0.9032921810699589</v>
      </c>
      <c r="BF214" s="207">
        <v>0.4943852984788658</v>
      </c>
      <c r="BG214" s="207">
        <v>0</v>
      </c>
      <c r="BH214" s="207">
        <v>0</v>
      </c>
      <c r="BI214" s="207">
        <v>0</v>
      </c>
      <c r="BJ214" s="207">
        <v>-407.52</v>
      </c>
      <c r="BK214" s="207">
        <v>-6961.799999999999</v>
      </c>
      <c r="BL214" s="207">
        <v>-475.44000000000005</v>
      </c>
      <c r="BM214" s="207">
        <v>-662.22</v>
      </c>
      <c r="BN214" s="207">
        <v>-33.96</v>
      </c>
      <c r="BO214" s="207">
        <v>60400</v>
      </c>
      <c r="BP214" s="207">
        <v>-57049.58749857881</v>
      </c>
      <c r="BQ214" s="207">
        <v>-153991.62</v>
      </c>
      <c r="BR214" s="207">
        <v>78279.17512978334</v>
      </c>
      <c r="BS214" s="207">
        <v>218394</v>
      </c>
      <c r="BT214" s="207">
        <v>59737</v>
      </c>
      <c r="BU214" s="207">
        <v>173456.8360217028</v>
      </c>
      <c r="BV214" s="207">
        <v>9949.982020102858</v>
      </c>
      <c r="BW214" s="207">
        <v>29351.961617280187</v>
      </c>
      <c r="BX214" s="207">
        <v>82980.82958067652</v>
      </c>
      <c r="BY214" s="207">
        <v>94923.59479533053</v>
      </c>
      <c r="BZ214" s="207">
        <v>146572.1957154571</v>
      </c>
      <c r="CA214" s="207">
        <v>46860.10976919556</v>
      </c>
      <c r="CB214" s="207">
        <v>87182.78062056549</v>
      </c>
      <c r="CC214" s="207">
        <v>152.82</v>
      </c>
      <c r="CD214" s="207">
        <v>-34010.82298554135</v>
      </c>
      <c r="CE214" s="207">
        <v>73387.56</v>
      </c>
      <c r="CF214" s="207">
        <v>1127618.0222845532</v>
      </c>
      <c r="CG214" s="207">
        <v>816225.0147859743</v>
      </c>
      <c r="CH214" s="207">
        <v>0</v>
      </c>
      <c r="CI214" s="207">
        <v>1299101.8691163664</v>
      </c>
      <c r="CJ214" s="207">
        <v>-74056</v>
      </c>
      <c r="CK214" s="207">
        <v>0</v>
      </c>
      <c r="CL214" s="207">
        <v>0</v>
      </c>
      <c r="CM214" s="207">
        <v>73301.48802</v>
      </c>
      <c r="CN214" s="207">
        <v>7966829.013825994</v>
      </c>
      <c r="CO214" s="207">
        <v>8040130.501845994</v>
      </c>
      <c r="CP214" s="207">
        <v>1723</v>
      </c>
    </row>
    <row r="215" spans="1:94" ht="9.75">
      <c r="A215" s="175">
        <v>689</v>
      </c>
      <c r="B215" s="175" t="s">
        <v>271</v>
      </c>
      <c r="C215" s="207">
        <v>3436</v>
      </c>
      <c r="D215" s="207">
        <v>12217126.679999998</v>
      </c>
      <c r="E215" s="207">
        <v>6506090.481529025</v>
      </c>
      <c r="F215" s="207">
        <v>1010970.3309052531</v>
      </c>
      <c r="G215" s="207">
        <v>19734187.492434278</v>
      </c>
      <c r="H215" s="207">
        <v>3524.51</v>
      </c>
      <c r="I215" s="207">
        <v>12110216.360000001</v>
      </c>
      <c r="J215" s="207">
        <v>7623971.132434277</v>
      </c>
      <c r="K215" s="207">
        <v>558768.6494943007</v>
      </c>
      <c r="L215" s="207">
        <v>1012973.8777566707</v>
      </c>
      <c r="M215" s="207">
        <v>91202.00320430283</v>
      </c>
      <c r="N215" s="207">
        <v>9286915.662889551</v>
      </c>
      <c r="O215" s="207">
        <v>1281207.2651496725</v>
      </c>
      <c r="P215" s="207">
        <v>10568122.928039223</v>
      </c>
      <c r="Q215" s="207">
        <v>107</v>
      </c>
      <c r="R215" s="207">
        <v>24</v>
      </c>
      <c r="S215" s="207">
        <v>158</v>
      </c>
      <c r="T215" s="207">
        <v>75</v>
      </c>
      <c r="U215" s="207">
        <v>97</v>
      </c>
      <c r="V215" s="207">
        <v>1732</v>
      </c>
      <c r="W215" s="207">
        <v>671</v>
      </c>
      <c r="X215" s="207">
        <v>386</v>
      </c>
      <c r="Y215" s="207">
        <v>186</v>
      </c>
      <c r="Z215" s="207">
        <v>2</v>
      </c>
      <c r="AA215" s="207">
        <v>0</v>
      </c>
      <c r="AB215" s="207">
        <v>3330</v>
      </c>
      <c r="AC215" s="207">
        <v>104</v>
      </c>
      <c r="AD215" s="207">
        <v>1243</v>
      </c>
      <c r="AE215" s="207">
        <v>1.670687529234449</v>
      </c>
      <c r="AF215" s="207">
        <v>6506090.481529025</v>
      </c>
      <c r="AG215" s="207">
        <v>7692370.325075775</v>
      </c>
      <c r="AH215" s="207">
        <v>2254382.288919015</v>
      </c>
      <c r="AI215" s="207">
        <v>723711.8201002057</v>
      </c>
      <c r="AJ215" s="207">
        <v>246</v>
      </c>
      <c r="AK215" s="207">
        <v>1382</v>
      </c>
      <c r="AL215" s="207">
        <v>1.53833644931681</v>
      </c>
      <c r="AM215" s="207">
        <v>104</v>
      </c>
      <c r="AN215" s="207">
        <v>0.030267753201396973</v>
      </c>
      <c r="AO215" s="207">
        <v>0.02532704173894638</v>
      </c>
      <c r="AP215" s="207">
        <v>0</v>
      </c>
      <c r="AQ215" s="207">
        <v>2</v>
      </c>
      <c r="AR215" s="207">
        <v>0</v>
      </c>
      <c r="AS215" s="207">
        <v>0</v>
      </c>
      <c r="AT215" s="207">
        <v>0</v>
      </c>
      <c r="AU215" s="207">
        <v>351.55</v>
      </c>
      <c r="AV215" s="207">
        <v>9.773858626084483</v>
      </c>
      <c r="AW215" s="207">
        <v>1.8555447356377834</v>
      </c>
      <c r="AX215" s="207">
        <v>134</v>
      </c>
      <c r="AY215" s="207">
        <v>828</v>
      </c>
      <c r="AZ215" s="207">
        <v>0.16183574879227053</v>
      </c>
      <c r="BA215" s="207">
        <v>0.10065191270803603</v>
      </c>
      <c r="BB215" s="207">
        <v>0.6437</v>
      </c>
      <c r="BC215" s="207">
        <v>880</v>
      </c>
      <c r="BD215" s="207">
        <v>1058</v>
      </c>
      <c r="BE215" s="207">
        <v>0.831758034026465</v>
      </c>
      <c r="BF215" s="207">
        <v>0.4228511514353719</v>
      </c>
      <c r="BG215" s="207">
        <v>0</v>
      </c>
      <c r="BH215" s="207">
        <v>0</v>
      </c>
      <c r="BI215" s="207">
        <v>0</v>
      </c>
      <c r="BJ215" s="207">
        <v>-824.64</v>
      </c>
      <c r="BK215" s="207">
        <v>-14087.599999999999</v>
      </c>
      <c r="BL215" s="207">
        <v>-962.08</v>
      </c>
      <c r="BM215" s="207">
        <v>-1340.04</v>
      </c>
      <c r="BN215" s="207">
        <v>-68.72</v>
      </c>
      <c r="BO215" s="207">
        <v>20434</v>
      </c>
      <c r="BP215" s="207">
        <v>-124461.29155040097</v>
      </c>
      <c r="BQ215" s="207">
        <v>-311610.83999999997</v>
      </c>
      <c r="BR215" s="207">
        <v>-30003.020192259923</v>
      </c>
      <c r="BS215" s="207">
        <v>325681</v>
      </c>
      <c r="BT215" s="207">
        <v>97347</v>
      </c>
      <c r="BU215" s="207">
        <v>241802.7511438312</v>
      </c>
      <c r="BV215" s="207">
        <v>12693.207108820638</v>
      </c>
      <c r="BW215" s="207">
        <v>48835.58689050997</v>
      </c>
      <c r="BX215" s="207">
        <v>132015.90703346976</v>
      </c>
      <c r="BY215" s="207">
        <v>166885.05560943205</v>
      </c>
      <c r="BZ215" s="207">
        <v>280292.94047990604</v>
      </c>
      <c r="CA215" s="207">
        <v>76194.95326775785</v>
      </c>
      <c r="CB215" s="207">
        <v>135895.78831440024</v>
      </c>
      <c r="CC215" s="207">
        <v>309.24</v>
      </c>
      <c r="CD215" s="207">
        <v>-4774.720348796178</v>
      </c>
      <c r="CE215" s="207">
        <v>148503.91999999998</v>
      </c>
      <c r="CF215" s="207">
        <v>1652113.6093070717</v>
      </c>
      <c r="CG215" s="207">
        <v>1012973.8777566707</v>
      </c>
      <c r="CH215" s="207">
        <v>91202.00320430283</v>
      </c>
      <c r="CI215" s="207">
        <v>1281207.2651496725</v>
      </c>
      <c r="CJ215" s="207">
        <v>-380090</v>
      </c>
      <c r="CK215" s="207">
        <v>0</v>
      </c>
      <c r="CL215" s="207">
        <v>0</v>
      </c>
      <c r="CM215" s="207">
        <v>75307.93970000002</v>
      </c>
      <c r="CN215" s="207">
        <v>10188032.928039223</v>
      </c>
      <c r="CO215" s="207">
        <v>10263340.867739223</v>
      </c>
      <c r="CP215" s="207">
        <v>3473</v>
      </c>
    </row>
    <row r="216" spans="1:94" ht="9.75">
      <c r="A216" s="175">
        <v>691</v>
      </c>
      <c r="B216" s="175" t="s">
        <v>272</v>
      </c>
      <c r="C216" s="207">
        <v>2813</v>
      </c>
      <c r="D216" s="207">
        <v>10924731.759999998</v>
      </c>
      <c r="E216" s="207">
        <v>4655776.511140571</v>
      </c>
      <c r="F216" s="207">
        <v>643176.7600827913</v>
      </c>
      <c r="G216" s="207">
        <v>16223685.031223359</v>
      </c>
      <c r="H216" s="207">
        <v>3524.51</v>
      </c>
      <c r="I216" s="207">
        <v>9914446.63</v>
      </c>
      <c r="J216" s="207">
        <v>6309238.401223358</v>
      </c>
      <c r="K216" s="207">
        <v>390891.2670930759</v>
      </c>
      <c r="L216" s="207">
        <v>1096690.018342208</v>
      </c>
      <c r="M216" s="207">
        <v>0</v>
      </c>
      <c r="N216" s="207">
        <v>7796819.686658641</v>
      </c>
      <c r="O216" s="207">
        <v>3112616.3198511093</v>
      </c>
      <c r="P216" s="207">
        <v>10909436.006509751</v>
      </c>
      <c r="Q216" s="207">
        <v>196</v>
      </c>
      <c r="R216" s="207">
        <v>32</v>
      </c>
      <c r="S216" s="207">
        <v>224</v>
      </c>
      <c r="T216" s="207">
        <v>127</v>
      </c>
      <c r="U216" s="207">
        <v>121</v>
      </c>
      <c r="V216" s="207">
        <v>1408</v>
      </c>
      <c r="W216" s="207">
        <v>376</v>
      </c>
      <c r="X216" s="207">
        <v>224</v>
      </c>
      <c r="Y216" s="207">
        <v>105</v>
      </c>
      <c r="Z216" s="207">
        <v>4</v>
      </c>
      <c r="AA216" s="207">
        <v>0</v>
      </c>
      <c r="AB216" s="207">
        <v>2795</v>
      </c>
      <c r="AC216" s="207">
        <v>14</v>
      </c>
      <c r="AD216" s="207">
        <v>705</v>
      </c>
      <c r="AE216" s="207">
        <v>1.4603288998400532</v>
      </c>
      <c r="AF216" s="207">
        <v>4655776.511140571</v>
      </c>
      <c r="AG216" s="207">
        <v>4614153.484674595</v>
      </c>
      <c r="AH216" s="207">
        <v>1401805.7643903967</v>
      </c>
      <c r="AI216" s="207">
        <v>536082.8297038561</v>
      </c>
      <c r="AJ216" s="207">
        <v>100</v>
      </c>
      <c r="AK216" s="207">
        <v>1182</v>
      </c>
      <c r="AL216" s="207">
        <v>0.7311505141333524</v>
      </c>
      <c r="AM216" s="207">
        <v>14</v>
      </c>
      <c r="AN216" s="207">
        <v>0.004976892996800568</v>
      </c>
      <c r="AO216" s="207">
        <v>3.618153434997544E-05</v>
      </c>
      <c r="AP216" s="207">
        <v>0</v>
      </c>
      <c r="AQ216" s="207">
        <v>4</v>
      </c>
      <c r="AR216" s="207">
        <v>0</v>
      </c>
      <c r="AS216" s="207">
        <v>0</v>
      </c>
      <c r="AT216" s="207">
        <v>0</v>
      </c>
      <c r="AU216" s="207">
        <v>474.46</v>
      </c>
      <c r="AV216" s="207">
        <v>5.928845424271804</v>
      </c>
      <c r="AW216" s="207">
        <v>3.0589146153572537</v>
      </c>
      <c r="AX216" s="207">
        <v>128</v>
      </c>
      <c r="AY216" s="207">
        <v>706</v>
      </c>
      <c r="AZ216" s="207">
        <v>0.1813031161473088</v>
      </c>
      <c r="BA216" s="207">
        <v>0.12011928006307429</v>
      </c>
      <c r="BB216" s="207">
        <v>0.500866</v>
      </c>
      <c r="BC216" s="207">
        <v>963</v>
      </c>
      <c r="BD216" s="207">
        <v>1033</v>
      </c>
      <c r="BE216" s="207">
        <v>0.9322362052274927</v>
      </c>
      <c r="BF216" s="207">
        <v>0.5233293226363996</v>
      </c>
      <c r="BG216" s="207">
        <v>0</v>
      </c>
      <c r="BH216" s="207">
        <v>0</v>
      </c>
      <c r="BI216" s="207">
        <v>0</v>
      </c>
      <c r="BJ216" s="207">
        <v>-675.12</v>
      </c>
      <c r="BK216" s="207">
        <v>-11533.3</v>
      </c>
      <c r="BL216" s="207">
        <v>-787.6400000000001</v>
      </c>
      <c r="BM216" s="207">
        <v>-1097.07</v>
      </c>
      <c r="BN216" s="207">
        <v>-56.26</v>
      </c>
      <c r="BO216" s="207">
        <v>1125</v>
      </c>
      <c r="BP216" s="207">
        <v>-60174.84006833822</v>
      </c>
      <c r="BQ216" s="207">
        <v>-255110.97</v>
      </c>
      <c r="BR216" s="207">
        <v>17542.227682605386</v>
      </c>
      <c r="BS216" s="207">
        <v>279753</v>
      </c>
      <c r="BT216" s="207">
        <v>82585</v>
      </c>
      <c r="BU216" s="207">
        <v>234894.54925491245</v>
      </c>
      <c r="BV216" s="207">
        <v>11397.25428446925</v>
      </c>
      <c r="BW216" s="207">
        <v>43223.19502340273</v>
      </c>
      <c r="BX216" s="207">
        <v>116300.28153997274</v>
      </c>
      <c r="BY216" s="207">
        <v>159182.77197731164</v>
      </c>
      <c r="BZ216" s="207">
        <v>290154.133997758</v>
      </c>
      <c r="CA216" s="207">
        <v>74547.25512168124</v>
      </c>
      <c r="CB216" s="207">
        <v>137589.4888417758</v>
      </c>
      <c r="CC216" s="207">
        <v>253.17</v>
      </c>
      <c r="CD216" s="207">
        <v>8098.940686657092</v>
      </c>
      <c r="CE216" s="207">
        <v>121577.86</v>
      </c>
      <c r="CF216" s="207">
        <v>1578224.128410546</v>
      </c>
      <c r="CG216" s="207">
        <v>1096690.018342208</v>
      </c>
      <c r="CH216" s="207">
        <v>0</v>
      </c>
      <c r="CI216" s="207">
        <v>3112616.3198511093</v>
      </c>
      <c r="CJ216" s="207">
        <v>-122063</v>
      </c>
      <c r="CK216" s="207">
        <v>0</v>
      </c>
      <c r="CL216" s="207">
        <v>0</v>
      </c>
      <c r="CM216" s="207">
        <v>-101708.6197</v>
      </c>
      <c r="CN216" s="207">
        <v>10787373.006509751</v>
      </c>
      <c r="CO216" s="207">
        <v>10685664.386809751</v>
      </c>
      <c r="CP216" s="207">
        <v>2854</v>
      </c>
    </row>
    <row r="217" spans="1:94" ht="9.75">
      <c r="A217" s="175">
        <v>694</v>
      </c>
      <c r="B217" s="175" t="s">
        <v>273</v>
      </c>
      <c r="C217" s="207">
        <v>29021</v>
      </c>
      <c r="D217" s="207">
        <v>96030045.87</v>
      </c>
      <c r="E217" s="207">
        <v>31215460.315302182</v>
      </c>
      <c r="F217" s="207">
        <v>5766984.988297382</v>
      </c>
      <c r="G217" s="207">
        <v>133012491.17359957</v>
      </c>
      <c r="H217" s="207">
        <v>3524.51</v>
      </c>
      <c r="I217" s="207">
        <v>102284804.71000001</v>
      </c>
      <c r="J217" s="207">
        <v>30727686.463599563</v>
      </c>
      <c r="K217" s="207">
        <v>910605.6298393871</v>
      </c>
      <c r="L217" s="207">
        <v>4922797.213276643</v>
      </c>
      <c r="M217" s="207">
        <v>0</v>
      </c>
      <c r="N217" s="207">
        <v>36561089.30671559</v>
      </c>
      <c r="O217" s="207">
        <v>637983.1009152863</v>
      </c>
      <c r="P217" s="207">
        <v>37199072.407630876</v>
      </c>
      <c r="Q217" s="207">
        <v>1711</v>
      </c>
      <c r="R217" s="207">
        <v>338</v>
      </c>
      <c r="S217" s="207">
        <v>2091</v>
      </c>
      <c r="T217" s="207">
        <v>989</v>
      </c>
      <c r="U217" s="207">
        <v>942</v>
      </c>
      <c r="V217" s="207">
        <v>16910</v>
      </c>
      <c r="W217" s="207">
        <v>3542</v>
      </c>
      <c r="X217" s="207">
        <v>1727</v>
      </c>
      <c r="Y217" s="207">
        <v>771</v>
      </c>
      <c r="Z217" s="207">
        <v>123</v>
      </c>
      <c r="AA217" s="207">
        <v>0</v>
      </c>
      <c r="AB217" s="207">
        <v>27490</v>
      </c>
      <c r="AC217" s="207">
        <v>1408</v>
      </c>
      <c r="AD217" s="207">
        <v>6040</v>
      </c>
      <c r="AE217" s="207">
        <v>0.9490424916244233</v>
      </c>
      <c r="AF217" s="207">
        <v>31215460.315302182</v>
      </c>
      <c r="AG217" s="207">
        <v>8021570.775234451</v>
      </c>
      <c r="AH217" s="207">
        <v>1908352.0019575544</v>
      </c>
      <c r="AI217" s="207">
        <v>848797.8136977721</v>
      </c>
      <c r="AJ217" s="207">
        <v>1456</v>
      </c>
      <c r="AK217" s="207">
        <v>14143</v>
      </c>
      <c r="AL217" s="207">
        <v>0.889701043356704</v>
      </c>
      <c r="AM217" s="207">
        <v>1408</v>
      </c>
      <c r="AN217" s="207">
        <v>0.04851659143378932</v>
      </c>
      <c r="AO217" s="207">
        <v>0.04357587997133873</v>
      </c>
      <c r="AP217" s="207">
        <v>0</v>
      </c>
      <c r="AQ217" s="207">
        <v>123</v>
      </c>
      <c r="AR217" s="207">
        <v>0</v>
      </c>
      <c r="AS217" s="207">
        <v>0</v>
      </c>
      <c r="AT217" s="207">
        <v>0</v>
      </c>
      <c r="AU217" s="207">
        <v>121.01</v>
      </c>
      <c r="AV217" s="207">
        <v>239.82315511114783</v>
      </c>
      <c r="AW217" s="207">
        <v>0.07562168845662053</v>
      </c>
      <c r="AX217" s="207">
        <v>1375</v>
      </c>
      <c r="AY217" s="207">
        <v>9213</v>
      </c>
      <c r="AZ217" s="207">
        <v>0.14924563117334202</v>
      </c>
      <c r="BA217" s="207">
        <v>0.08806179508910753</v>
      </c>
      <c r="BB217" s="207">
        <v>0</v>
      </c>
      <c r="BC217" s="207">
        <v>11116</v>
      </c>
      <c r="BD217" s="207">
        <v>12355</v>
      </c>
      <c r="BE217" s="207">
        <v>0.8997167138810198</v>
      </c>
      <c r="BF217" s="207">
        <v>0.4908098312899267</v>
      </c>
      <c r="BG217" s="207">
        <v>0</v>
      </c>
      <c r="BH217" s="207">
        <v>0</v>
      </c>
      <c r="BI217" s="207">
        <v>0</v>
      </c>
      <c r="BJ217" s="207">
        <v>-6965.04</v>
      </c>
      <c r="BK217" s="207">
        <v>-118986.09999999999</v>
      </c>
      <c r="BL217" s="207">
        <v>-8125.880000000001</v>
      </c>
      <c r="BM217" s="207">
        <v>-11318.19</v>
      </c>
      <c r="BN217" s="207">
        <v>-580.42</v>
      </c>
      <c r="BO217" s="207">
        <v>658284</v>
      </c>
      <c r="BP217" s="207">
        <v>-2593358.8537135003</v>
      </c>
      <c r="BQ217" s="207">
        <v>-2631914.4899999998</v>
      </c>
      <c r="BR217" s="207">
        <v>-40213.59984558821</v>
      </c>
      <c r="BS217" s="207">
        <v>1862094</v>
      </c>
      <c r="BT217" s="207">
        <v>644858</v>
      </c>
      <c r="BU217" s="207">
        <v>1377691.1378719537</v>
      </c>
      <c r="BV217" s="207">
        <v>37343.72389893481</v>
      </c>
      <c r="BW217" s="207">
        <v>125027.78905120381</v>
      </c>
      <c r="BX217" s="207">
        <v>564070.1081007131</v>
      </c>
      <c r="BY217" s="207">
        <v>1348464.5471801157</v>
      </c>
      <c r="BZ217" s="207">
        <v>2106124.3002889347</v>
      </c>
      <c r="CA217" s="207">
        <v>643405.0512731222</v>
      </c>
      <c r="CB217" s="207">
        <v>1110852.129278579</v>
      </c>
      <c r="CC217" s="207">
        <v>2611.89</v>
      </c>
      <c r="CD217" s="207">
        <v>168310.95989217295</v>
      </c>
      <c r="CE217" s="207">
        <v>1254287.6199999999</v>
      </c>
      <c r="CF217" s="207">
        <v>11863211.656990143</v>
      </c>
      <c r="CG217" s="207">
        <v>4922797.213276643</v>
      </c>
      <c r="CH217" s="207">
        <v>0</v>
      </c>
      <c r="CI217" s="207">
        <v>637983.1009152863</v>
      </c>
      <c r="CJ217" s="207">
        <v>-1242313</v>
      </c>
      <c r="CK217" s="207">
        <v>0</v>
      </c>
      <c r="CL217" s="207">
        <v>0</v>
      </c>
      <c r="CM217" s="207">
        <v>298802.89624000003</v>
      </c>
      <c r="CN217" s="207">
        <v>35956759.407630876</v>
      </c>
      <c r="CO217" s="207">
        <v>36255562.30387088</v>
      </c>
      <c r="CP217" s="207">
        <v>29160</v>
      </c>
    </row>
    <row r="218" spans="1:94" ht="9.75">
      <c r="A218" s="175">
        <v>697</v>
      </c>
      <c r="B218" s="175" t="s">
        <v>274</v>
      </c>
      <c r="C218" s="207">
        <v>1317</v>
      </c>
      <c r="D218" s="207">
        <v>5224589.43</v>
      </c>
      <c r="E218" s="207">
        <v>2978207.703761756</v>
      </c>
      <c r="F218" s="207">
        <v>725934.580703127</v>
      </c>
      <c r="G218" s="207">
        <v>8928731.714464882</v>
      </c>
      <c r="H218" s="207">
        <v>3524.51</v>
      </c>
      <c r="I218" s="207">
        <v>4641779.67</v>
      </c>
      <c r="J218" s="207">
        <v>4286952.044464882</v>
      </c>
      <c r="K218" s="207">
        <v>212878.4027721944</v>
      </c>
      <c r="L218" s="207">
        <v>676869.7799015626</v>
      </c>
      <c r="M218" s="207">
        <v>0</v>
      </c>
      <c r="N218" s="207">
        <v>5176700.227138639</v>
      </c>
      <c r="O218" s="207">
        <v>949983.456390047</v>
      </c>
      <c r="P218" s="207">
        <v>6126683.683528686</v>
      </c>
      <c r="Q218" s="207">
        <v>46</v>
      </c>
      <c r="R218" s="207">
        <v>8</v>
      </c>
      <c r="S218" s="207">
        <v>56</v>
      </c>
      <c r="T218" s="207">
        <v>37</v>
      </c>
      <c r="U218" s="207">
        <v>22</v>
      </c>
      <c r="V218" s="207">
        <v>664</v>
      </c>
      <c r="W218" s="207">
        <v>246</v>
      </c>
      <c r="X218" s="207">
        <v>135</v>
      </c>
      <c r="Y218" s="207">
        <v>103</v>
      </c>
      <c r="Z218" s="207">
        <v>0</v>
      </c>
      <c r="AA218" s="207">
        <v>0</v>
      </c>
      <c r="AB218" s="207">
        <v>1306</v>
      </c>
      <c r="AC218" s="207">
        <v>11</v>
      </c>
      <c r="AD218" s="207">
        <v>484</v>
      </c>
      <c r="AE218" s="207">
        <v>1.995250806043369</v>
      </c>
      <c r="AF218" s="207">
        <v>2978207.703761756</v>
      </c>
      <c r="AG218" s="207">
        <v>5600924.527316282</v>
      </c>
      <c r="AH218" s="207">
        <v>1622998.9113677742</v>
      </c>
      <c r="AI218" s="207">
        <v>616495.2541594345</v>
      </c>
      <c r="AJ218" s="207">
        <v>63</v>
      </c>
      <c r="AK218" s="207">
        <v>557</v>
      </c>
      <c r="AL218" s="207">
        <v>0.9774839171535767</v>
      </c>
      <c r="AM218" s="207">
        <v>11</v>
      </c>
      <c r="AN218" s="207">
        <v>0.008352315869400152</v>
      </c>
      <c r="AO218" s="207">
        <v>0.0034116044069495586</v>
      </c>
      <c r="AP218" s="207">
        <v>0</v>
      </c>
      <c r="AQ218" s="207">
        <v>0</v>
      </c>
      <c r="AR218" s="207">
        <v>0</v>
      </c>
      <c r="AS218" s="207">
        <v>0</v>
      </c>
      <c r="AT218" s="207">
        <v>0</v>
      </c>
      <c r="AU218" s="207">
        <v>835.63</v>
      </c>
      <c r="AV218" s="207">
        <v>1.5760563885930376</v>
      </c>
      <c r="AW218" s="207">
        <v>11.507095844894897</v>
      </c>
      <c r="AX218" s="207">
        <v>30</v>
      </c>
      <c r="AY218" s="207">
        <v>285</v>
      </c>
      <c r="AZ218" s="207">
        <v>0.10526315789473684</v>
      </c>
      <c r="BA218" s="207">
        <v>0.044079321810502343</v>
      </c>
      <c r="BB218" s="207">
        <v>0.667666</v>
      </c>
      <c r="BC218" s="207">
        <v>337</v>
      </c>
      <c r="BD218" s="207">
        <v>457</v>
      </c>
      <c r="BE218" s="207">
        <v>0.737417943107221</v>
      </c>
      <c r="BF218" s="207">
        <v>0.3285110605161279</v>
      </c>
      <c r="BG218" s="207">
        <v>0</v>
      </c>
      <c r="BH218" s="207">
        <v>0</v>
      </c>
      <c r="BI218" s="207">
        <v>0</v>
      </c>
      <c r="BJ218" s="207">
        <v>-316.08</v>
      </c>
      <c r="BK218" s="207">
        <v>-5399.7</v>
      </c>
      <c r="BL218" s="207">
        <v>-368.76000000000005</v>
      </c>
      <c r="BM218" s="207">
        <v>-513.63</v>
      </c>
      <c r="BN218" s="207">
        <v>-26.34</v>
      </c>
      <c r="BO218" s="207">
        <v>6115</v>
      </c>
      <c r="BP218" s="207">
        <v>-7096.370533884881</v>
      </c>
      <c r="BQ218" s="207">
        <v>-119438.73</v>
      </c>
      <c r="BR218" s="207">
        <v>104403.79041090794</v>
      </c>
      <c r="BS218" s="207">
        <v>160754</v>
      </c>
      <c r="BT218" s="207">
        <v>49462</v>
      </c>
      <c r="BU218" s="207">
        <v>124485.65817589301</v>
      </c>
      <c r="BV218" s="207">
        <v>7172.206036784499</v>
      </c>
      <c r="BW218" s="207">
        <v>22496.753395076463</v>
      </c>
      <c r="BX218" s="207">
        <v>55433.95561615519</v>
      </c>
      <c r="BY218" s="207">
        <v>80855.7585815372</v>
      </c>
      <c r="BZ218" s="207">
        <v>122685.15994105836</v>
      </c>
      <c r="CA218" s="207">
        <v>38672.47767793816</v>
      </c>
      <c r="CB218" s="207">
        <v>64114.954434536216</v>
      </c>
      <c r="CC218" s="207">
        <v>118.53</v>
      </c>
      <c r="CD218" s="207">
        <v>-12451.403834439503</v>
      </c>
      <c r="CE218" s="207">
        <v>56920.74</v>
      </c>
      <c r="CF218" s="207">
        <v>881239.5804354475</v>
      </c>
      <c r="CG218" s="207">
        <v>676869.7799015626</v>
      </c>
      <c r="CH218" s="207">
        <v>0</v>
      </c>
      <c r="CI218" s="207">
        <v>949983.456390047</v>
      </c>
      <c r="CJ218" s="207">
        <v>-265183</v>
      </c>
      <c r="CK218" s="207">
        <v>0</v>
      </c>
      <c r="CL218" s="207">
        <v>0</v>
      </c>
      <c r="CM218" s="207">
        <v>-6534.168300000003</v>
      </c>
      <c r="CN218" s="207">
        <v>5861500.683528686</v>
      </c>
      <c r="CO218" s="207">
        <v>5854966.515228686</v>
      </c>
      <c r="CP218" s="207">
        <v>1345</v>
      </c>
    </row>
    <row r="219" spans="1:94" ht="9.75">
      <c r="A219" s="175">
        <v>698</v>
      </c>
      <c r="B219" s="175" t="s">
        <v>275</v>
      </c>
      <c r="C219" s="207">
        <v>62420</v>
      </c>
      <c r="D219" s="207">
        <v>199158436.44</v>
      </c>
      <c r="E219" s="207">
        <v>70151057.75884876</v>
      </c>
      <c r="F219" s="207">
        <v>15820227.440128705</v>
      </c>
      <c r="G219" s="207">
        <v>285129721.6389774</v>
      </c>
      <c r="H219" s="207">
        <v>3524.51</v>
      </c>
      <c r="I219" s="207">
        <v>219999914.20000002</v>
      </c>
      <c r="J219" s="207">
        <v>65129807.43897739</v>
      </c>
      <c r="K219" s="207">
        <v>2286408.193472733</v>
      </c>
      <c r="L219" s="207">
        <v>13072408.450051894</v>
      </c>
      <c r="M219" s="207">
        <v>0</v>
      </c>
      <c r="N219" s="207">
        <v>80488624.08250201</v>
      </c>
      <c r="O219" s="207">
        <v>20928143.66101135</v>
      </c>
      <c r="P219" s="207">
        <v>101416767.74351336</v>
      </c>
      <c r="Q219" s="207">
        <v>3974</v>
      </c>
      <c r="R219" s="207">
        <v>783</v>
      </c>
      <c r="S219" s="207">
        <v>4299</v>
      </c>
      <c r="T219" s="207">
        <v>1915</v>
      </c>
      <c r="U219" s="207">
        <v>2100</v>
      </c>
      <c r="V219" s="207">
        <v>37785</v>
      </c>
      <c r="W219" s="207">
        <v>6558</v>
      </c>
      <c r="X219" s="207">
        <v>3631</v>
      </c>
      <c r="Y219" s="207">
        <v>1375</v>
      </c>
      <c r="Z219" s="207">
        <v>112</v>
      </c>
      <c r="AA219" s="207">
        <v>164</v>
      </c>
      <c r="AB219" s="207">
        <v>60096</v>
      </c>
      <c r="AC219" s="207">
        <v>2048</v>
      </c>
      <c r="AD219" s="207">
        <v>11564</v>
      </c>
      <c r="AE219" s="207">
        <v>0.9916050884788424</v>
      </c>
      <c r="AF219" s="207">
        <v>70151057.75884876</v>
      </c>
      <c r="AG219" s="207">
        <v>40089753.16538366</v>
      </c>
      <c r="AH219" s="207">
        <v>7862069.712779363</v>
      </c>
      <c r="AI219" s="207">
        <v>4360140.34825803</v>
      </c>
      <c r="AJ219" s="207">
        <v>4001</v>
      </c>
      <c r="AK219" s="207">
        <v>30120</v>
      </c>
      <c r="AL219" s="207">
        <v>1.1479893262716454</v>
      </c>
      <c r="AM219" s="207">
        <v>2048</v>
      </c>
      <c r="AN219" s="207">
        <v>0.03280999679589875</v>
      </c>
      <c r="AO219" s="207">
        <v>0.02786928533344816</v>
      </c>
      <c r="AP219" s="207">
        <v>0</v>
      </c>
      <c r="AQ219" s="207">
        <v>112</v>
      </c>
      <c r="AR219" s="207">
        <v>164</v>
      </c>
      <c r="AS219" s="207">
        <v>0</v>
      </c>
      <c r="AT219" s="207">
        <v>0</v>
      </c>
      <c r="AU219" s="207">
        <v>7581.51</v>
      </c>
      <c r="AV219" s="207">
        <v>8.233188375402788</v>
      </c>
      <c r="AW219" s="207">
        <v>2.2027714044149693</v>
      </c>
      <c r="AX219" s="207">
        <v>1837</v>
      </c>
      <c r="AY219" s="207">
        <v>18588</v>
      </c>
      <c r="AZ219" s="207">
        <v>0.09882720034430816</v>
      </c>
      <c r="BA219" s="207">
        <v>0.03764336426007366</v>
      </c>
      <c r="BB219" s="207">
        <v>0</v>
      </c>
      <c r="BC219" s="207">
        <v>25343</v>
      </c>
      <c r="BD219" s="207">
        <v>25811</v>
      </c>
      <c r="BE219" s="207">
        <v>0.9818681957305025</v>
      </c>
      <c r="BF219" s="207">
        <v>0.5729613131394095</v>
      </c>
      <c r="BG219" s="207">
        <v>0</v>
      </c>
      <c r="BH219" s="207">
        <v>164</v>
      </c>
      <c r="BI219" s="207">
        <v>0</v>
      </c>
      <c r="BJ219" s="207">
        <v>-14980.8</v>
      </c>
      <c r="BK219" s="207">
        <v>-255921.99999999997</v>
      </c>
      <c r="BL219" s="207">
        <v>-17477.600000000002</v>
      </c>
      <c r="BM219" s="207">
        <v>-24343.8</v>
      </c>
      <c r="BN219" s="207">
        <v>-1248.4</v>
      </c>
      <c r="BO219" s="207">
        <v>760982</v>
      </c>
      <c r="BP219" s="207">
        <v>-3428138.644609399</v>
      </c>
      <c r="BQ219" s="207">
        <v>-5660869.8</v>
      </c>
      <c r="BR219" s="207">
        <v>-851137.8510162681</v>
      </c>
      <c r="BS219" s="207">
        <v>4170263</v>
      </c>
      <c r="BT219" s="207">
        <v>1400370</v>
      </c>
      <c r="BU219" s="207">
        <v>3556984.1957876254</v>
      </c>
      <c r="BV219" s="207">
        <v>130689.61392386896</v>
      </c>
      <c r="BW219" s="207">
        <v>170271.45091107712</v>
      </c>
      <c r="BX219" s="207">
        <v>1530495.8688007353</v>
      </c>
      <c r="BY219" s="207">
        <v>3039795.0447149575</v>
      </c>
      <c r="BZ219" s="207">
        <v>4487658.940840116</v>
      </c>
      <c r="CA219" s="207">
        <v>1486426.2087844117</v>
      </c>
      <c r="CB219" s="207">
        <v>2651524.056084899</v>
      </c>
      <c r="CC219" s="207">
        <v>5617.8</v>
      </c>
      <c r="CD219" s="207">
        <v>612706.1658298711</v>
      </c>
      <c r="CE219" s="207">
        <v>2697792.4</v>
      </c>
      <c r="CF219" s="207">
        <v>25850438.894661292</v>
      </c>
      <c r="CG219" s="207">
        <v>13072408.450051894</v>
      </c>
      <c r="CH219" s="207">
        <v>0</v>
      </c>
      <c r="CI219" s="207">
        <v>20928143.66101135</v>
      </c>
      <c r="CJ219" s="207">
        <v>-3764588</v>
      </c>
      <c r="CK219" s="207">
        <v>0</v>
      </c>
      <c r="CL219" s="207">
        <v>0</v>
      </c>
      <c r="CM219" s="207">
        <v>-3680159.749551999</v>
      </c>
      <c r="CN219" s="207">
        <v>97652179.74351336</v>
      </c>
      <c r="CO219" s="207">
        <v>93972019.99396136</v>
      </c>
      <c r="CP219" s="207">
        <v>62231</v>
      </c>
    </row>
    <row r="220" spans="1:94" ht="9.75">
      <c r="A220" s="175">
        <v>700</v>
      </c>
      <c r="B220" s="175" t="s">
        <v>276</v>
      </c>
      <c r="C220" s="207">
        <v>5218</v>
      </c>
      <c r="D220" s="207">
        <v>19534265.27</v>
      </c>
      <c r="E220" s="207">
        <v>7422852.696833885</v>
      </c>
      <c r="F220" s="207">
        <v>1559566.0088990433</v>
      </c>
      <c r="G220" s="207">
        <v>28516683.97573293</v>
      </c>
      <c r="H220" s="207">
        <v>3524.51</v>
      </c>
      <c r="I220" s="207">
        <v>18390893.18</v>
      </c>
      <c r="J220" s="207">
        <v>10125790.79573293</v>
      </c>
      <c r="K220" s="207">
        <v>42894.67648338355</v>
      </c>
      <c r="L220" s="207">
        <v>1426820.149297042</v>
      </c>
      <c r="M220" s="207">
        <v>0</v>
      </c>
      <c r="N220" s="207">
        <v>11595505.621513356</v>
      </c>
      <c r="O220" s="207">
        <v>890734.7835487013</v>
      </c>
      <c r="P220" s="207">
        <v>12486240.405062057</v>
      </c>
      <c r="Q220" s="207">
        <v>202</v>
      </c>
      <c r="R220" s="207">
        <v>53</v>
      </c>
      <c r="S220" s="207">
        <v>312</v>
      </c>
      <c r="T220" s="207">
        <v>163</v>
      </c>
      <c r="U220" s="207">
        <v>130</v>
      </c>
      <c r="V220" s="207">
        <v>2651</v>
      </c>
      <c r="W220" s="207">
        <v>891</v>
      </c>
      <c r="X220" s="207">
        <v>536</v>
      </c>
      <c r="Y220" s="207">
        <v>280</v>
      </c>
      <c r="Z220" s="207">
        <v>6</v>
      </c>
      <c r="AA220" s="207">
        <v>0</v>
      </c>
      <c r="AB220" s="207">
        <v>5073</v>
      </c>
      <c r="AC220" s="207">
        <v>139</v>
      </c>
      <c r="AD220" s="207">
        <v>1707</v>
      </c>
      <c r="AE220" s="207">
        <v>1.255148336102389</v>
      </c>
      <c r="AF220" s="207">
        <v>7422852.696833885</v>
      </c>
      <c r="AG220" s="207">
        <v>3122754.552635117</v>
      </c>
      <c r="AH220" s="207">
        <v>1459309.791053865</v>
      </c>
      <c r="AI220" s="207">
        <v>250171.98719513282</v>
      </c>
      <c r="AJ220" s="207">
        <v>249</v>
      </c>
      <c r="AK220" s="207">
        <v>2195</v>
      </c>
      <c r="AL220" s="207">
        <v>0.9803679135248292</v>
      </c>
      <c r="AM220" s="207">
        <v>139</v>
      </c>
      <c r="AN220" s="207">
        <v>0.026638558834802605</v>
      </c>
      <c r="AO220" s="207">
        <v>0.021697847372352013</v>
      </c>
      <c r="AP220" s="207">
        <v>0</v>
      </c>
      <c r="AQ220" s="207">
        <v>6</v>
      </c>
      <c r="AR220" s="207">
        <v>0</v>
      </c>
      <c r="AS220" s="207">
        <v>3</v>
      </c>
      <c r="AT220" s="207">
        <v>349</v>
      </c>
      <c r="AU220" s="207">
        <v>942.47</v>
      </c>
      <c r="AV220" s="207">
        <v>5.536515751164493</v>
      </c>
      <c r="AW220" s="207">
        <v>3.275676027235089</v>
      </c>
      <c r="AX220" s="207">
        <v>187</v>
      </c>
      <c r="AY220" s="207">
        <v>1428</v>
      </c>
      <c r="AZ220" s="207">
        <v>0.13095238095238096</v>
      </c>
      <c r="BA220" s="207">
        <v>0.06976854486814646</v>
      </c>
      <c r="BB220" s="207">
        <v>0</v>
      </c>
      <c r="BC220" s="207">
        <v>982</v>
      </c>
      <c r="BD220" s="207">
        <v>1827</v>
      </c>
      <c r="BE220" s="207">
        <v>0.5374931581828134</v>
      </c>
      <c r="BF220" s="207">
        <v>0.1285862755917203</v>
      </c>
      <c r="BG220" s="207">
        <v>0</v>
      </c>
      <c r="BH220" s="207">
        <v>0</v>
      </c>
      <c r="BI220" s="207">
        <v>0</v>
      </c>
      <c r="BJ220" s="207">
        <v>-1252.32</v>
      </c>
      <c r="BK220" s="207">
        <v>-21393.8</v>
      </c>
      <c r="BL220" s="207">
        <v>-1461.0400000000002</v>
      </c>
      <c r="BM220" s="207">
        <v>-2035.02</v>
      </c>
      <c r="BN220" s="207">
        <v>-104.36</v>
      </c>
      <c r="BO220" s="207">
        <v>56412</v>
      </c>
      <c r="BP220" s="207">
        <v>-82279.05039436604</v>
      </c>
      <c r="BQ220" s="207">
        <v>-473220.42</v>
      </c>
      <c r="BR220" s="207">
        <v>-18757.48855673708</v>
      </c>
      <c r="BS220" s="207">
        <v>450007</v>
      </c>
      <c r="BT220" s="207">
        <v>136482</v>
      </c>
      <c r="BU220" s="207">
        <v>271197.13744083105</v>
      </c>
      <c r="BV220" s="207">
        <v>13584.735741688815</v>
      </c>
      <c r="BW220" s="207">
        <v>29722.57333317358</v>
      </c>
      <c r="BX220" s="207">
        <v>156223.5218588037</v>
      </c>
      <c r="BY220" s="207">
        <v>258715.99132247956</v>
      </c>
      <c r="BZ220" s="207">
        <v>425231.14270262397</v>
      </c>
      <c r="CA220" s="207">
        <v>110087.1294553271</v>
      </c>
      <c r="CB220" s="207">
        <v>194251.75467668803</v>
      </c>
      <c r="CC220" s="207">
        <v>469.62</v>
      </c>
      <c r="CD220" s="207">
        <v>-18445.65828347118</v>
      </c>
      <c r="CE220" s="207">
        <v>225521.96</v>
      </c>
      <c r="CF220" s="207">
        <v>2290703.419691408</v>
      </c>
      <c r="CG220" s="207">
        <v>1426820.149297042</v>
      </c>
      <c r="CH220" s="207">
        <v>0</v>
      </c>
      <c r="CI220" s="207">
        <v>890734.7835487013</v>
      </c>
      <c r="CJ220" s="207">
        <v>-1077706</v>
      </c>
      <c r="CK220" s="207">
        <v>0</v>
      </c>
      <c r="CL220" s="207">
        <v>0</v>
      </c>
      <c r="CM220" s="207">
        <v>-181227.46785999998</v>
      </c>
      <c r="CN220" s="207">
        <v>11408534.405062057</v>
      </c>
      <c r="CO220" s="207">
        <v>11227306.937202057</v>
      </c>
      <c r="CP220" s="207">
        <v>5245</v>
      </c>
    </row>
    <row r="221" spans="1:94" ht="9.75">
      <c r="A221" s="175">
        <v>702</v>
      </c>
      <c r="B221" s="175" t="s">
        <v>277</v>
      </c>
      <c r="C221" s="207">
        <v>4459</v>
      </c>
      <c r="D221" s="207">
        <v>16600058.25</v>
      </c>
      <c r="E221" s="207">
        <v>7271743.111118591</v>
      </c>
      <c r="F221" s="207">
        <v>1036312.2846195736</v>
      </c>
      <c r="G221" s="207">
        <v>24908113.645738166</v>
      </c>
      <c r="H221" s="207">
        <v>3524.51</v>
      </c>
      <c r="I221" s="207">
        <v>15715790.090000002</v>
      </c>
      <c r="J221" s="207">
        <v>9192323.555738164</v>
      </c>
      <c r="K221" s="207">
        <v>435695.15327045845</v>
      </c>
      <c r="L221" s="207">
        <v>1548877.686022896</v>
      </c>
      <c r="M221" s="207">
        <v>0</v>
      </c>
      <c r="N221" s="207">
        <v>11176896.39503152</v>
      </c>
      <c r="O221" s="207">
        <v>2772836.1126221614</v>
      </c>
      <c r="P221" s="207">
        <v>13949732.50765368</v>
      </c>
      <c r="Q221" s="207">
        <v>188</v>
      </c>
      <c r="R221" s="207">
        <v>34</v>
      </c>
      <c r="S221" s="207">
        <v>228</v>
      </c>
      <c r="T221" s="207">
        <v>142</v>
      </c>
      <c r="U221" s="207">
        <v>129</v>
      </c>
      <c r="V221" s="207">
        <v>2187</v>
      </c>
      <c r="W221" s="207">
        <v>810</v>
      </c>
      <c r="X221" s="207">
        <v>517</v>
      </c>
      <c r="Y221" s="207">
        <v>224</v>
      </c>
      <c r="Z221" s="207">
        <v>12</v>
      </c>
      <c r="AA221" s="207">
        <v>1</v>
      </c>
      <c r="AB221" s="207">
        <v>4398</v>
      </c>
      <c r="AC221" s="207">
        <v>48</v>
      </c>
      <c r="AD221" s="207">
        <v>1551</v>
      </c>
      <c r="AE221" s="207">
        <v>1.438895793659746</v>
      </c>
      <c r="AF221" s="207">
        <v>7271743.111118591</v>
      </c>
      <c r="AG221" s="207">
        <v>90892470.13254118</v>
      </c>
      <c r="AH221" s="207">
        <v>16399211.932385245</v>
      </c>
      <c r="AI221" s="207">
        <v>10650178.883449942</v>
      </c>
      <c r="AJ221" s="207">
        <v>169</v>
      </c>
      <c r="AK221" s="207">
        <v>1826</v>
      </c>
      <c r="AL221" s="207">
        <v>0.7998530361569015</v>
      </c>
      <c r="AM221" s="207">
        <v>48</v>
      </c>
      <c r="AN221" s="207">
        <v>0.01076474545862301</v>
      </c>
      <c r="AO221" s="207">
        <v>0.005824033996172417</v>
      </c>
      <c r="AP221" s="207">
        <v>0</v>
      </c>
      <c r="AQ221" s="207">
        <v>12</v>
      </c>
      <c r="AR221" s="207">
        <v>1</v>
      </c>
      <c r="AS221" s="207">
        <v>0</v>
      </c>
      <c r="AT221" s="207">
        <v>0</v>
      </c>
      <c r="AU221" s="207">
        <v>776.93</v>
      </c>
      <c r="AV221" s="207">
        <v>5.739255788809803</v>
      </c>
      <c r="AW221" s="207">
        <v>3.159962299617243</v>
      </c>
      <c r="AX221" s="207">
        <v>152</v>
      </c>
      <c r="AY221" s="207">
        <v>1108</v>
      </c>
      <c r="AZ221" s="207">
        <v>0.1371841155234657</v>
      </c>
      <c r="BA221" s="207">
        <v>0.07600027943923121</v>
      </c>
      <c r="BB221" s="207">
        <v>0.27965</v>
      </c>
      <c r="BC221" s="207">
        <v>1596</v>
      </c>
      <c r="BD221" s="207">
        <v>1571</v>
      </c>
      <c r="BE221" s="207">
        <v>1.0159134309357098</v>
      </c>
      <c r="BF221" s="207">
        <v>0.6070065483446168</v>
      </c>
      <c r="BG221" s="207">
        <v>0</v>
      </c>
      <c r="BH221" s="207">
        <v>1</v>
      </c>
      <c r="BI221" s="207">
        <v>0</v>
      </c>
      <c r="BJ221" s="207">
        <v>-1070.1599999999999</v>
      </c>
      <c r="BK221" s="207">
        <v>-18281.899999999998</v>
      </c>
      <c r="BL221" s="207">
        <v>-1248.5200000000002</v>
      </c>
      <c r="BM221" s="207">
        <v>-1739.01</v>
      </c>
      <c r="BN221" s="207">
        <v>-89.18</v>
      </c>
      <c r="BO221" s="207">
        <v>-29452</v>
      </c>
      <c r="BP221" s="207">
        <v>-102791.40610193886</v>
      </c>
      <c r="BQ221" s="207">
        <v>-404386.70999999996</v>
      </c>
      <c r="BR221" s="207">
        <v>-42497.95249035582</v>
      </c>
      <c r="BS221" s="207">
        <v>482033</v>
      </c>
      <c r="BT221" s="207">
        <v>141231</v>
      </c>
      <c r="BU221" s="207">
        <v>359715.4068817046</v>
      </c>
      <c r="BV221" s="207">
        <v>16850.194763104068</v>
      </c>
      <c r="BW221" s="207">
        <v>65127.400944814086</v>
      </c>
      <c r="BX221" s="207">
        <v>181748.09925467972</v>
      </c>
      <c r="BY221" s="207">
        <v>240034.11603973378</v>
      </c>
      <c r="BZ221" s="207">
        <v>413638.0373383276</v>
      </c>
      <c r="CA221" s="207">
        <v>119454.53586719323</v>
      </c>
      <c r="CB221" s="207">
        <v>216746.83981150473</v>
      </c>
      <c r="CC221" s="207">
        <v>401.31</v>
      </c>
      <c r="CD221" s="207">
        <v>-38165.26628587129</v>
      </c>
      <c r="CE221" s="207">
        <v>192717.97999999998</v>
      </c>
      <c r="CF221" s="207">
        <v>2319582.702124835</v>
      </c>
      <c r="CG221" s="207">
        <v>1548877.686022896</v>
      </c>
      <c r="CH221" s="207">
        <v>0</v>
      </c>
      <c r="CI221" s="207">
        <v>2772836.1126221614</v>
      </c>
      <c r="CJ221" s="207">
        <v>-698218</v>
      </c>
      <c r="CK221" s="207">
        <v>0</v>
      </c>
      <c r="CL221" s="207">
        <v>0</v>
      </c>
      <c r="CM221" s="207">
        <v>-49237.268200000006</v>
      </c>
      <c r="CN221" s="207">
        <v>13251514.50765368</v>
      </c>
      <c r="CO221" s="207">
        <v>13202277.239453679</v>
      </c>
      <c r="CP221" s="207">
        <v>4565</v>
      </c>
    </row>
    <row r="222" spans="1:94" ht="9.75">
      <c r="A222" s="175">
        <v>704</v>
      </c>
      <c r="B222" s="175" t="s">
        <v>278</v>
      </c>
      <c r="C222" s="207">
        <v>6263</v>
      </c>
      <c r="D222" s="207">
        <v>21554057.82</v>
      </c>
      <c r="E222" s="207">
        <v>4681807.449664088</v>
      </c>
      <c r="F222" s="207">
        <v>622505.7628288764</v>
      </c>
      <c r="G222" s="207">
        <v>26858371.03249296</v>
      </c>
      <c r="H222" s="207">
        <v>3524.51</v>
      </c>
      <c r="I222" s="207">
        <v>22074006.130000003</v>
      </c>
      <c r="J222" s="207">
        <v>4784364.902492959</v>
      </c>
      <c r="K222" s="207">
        <v>83233.35170721516</v>
      </c>
      <c r="L222" s="207">
        <v>1183401.4681963956</v>
      </c>
      <c r="M222" s="207">
        <v>0</v>
      </c>
      <c r="N222" s="207">
        <v>6050999.72239657</v>
      </c>
      <c r="O222" s="207">
        <v>-57030.378942580624</v>
      </c>
      <c r="P222" s="207">
        <v>5993969.343453989</v>
      </c>
      <c r="Q222" s="207">
        <v>480</v>
      </c>
      <c r="R222" s="207">
        <v>100</v>
      </c>
      <c r="S222" s="207">
        <v>481</v>
      </c>
      <c r="T222" s="207">
        <v>258</v>
      </c>
      <c r="U222" s="207">
        <v>284</v>
      </c>
      <c r="V222" s="207">
        <v>3513</v>
      </c>
      <c r="W222" s="207">
        <v>710</v>
      </c>
      <c r="X222" s="207">
        <v>316</v>
      </c>
      <c r="Y222" s="207">
        <v>121</v>
      </c>
      <c r="Z222" s="207">
        <v>98</v>
      </c>
      <c r="AA222" s="207">
        <v>0</v>
      </c>
      <c r="AB222" s="207">
        <v>6042</v>
      </c>
      <c r="AC222" s="207">
        <v>123</v>
      </c>
      <c r="AD222" s="207">
        <v>1147</v>
      </c>
      <c r="AE222" s="207">
        <v>0.6595677674188397</v>
      </c>
      <c r="AF222" s="207">
        <v>4681807.449664088</v>
      </c>
      <c r="AG222" s="207">
        <v>8941850.766502284</v>
      </c>
      <c r="AH222" s="207">
        <v>2493221.355249382</v>
      </c>
      <c r="AI222" s="207">
        <v>902406.0966681577</v>
      </c>
      <c r="AJ222" s="207">
        <v>183</v>
      </c>
      <c r="AK222" s="207">
        <v>3037</v>
      </c>
      <c r="AL222" s="207">
        <v>0.5207515413570265</v>
      </c>
      <c r="AM222" s="207">
        <v>123</v>
      </c>
      <c r="AN222" s="207">
        <v>0.01963915056682101</v>
      </c>
      <c r="AO222" s="207">
        <v>0.01469843910437042</v>
      </c>
      <c r="AP222" s="207">
        <v>0</v>
      </c>
      <c r="AQ222" s="207">
        <v>98</v>
      </c>
      <c r="AR222" s="207">
        <v>0</v>
      </c>
      <c r="AS222" s="207">
        <v>0</v>
      </c>
      <c r="AT222" s="207">
        <v>0</v>
      </c>
      <c r="AU222" s="207">
        <v>127.14</v>
      </c>
      <c r="AV222" s="207">
        <v>49.260657542866134</v>
      </c>
      <c r="AW222" s="207">
        <v>0.36816057326716317</v>
      </c>
      <c r="AX222" s="207">
        <v>202</v>
      </c>
      <c r="AY222" s="207">
        <v>2236</v>
      </c>
      <c r="AZ222" s="207">
        <v>0.09033989266547406</v>
      </c>
      <c r="BA222" s="207">
        <v>0.029156056581239563</v>
      </c>
      <c r="BB222" s="207">
        <v>0</v>
      </c>
      <c r="BC222" s="207">
        <v>1727</v>
      </c>
      <c r="BD222" s="207">
        <v>2800</v>
      </c>
      <c r="BE222" s="207">
        <v>0.6167857142857143</v>
      </c>
      <c r="BF222" s="207">
        <v>0.20787883169462118</v>
      </c>
      <c r="BG222" s="207">
        <v>0</v>
      </c>
      <c r="BH222" s="207">
        <v>0</v>
      </c>
      <c r="BI222" s="207">
        <v>0</v>
      </c>
      <c r="BJ222" s="207">
        <v>-1503.12</v>
      </c>
      <c r="BK222" s="207">
        <v>-25678.3</v>
      </c>
      <c r="BL222" s="207">
        <v>-1753.64</v>
      </c>
      <c r="BM222" s="207">
        <v>-2442.57</v>
      </c>
      <c r="BN222" s="207">
        <v>-125.26</v>
      </c>
      <c r="BO222" s="207">
        <v>39883</v>
      </c>
      <c r="BP222" s="207">
        <v>-30244.43206720127</v>
      </c>
      <c r="BQ222" s="207">
        <v>-567991.47</v>
      </c>
      <c r="BR222" s="207">
        <v>-138690.0078582205</v>
      </c>
      <c r="BS222" s="207">
        <v>387043</v>
      </c>
      <c r="BT222" s="207">
        <v>126882</v>
      </c>
      <c r="BU222" s="207">
        <v>241368.28376477773</v>
      </c>
      <c r="BV222" s="207">
        <v>4103.035289727531</v>
      </c>
      <c r="BW222" s="207">
        <v>27149.87359443658</v>
      </c>
      <c r="BX222" s="207">
        <v>119934.73479326064</v>
      </c>
      <c r="BY222" s="207">
        <v>275731.56641233416</v>
      </c>
      <c r="BZ222" s="207">
        <v>473017.7979280093</v>
      </c>
      <c r="CA222" s="207">
        <v>126067.88854329768</v>
      </c>
      <c r="CB222" s="207">
        <v>214989.74805185717</v>
      </c>
      <c r="CC222" s="207">
        <v>563.67</v>
      </c>
      <c r="CD222" s="207">
        <v>-16950.780255883357</v>
      </c>
      <c r="CE222" s="207">
        <v>270686.86</v>
      </c>
      <c r="CF222" s="207">
        <v>2151780.670263597</v>
      </c>
      <c r="CG222" s="207">
        <v>1183401.4681963956</v>
      </c>
      <c r="CH222" s="207">
        <v>0</v>
      </c>
      <c r="CI222" s="207">
        <v>-57030.378942580624</v>
      </c>
      <c r="CJ222" s="207">
        <v>-1198373</v>
      </c>
      <c r="CK222" s="207">
        <v>0</v>
      </c>
      <c r="CL222" s="207">
        <v>0</v>
      </c>
      <c r="CM222" s="207">
        <v>-11669.10056000005</v>
      </c>
      <c r="CN222" s="207">
        <v>4795596.343453989</v>
      </c>
      <c r="CO222" s="207">
        <v>4783927.242893989</v>
      </c>
      <c r="CP222" s="207">
        <v>6137</v>
      </c>
    </row>
    <row r="223" spans="1:94" ht="9.75">
      <c r="A223" s="175">
        <v>707</v>
      </c>
      <c r="B223" s="175" t="s">
        <v>279</v>
      </c>
      <c r="C223" s="207">
        <v>2240</v>
      </c>
      <c r="D223" s="207">
        <v>7839216.700000001</v>
      </c>
      <c r="E223" s="207">
        <v>4436355.742177535</v>
      </c>
      <c r="F223" s="207">
        <v>895034.6497517087</v>
      </c>
      <c r="G223" s="207">
        <v>13170607.091929244</v>
      </c>
      <c r="H223" s="207">
        <v>3524.51</v>
      </c>
      <c r="I223" s="207">
        <v>7894902.4</v>
      </c>
      <c r="J223" s="207">
        <v>5275704.6919292435</v>
      </c>
      <c r="K223" s="207">
        <v>227249.26807008314</v>
      </c>
      <c r="L223" s="207">
        <v>1384180.3370673172</v>
      </c>
      <c r="M223" s="207">
        <v>0</v>
      </c>
      <c r="N223" s="207">
        <v>6887134.297066644</v>
      </c>
      <c r="O223" s="207">
        <v>2713632.6811073082</v>
      </c>
      <c r="P223" s="207">
        <v>9600766.978173953</v>
      </c>
      <c r="Q223" s="207">
        <v>74</v>
      </c>
      <c r="R223" s="207">
        <v>15</v>
      </c>
      <c r="S223" s="207">
        <v>86</v>
      </c>
      <c r="T223" s="207">
        <v>57</v>
      </c>
      <c r="U223" s="207">
        <v>59</v>
      </c>
      <c r="V223" s="207">
        <v>1118</v>
      </c>
      <c r="W223" s="207">
        <v>472</v>
      </c>
      <c r="X223" s="207">
        <v>245</v>
      </c>
      <c r="Y223" s="207">
        <v>114</v>
      </c>
      <c r="Z223" s="207">
        <v>3</v>
      </c>
      <c r="AA223" s="207">
        <v>0</v>
      </c>
      <c r="AB223" s="207">
        <v>2168</v>
      </c>
      <c r="AC223" s="207">
        <v>69</v>
      </c>
      <c r="AD223" s="207">
        <v>831</v>
      </c>
      <c r="AE223" s="207">
        <v>1.7474575437229296</v>
      </c>
      <c r="AF223" s="207">
        <v>4436355.742177535</v>
      </c>
      <c r="AG223" s="207">
        <v>8955334.965731941</v>
      </c>
      <c r="AH223" s="207">
        <v>2707216.8245959356</v>
      </c>
      <c r="AI223" s="207">
        <v>768385.3892421938</v>
      </c>
      <c r="AJ223" s="207">
        <v>148</v>
      </c>
      <c r="AK223" s="207">
        <v>906</v>
      </c>
      <c r="AL223" s="207">
        <v>1.4117499596074188</v>
      </c>
      <c r="AM223" s="207">
        <v>69</v>
      </c>
      <c r="AN223" s="207">
        <v>0.03080357142857143</v>
      </c>
      <c r="AO223" s="207">
        <v>0.025862859966120838</v>
      </c>
      <c r="AP223" s="207">
        <v>0</v>
      </c>
      <c r="AQ223" s="207">
        <v>3</v>
      </c>
      <c r="AR223" s="207">
        <v>0</v>
      </c>
      <c r="AS223" s="207">
        <v>3</v>
      </c>
      <c r="AT223" s="207">
        <v>394</v>
      </c>
      <c r="AU223" s="207">
        <v>427.61</v>
      </c>
      <c r="AV223" s="207">
        <v>5.238418184794556</v>
      </c>
      <c r="AW223" s="207">
        <v>3.4620817355020437</v>
      </c>
      <c r="AX223" s="207">
        <v>92</v>
      </c>
      <c r="AY223" s="207">
        <v>521</v>
      </c>
      <c r="AZ223" s="207">
        <v>0.1765834932821497</v>
      </c>
      <c r="BA223" s="207">
        <v>0.1153996571979152</v>
      </c>
      <c r="BB223" s="207">
        <v>0.358666</v>
      </c>
      <c r="BC223" s="207">
        <v>556</v>
      </c>
      <c r="BD223" s="207">
        <v>683</v>
      </c>
      <c r="BE223" s="207">
        <v>0.8140556368960469</v>
      </c>
      <c r="BF223" s="207">
        <v>0.4051487543049538</v>
      </c>
      <c r="BG223" s="207">
        <v>0</v>
      </c>
      <c r="BH223" s="207">
        <v>0</v>
      </c>
      <c r="BI223" s="207">
        <v>0</v>
      </c>
      <c r="BJ223" s="207">
        <v>-537.6</v>
      </c>
      <c r="BK223" s="207">
        <v>-9184</v>
      </c>
      <c r="BL223" s="207">
        <v>-627.2</v>
      </c>
      <c r="BM223" s="207">
        <v>-873.6</v>
      </c>
      <c r="BN223" s="207">
        <v>-44.800000000000004</v>
      </c>
      <c r="BO223" s="207">
        <v>200161</v>
      </c>
      <c r="BP223" s="207">
        <v>-83522.08355068517</v>
      </c>
      <c r="BQ223" s="207">
        <v>-203145.6</v>
      </c>
      <c r="BR223" s="207">
        <v>152966.38367605582</v>
      </c>
      <c r="BS223" s="207">
        <v>302843</v>
      </c>
      <c r="BT223" s="207">
        <v>87748</v>
      </c>
      <c r="BU223" s="207">
        <v>236964.1114700343</v>
      </c>
      <c r="BV223" s="207">
        <v>12584.419830805715</v>
      </c>
      <c r="BW223" s="207">
        <v>39572.3615710929</v>
      </c>
      <c r="BX223" s="207">
        <v>110909.52963556179</v>
      </c>
      <c r="BY223" s="207">
        <v>139255.8619116213</v>
      </c>
      <c r="BZ223" s="207">
        <v>209563.8503822768</v>
      </c>
      <c r="CA223" s="207">
        <v>68562.92220370976</v>
      </c>
      <c r="CB223" s="207">
        <v>114765.60193857328</v>
      </c>
      <c r="CC223" s="207">
        <v>201.6</v>
      </c>
      <c r="CD223" s="207">
        <v>30320.577998270594</v>
      </c>
      <c r="CE223" s="207">
        <v>96812.8</v>
      </c>
      <c r="CF223" s="207">
        <v>1803232.0206180024</v>
      </c>
      <c r="CG223" s="207">
        <v>1384180.3370673172</v>
      </c>
      <c r="CH223" s="207">
        <v>0</v>
      </c>
      <c r="CI223" s="207">
        <v>2713632.6811073082</v>
      </c>
      <c r="CJ223" s="207">
        <v>-526968</v>
      </c>
      <c r="CK223" s="207">
        <v>0</v>
      </c>
      <c r="CL223" s="207">
        <v>0</v>
      </c>
      <c r="CM223" s="207">
        <v>-50689.30560000001</v>
      </c>
      <c r="CN223" s="207">
        <v>9073798.978173953</v>
      </c>
      <c r="CO223" s="207">
        <v>9023109.672573952</v>
      </c>
      <c r="CP223" s="207">
        <v>2268</v>
      </c>
    </row>
    <row r="224" spans="1:94" ht="9.75">
      <c r="A224" s="175">
        <v>729</v>
      </c>
      <c r="B224" s="175" t="s">
        <v>280</v>
      </c>
      <c r="C224" s="207">
        <v>9589</v>
      </c>
      <c r="D224" s="207">
        <v>34773649.17</v>
      </c>
      <c r="E224" s="207">
        <v>14048098.436018884</v>
      </c>
      <c r="F224" s="207">
        <v>2643257.5417030333</v>
      </c>
      <c r="G224" s="207">
        <v>51465005.14772192</v>
      </c>
      <c r="H224" s="207">
        <v>3524.51</v>
      </c>
      <c r="I224" s="207">
        <v>33796526.39</v>
      </c>
      <c r="J224" s="207">
        <v>17668478.757721916</v>
      </c>
      <c r="K224" s="207">
        <v>513603.6170650702</v>
      </c>
      <c r="L224" s="207">
        <v>3854191.8052070998</v>
      </c>
      <c r="M224" s="207">
        <v>0</v>
      </c>
      <c r="N224" s="207">
        <v>22036274.179994088</v>
      </c>
      <c r="O224" s="207">
        <v>8532970.032050889</v>
      </c>
      <c r="P224" s="207">
        <v>30569244.212044977</v>
      </c>
      <c r="Q224" s="207">
        <v>476</v>
      </c>
      <c r="R224" s="207">
        <v>86</v>
      </c>
      <c r="S224" s="207">
        <v>604</v>
      </c>
      <c r="T224" s="207">
        <v>312</v>
      </c>
      <c r="U224" s="207">
        <v>259</v>
      </c>
      <c r="V224" s="207">
        <v>5020</v>
      </c>
      <c r="W224" s="207">
        <v>1485</v>
      </c>
      <c r="X224" s="207">
        <v>934</v>
      </c>
      <c r="Y224" s="207">
        <v>413</v>
      </c>
      <c r="Z224" s="207">
        <v>14</v>
      </c>
      <c r="AA224" s="207">
        <v>0</v>
      </c>
      <c r="AB224" s="207">
        <v>9436</v>
      </c>
      <c r="AC224" s="207">
        <v>139</v>
      </c>
      <c r="AD224" s="207">
        <v>2832</v>
      </c>
      <c r="AE224" s="207">
        <v>1.2926248783919434</v>
      </c>
      <c r="AF224" s="207">
        <v>14048098.436018884</v>
      </c>
      <c r="AG224" s="207">
        <v>5425198.177256804</v>
      </c>
      <c r="AH224" s="207">
        <v>1731080.1674048307</v>
      </c>
      <c r="AI224" s="207">
        <v>509278.68821866316</v>
      </c>
      <c r="AJ224" s="207">
        <v>720</v>
      </c>
      <c r="AK224" s="207">
        <v>4266</v>
      </c>
      <c r="AL224" s="207">
        <v>1.4585990003470422</v>
      </c>
      <c r="AM224" s="207">
        <v>139</v>
      </c>
      <c r="AN224" s="207">
        <v>0.01449577641047033</v>
      </c>
      <c r="AO224" s="207">
        <v>0.009555064948019738</v>
      </c>
      <c r="AP224" s="207">
        <v>0</v>
      </c>
      <c r="AQ224" s="207">
        <v>14</v>
      </c>
      <c r="AR224" s="207">
        <v>0</v>
      </c>
      <c r="AS224" s="207">
        <v>0</v>
      </c>
      <c r="AT224" s="207">
        <v>0</v>
      </c>
      <c r="AU224" s="207">
        <v>1251.73</v>
      </c>
      <c r="AV224" s="207">
        <v>7.660597732737891</v>
      </c>
      <c r="AW224" s="207">
        <v>2.3674173417297126</v>
      </c>
      <c r="AX224" s="207">
        <v>391</v>
      </c>
      <c r="AY224" s="207">
        <v>2459</v>
      </c>
      <c r="AZ224" s="207">
        <v>0.15900772671817812</v>
      </c>
      <c r="BA224" s="207">
        <v>0.09782389063394362</v>
      </c>
      <c r="BB224" s="207">
        <v>0.098</v>
      </c>
      <c r="BC224" s="207">
        <v>3020</v>
      </c>
      <c r="BD224" s="207">
        <v>3269</v>
      </c>
      <c r="BE224" s="207">
        <v>0.9238299174059346</v>
      </c>
      <c r="BF224" s="207">
        <v>0.5149230348148415</v>
      </c>
      <c r="BG224" s="207">
        <v>0</v>
      </c>
      <c r="BH224" s="207">
        <v>0</v>
      </c>
      <c r="BI224" s="207">
        <v>0</v>
      </c>
      <c r="BJ224" s="207">
        <v>-2301.36</v>
      </c>
      <c r="BK224" s="207">
        <v>-39314.899999999994</v>
      </c>
      <c r="BL224" s="207">
        <v>-2684.92</v>
      </c>
      <c r="BM224" s="207">
        <v>-3739.71</v>
      </c>
      <c r="BN224" s="207">
        <v>-191.78</v>
      </c>
      <c r="BO224" s="207">
        <v>321957</v>
      </c>
      <c r="BP224" s="207">
        <v>-428030.4633043954</v>
      </c>
      <c r="BQ224" s="207">
        <v>-869626.41</v>
      </c>
      <c r="BR224" s="207">
        <v>251383.7136722952</v>
      </c>
      <c r="BS224" s="207">
        <v>954489</v>
      </c>
      <c r="BT224" s="207">
        <v>293114</v>
      </c>
      <c r="BU224" s="207">
        <v>743309.2555429272</v>
      </c>
      <c r="BV224" s="207">
        <v>41048.66335412597</v>
      </c>
      <c r="BW224" s="207">
        <v>106843.04163109911</v>
      </c>
      <c r="BX224" s="207">
        <v>374059.29699343286</v>
      </c>
      <c r="BY224" s="207">
        <v>564756.2980729024</v>
      </c>
      <c r="BZ224" s="207">
        <v>868628.6008690046</v>
      </c>
      <c r="CA224" s="207">
        <v>262472.32790500263</v>
      </c>
      <c r="CB224" s="207">
        <v>452921.7387245435</v>
      </c>
      <c r="CC224" s="207">
        <v>863.01</v>
      </c>
      <c r="CD224" s="207">
        <v>68276.05174616053</v>
      </c>
      <c r="CE224" s="207">
        <v>414436.58</v>
      </c>
      <c r="CF224" s="207">
        <v>5718558.578511495</v>
      </c>
      <c r="CG224" s="207">
        <v>3854191.8052070998</v>
      </c>
      <c r="CH224" s="207">
        <v>0</v>
      </c>
      <c r="CI224" s="207">
        <v>8532970.032050889</v>
      </c>
      <c r="CJ224" s="207">
        <v>-132096</v>
      </c>
      <c r="CK224" s="207">
        <v>0</v>
      </c>
      <c r="CL224" s="207">
        <v>0</v>
      </c>
      <c r="CM224" s="207">
        <v>-111569.27368000001</v>
      </c>
      <c r="CN224" s="207">
        <v>30437148.212044977</v>
      </c>
      <c r="CO224" s="207">
        <v>30325578.938364975</v>
      </c>
      <c r="CP224" s="207">
        <v>9690</v>
      </c>
    </row>
    <row r="225" spans="1:94" ht="9.75">
      <c r="A225" s="175">
        <v>732</v>
      </c>
      <c r="B225" s="175" t="s">
        <v>281</v>
      </c>
      <c r="C225" s="207">
        <v>3575</v>
      </c>
      <c r="D225" s="207">
        <v>12809855.37</v>
      </c>
      <c r="E225" s="207">
        <v>6922961.422109615</v>
      </c>
      <c r="F225" s="207">
        <v>3514714.7794335578</v>
      </c>
      <c r="G225" s="207">
        <v>23247531.571543172</v>
      </c>
      <c r="H225" s="207">
        <v>3524.51</v>
      </c>
      <c r="I225" s="207">
        <v>12600123.25</v>
      </c>
      <c r="J225" s="207">
        <v>10647408.321543172</v>
      </c>
      <c r="K225" s="207">
        <v>4032563.0284791524</v>
      </c>
      <c r="L225" s="207">
        <v>2195594.011465554</v>
      </c>
      <c r="M225" s="207">
        <v>0</v>
      </c>
      <c r="N225" s="207">
        <v>16875565.361487877</v>
      </c>
      <c r="O225" s="207">
        <v>3002163.360203586</v>
      </c>
      <c r="P225" s="207">
        <v>19877728.721691463</v>
      </c>
      <c r="Q225" s="207">
        <v>125</v>
      </c>
      <c r="R225" s="207">
        <v>18</v>
      </c>
      <c r="S225" s="207">
        <v>160</v>
      </c>
      <c r="T225" s="207">
        <v>78</v>
      </c>
      <c r="U225" s="207">
        <v>66</v>
      </c>
      <c r="V225" s="207">
        <v>1818</v>
      </c>
      <c r="W225" s="207">
        <v>668</v>
      </c>
      <c r="X225" s="207">
        <v>448</v>
      </c>
      <c r="Y225" s="207">
        <v>194</v>
      </c>
      <c r="Z225" s="207">
        <v>11</v>
      </c>
      <c r="AA225" s="207">
        <v>5</v>
      </c>
      <c r="AB225" s="207">
        <v>3499</v>
      </c>
      <c r="AC225" s="207">
        <v>60</v>
      </c>
      <c r="AD225" s="207">
        <v>1310</v>
      </c>
      <c r="AE225" s="207">
        <v>1.7086147555389744</v>
      </c>
      <c r="AF225" s="207">
        <v>6922961.422109615</v>
      </c>
      <c r="AG225" s="207">
        <v>37531109.75539837</v>
      </c>
      <c r="AH225" s="207">
        <v>7186300.6565047065</v>
      </c>
      <c r="AI225" s="207">
        <v>4083164.219577704</v>
      </c>
      <c r="AJ225" s="207">
        <v>293</v>
      </c>
      <c r="AK225" s="207">
        <v>1512</v>
      </c>
      <c r="AL225" s="207">
        <v>1.67471185818616</v>
      </c>
      <c r="AM225" s="207">
        <v>60</v>
      </c>
      <c r="AN225" s="207">
        <v>0.016783216783216783</v>
      </c>
      <c r="AO225" s="207">
        <v>0.011842505320766191</v>
      </c>
      <c r="AP225" s="207">
        <v>0</v>
      </c>
      <c r="AQ225" s="207">
        <v>11</v>
      </c>
      <c r="AR225" s="207">
        <v>5</v>
      </c>
      <c r="AS225" s="207">
        <v>0</v>
      </c>
      <c r="AT225" s="207">
        <v>0</v>
      </c>
      <c r="AU225" s="207">
        <v>5730.05</v>
      </c>
      <c r="AV225" s="207">
        <v>0.6239038053769164</v>
      </c>
      <c r="AW225" s="207">
        <v>29.068314320574913</v>
      </c>
      <c r="AX225" s="207">
        <v>143</v>
      </c>
      <c r="AY225" s="207">
        <v>800</v>
      </c>
      <c r="AZ225" s="207">
        <v>0.17875</v>
      </c>
      <c r="BA225" s="207">
        <v>0.11756616391576549</v>
      </c>
      <c r="BB225" s="207">
        <v>1.729983</v>
      </c>
      <c r="BC225" s="207">
        <v>1093</v>
      </c>
      <c r="BD225" s="207">
        <v>1147</v>
      </c>
      <c r="BE225" s="207">
        <v>0.952920662598082</v>
      </c>
      <c r="BF225" s="207">
        <v>0.5440137800069889</v>
      </c>
      <c r="BG225" s="207">
        <v>0</v>
      </c>
      <c r="BH225" s="207">
        <v>5</v>
      </c>
      <c r="BI225" s="207">
        <v>0</v>
      </c>
      <c r="BJ225" s="207">
        <v>-858</v>
      </c>
      <c r="BK225" s="207">
        <v>-14657.499999999998</v>
      </c>
      <c r="BL225" s="207">
        <v>-1001.0000000000001</v>
      </c>
      <c r="BM225" s="207">
        <v>-1394.25</v>
      </c>
      <c r="BN225" s="207">
        <v>-71.5</v>
      </c>
      <c r="BO225" s="207">
        <v>258365</v>
      </c>
      <c r="BP225" s="207">
        <v>-72337.87451566335</v>
      </c>
      <c r="BQ225" s="207">
        <v>-324216.75</v>
      </c>
      <c r="BR225" s="207">
        <v>501435.70851542056</v>
      </c>
      <c r="BS225" s="207">
        <v>397132</v>
      </c>
      <c r="BT225" s="207">
        <v>120884</v>
      </c>
      <c r="BU225" s="207">
        <v>323961.8783023534</v>
      </c>
      <c r="BV225" s="207">
        <v>18056.029456748154</v>
      </c>
      <c r="BW225" s="207">
        <v>65713.15219817025</v>
      </c>
      <c r="BX225" s="207">
        <v>160800.97622708709</v>
      </c>
      <c r="BY225" s="207">
        <v>206884.00489435552</v>
      </c>
      <c r="BZ225" s="207">
        <v>312809.4833913017</v>
      </c>
      <c r="CA225" s="207">
        <v>103830.8701499441</v>
      </c>
      <c r="CB225" s="207">
        <v>177671.04133237439</v>
      </c>
      <c r="CC225" s="207">
        <v>321.75</v>
      </c>
      <c r="CD225" s="207">
        <v>1053.7415134621988</v>
      </c>
      <c r="CE225" s="207">
        <v>154511.5</v>
      </c>
      <c r="CF225" s="207">
        <v>2803431.1359812175</v>
      </c>
      <c r="CG225" s="207">
        <v>2195594.011465554</v>
      </c>
      <c r="CH225" s="207">
        <v>0</v>
      </c>
      <c r="CI225" s="207">
        <v>3002163.360203586</v>
      </c>
      <c r="CJ225" s="207">
        <v>386529</v>
      </c>
      <c r="CK225" s="207">
        <v>0</v>
      </c>
      <c r="CL225" s="207">
        <v>0</v>
      </c>
      <c r="CM225" s="207">
        <v>-105800.7251</v>
      </c>
      <c r="CN225" s="207">
        <v>20264257.721691463</v>
      </c>
      <c r="CO225" s="207">
        <v>20158456.996591464</v>
      </c>
      <c r="CP225" s="207">
        <v>3653</v>
      </c>
    </row>
    <row r="226" spans="1:94" ht="9.75">
      <c r="A226" s="175">
        <v>734</v>
      </c>
      <c r="B226" s="175" t="s">
        <v>282</v>
      </c>
      <c r="C226" s="207">
        <v>52984</v>
      </c>
      <c r="D226" s="207">
        <v>182642824.65</v>
      </c>
      <c r="E226" s="207">
        <v>61099656.67614165</v>
      </c>
      <c r="F226" s="207">
        <v>14644074.781782595</v>
      </c>
      <c r="G226" s="207">
        <v>258386556.10792425</v>
      </c>
      <c r="H226" s="207">
        <v>3524.51</v>
      </c>
      <c r="I226" s="207">
        <v>186742637.84</v>
      </c>
      <c r="J226" s="207">
        <v>71643918.26792425</v>
      </c>
      <c r="K226" s="207">
        <v>1709693.6310112223</v>
      </c>
      <c r="L226" s="207">
        <v>14030229.622660216</v>
      </c>
      <c r="M226" s="207">
        <v>0</v>
      </c>
      <c r="N226" s="207">
        <v>87383841.52159569</v>
      </c>
      <c r="O226" s="207">
        <v>25614527.51864968</v>
      </c>
      <c r="P226" s="207">
        <v>112998369.04024537</v>
      </c>
      <c r="Q226" s="207">
        <v>2613</v>
      </c>
      <c r="R226" s="207">
        <v>559</v>
      </c>
      <c r="S226" s="207">
        <v>3629</v>
      </c>
      <c r="T226" s="207">
        <v>1832</v>
      </c>
      <c r="U226" s="207">
        <v>1867</v>
      </c>
      <c r="V226" s="207">
        <v>28934</v>
      </c>
      <c r="W226" s="207">
        <v>7705</v>
      </c>
      <c r="X226" s="207">
        <v>4070</v>
      </c>
      <c r="Y226" s="207">
        <v>1775</v>
      </c>
      <c r="Z226" s="207">
        <v>593</v>
      </c>
      <c r="AA226" s="207">
        <v>1</v>
      </c>
      <c r="AB226" s="207">
        <v>49236</v>
      </c>
      <c r="AC226" s="207">
        <v>3154</v>
      </c>
      <c r="AD226" s="207">
        <v>13550</v>
      </c>
      <c r="AE226" s="207">
        <v>1.017471644933238</v>
      </c>
      <c r="AF226" s="207">
        <v>61099656.67614165</v>
      </c>
      <c r="AG226" s="207">
        <v>18271388.867014065</v>
      </c>
      <c r="AH226" s="207">
        <v>4193227.677828664</v>
      </c>
      <c r="AI226" s="207">
        <v>1760138.6241943275</v>
      </c>
      <c r="AJ226" s="207">
        <v>3464</v>
      </c>
      <c r="AK226" s="207">
        <v>24670</v>
      </c>
      <c r="AL226" s="207">
        <v>1.2134810540301082</v>
      </c>
      <c r="AM226" s="207">
        <v>3154</v>
      </c>
      <c r="AN226" s="207">
        <v>0.05952740449947154</v>
      </c>
      <c r="AO226" s="207">
        <v>0.05458669303702095</v>
      </c>
      <c r="AP226" s="207">
        <v>0</v>
      </c>
      <c r="AQ226" s="207">
        <v>593</v>
      </c>
      <c r="AR226" s="207">
        <v>1</v>
      </c>
      <c r="AS226" s="207">
        <v>3</v>
      </c>
      <c r="AT226" s="207">
        <v>611</v>
      </c>
      <c r="AU226" s="207">
        <v>1986.61</v>
      </c>
      <c r="AV226" s="207">
        <v>26.670559395150534</v>
      </c>
      <c r="AW226" s="207">
        <v>0.6799944332549924</v>
      </c>
      <c r="AX226" s="207">
        <v>2522</v>
      </c>
      <c r="AY226" s="207">
        <v>16388</v>
      </c>
      <c r="AZ226" s="207">
        <v>0.15389309250671224</v>
      </c>
      <c r="BA226" s="207">
        <v>0.09270925642247774</v>
      </c>
      <c r="BB226" s="207">
        <v>0</v>
      </c>
      <c r="BC226" s="207">
        <v>18262</v>
      </c>
      <c r="BD226" s="207">
        <v>19988</v>
      </c>
      <c r="BE226" s="207">
        <v>0.913648188913348</v>
      </c>
      <c r="BF226" s="207">
        <v>0.5047413063222549</v>
      </c>
      <c r="BG226" s="207">
        <v>0</v>
      </c>
      <c r="BH226" s="207">
        <v>1</v>
      </c>
      <c r="BI226" s="207">
        <v>0</v>
      </c>
      <c r="BJ226" s="207">
        <v>-12716.16</v>
      </c>
      <c r="BK226" s="207">
        <v>-217234.4</v>
      </c>
      <c r="BL226" s="207">
        <v>-14835.520000000002</v>
      </c>
      <c r="BM226" s="207">
        <v>-20663.760000000002</v>
      </c>
      <c r="BN226" s="207">
        <v>-1059.68</v>
      </c>
      <c r="BO226" s="207">
        <v>-333760</v>
      </c>
      <c r="BP226" s="207">
        <v>-2410444.5642008623</v>
      </c>
      <c r="BQ226" s="207">
        <v>-4805118.96</v>
      </c>
      <c r="BR226" s="207">
        <v>825981.7808151245</v>
      </c>
      <c r="BS226" s="207">
        <v>4035158</v>
      </c>
      <c r="BT226" s="207">
        <v>1360728</v>
      </c>
      <c r="BU226" s="207">
        <v>3108333.4400907625</v>
      </c>
      <c r="BV226" s="207">
        <v>109870.08065928429</v>
      </c>
      <c r="BW226" s="207">
        <v>143591.84511297155</v>
      </c>
      <c r="BX226" s="207">
        <v>1435082.5456556936</v>
      </c>
      <c r="BY226" s="207">
        <v>2764155.9394521797</v>
      </c>
      <c r="BZ226" s="207">
        <v>4385553.091347926</v>
      </c>
      <c r="CA226" s="207">
        <v>1357506.7920240066</v>
      </c>
      <c r="CB226" s="207">
        <v>2418070.2994944337</v>
      </c>
      <c r="CC226" s="207">
        <v>4768.5599999999995</v>
      </c>
      <c r="CD226" s="207">
        <v>472138.69220869715</v>
      </c>
      <c r="CE226" s="207">
        <v>2289968.48</v>
      </c>
      <c r="CF226" s="207">
        <v>24377147.54686108</v>
      </c>
      <c r="CG226" s="207">
        <v>14030229.622660216</v>
      </c>
      <c r="CH226" s="207">
        <v>0</v>
      </c>
      <c r="CI226" s="207">
        <v>25614527.51864968</v>
      </c>
      <c r="CJ226" s="207">
        <v>-2958905</v>
      </c>
      <c r="CK226" s="207">
        <v>0</v>
      </c>
      <c r="CL226" s="207">
        <v>0</v>
      </c>
      <c r="CM226" s="207">
        <v>-591018.82282</v>
      </c>
      <c r="CN226" s="207">
        <v>110039464.04024537</v>
      </c>
      <c r="CO226" s="207">
        <v>109448445.21742538</v>
      </c>
      <c r="CP226" s="207">
        <v>53546</v>
      </c>
    </row>
    <row r="227" spans="1:94" ht="9.75">
      <c r="A227" s="175">
        <v>790</v>
      </c>
      <c r="B227" s="175" t="s">
        <v>283</v>
      </c>
      <c r="C227" s="207">
        <v>24820</v>
      </c>
      <c r="D227" s="207">
        <v>89583952.66</v>
      </c>
      <c r="E227" s="207">
        <v>33784801.28993334</v>
      </c>
      <c r="F227" s="207">
        <v>4541511.559460557</v>
      </c>
      <c r="G227" s="207">
        <v>127910265.50939389</v>
      </c>
      <c r="H227" s="207">
        <v>3524.51</v>
      </c>
      <c r="I227" s="207">
        <v>87478338.2</v>
      </c>
      <c r="J227" s="207">
        <v>40431927.30939388</v>
      </c>
      <c r="K227" s="207">
        <v>750807.1782512568</v>
      </c>
      <c r="L227" s="207">
        <v>7104770.3288673675</v>
      </c>
      <c r="M227" s="207">
        <v>0</v>
      </c>
      <c r="N227" s="207">
        <v>48287504.81651251</v>
      </c>
      <c r="O227" s="207">
        <v>16467740.619504172</v>
      </c>
      <c r="P227" s="207">
        <v>64755245.43601668</v>
      </c>
      <c r="Q227" s="207">
        <v>1358</v>
      </c>
      <c r="R227" s="207">
        <v>244</v>
      </c>
      <c r="S227" s="207">
        <v>1618</v>
      </c>
      <c r="T227" s="207">
        <v>840</v>
      </c>
      <c r="U227" s="207">
        <v>875</v>
      </c>
      <c r="V227" s="207">
        <v>13037</v>
      </c>
      <c r="W227" s="207">
        <v>3766</v>
      </c>
      <c r="X227" s="207">
        <v>2083</v>
      </c>
      <c r="Y227" s="207">
        <v>999</v>
      </c>
      <c r="Z227" s="207">
        <v>34</v>
      </c>
      <c r="AA227" s="207">
        <v>0</v>
      </c>
      <c r="AB227" s="207">
        <v>24127</v>
      </c>
      <c r="AC227" s="207">
        <v>659</v>
      </c>
      <c r="AD227" s="207">
        <v>6848</v>
      </c>
      <c r="AE227" s="207">
        <v>1.2010134718540453</v>
      </c>
      <c r="AF227" s="207">
        <v>33784801.28993334</v>
      </c>
      <c r="AG227" s="207">
        <v>9711745.402814655</v>
      </c>
      <c r="AH227" s="207">
        <v>2397561.897704232</v>
      </c>
      <c r="AI227" s="207">
        <v>964949.093466941</v>
      </c>
      <c r="AJ227" s="207">
        <v>1006</v>
      </c>
      <c r="AK227" s="207">
        <v>10921</v>
      </c>
      <c r="AL227" s="207">
        <v>0.7960857312992</v>
      </c>
      <c r="AM227" s="207">
        <v>659</v>
      </c>
      <c r="AN227" s="207">
        <v>0.02655116841257051</v>
      </c>
      <c r="AO227" s="207">
        <v>0.021610456950119917</v>
      </c>
      <c r="AP227" s="207">
        <v>0</v>
      </c>
      <c r="AQ227" s="207">
        <v>34</v>
      </c>
      <c r="AR227" s="207">
        <v>0</v>
      </c>
      <c r="AS227" s="207">
        <v>0</v>
      </c>
      <c r="AT227" s="207">
        <v>0</v>
      </c>
      <c r="AU227" s="207">
        <v>1429.04</v>
      </c>
      <c r="AV227" s="207">
        <v>17.36830319655153</v>
      </c>
      <c r="AW227" s="207">
        <v>1.0441913476095848</v>
      </c>
      <c r="AX227" s="207">
        <v>1001</v>
      </c>
      <c r="AY227" s="207">
        <v>7040</v>
      </c>
      <c r="AZ227" s="207">
        <v>0.1421875</v>
      </c>
      <c r="BA227" s="207">
        <v>0.0810036639157655</v>
      </c>
      <c r="BB227" s="207">
        <v>0</v>
      </c>
      <c r="BC227" s="207">
        <v>8236</v>
      </c>
      <c r="BD227" s="207">
        <v>9337</v>
      </c>
      <c r="BE227" s="207">
        <v>0.8820820391988862</v>
      </c>
      <c r="BF227" s="207">
        <v>0.4731751566077931</v>
      </c>
      <c r="BG227" s="207">
        <v>0</v>
      </c>
      <c r="BH227" s="207">
        <v>0</v>
      </c>
      <c r="BI227" s="207">
        <v>0</v>
      </c>
      <c r="BJ227" s="207">
        <v>-5956.8</v>
      </c>
      <c r="BK227" s="207">
        <v>-101761.99999999999</v>
      </c>
      <c r="BL227" s="207">
        <v>-6949.6</v>
      </c>
      <c r="BM227" s="207">
        <v>-9679.800000000001</v>
      </c>
      <c r="BN227" s="207">
        <v>-496.40000000000003</v>
      </c>
      <c r="BO227" s="207">
        <v>109921</v>
      </c>
      <c r="BP227" s="207">
        <v>-1240171.4478758906</v>
      </c>
      <c r="BQ227" s="207">
        <v>-2250925.8</v>
      </c>
      <c r="BR227" s="207">
        <v>314590.4163180054</v>
      </c>
      <c r="BS227" s="207">
        <v>2132215</v>
      </c>
      <c r="BT227" s="207">
        <v>693692</v>
      </c>
      <c r="BU227" s="207">
        <v>1590061.451839151</v>
      </c>
      <c r="BV227" s="207">
        <v>77740.95422471622</v>
      </c>
      <c r="BW227" s="207">
        <v>165931.79737755808</v>
      </c>
      <c r="BX227" s="207">
        <v>756892.1389919305</v>
      </c>
      <c r="BY227" s="207">
        <v>1316770.0858104366</v>
      </c>
      <c r="BZ227" s="207">
        <v>2130936.0600489173</v>
      </c>
      <c r="CA227" s="207">
        <v>642333.5214555229</v>
      </c>
      <c r="CB227" s="207">
        <v>1104192.3558072038</v>
      </c>
      <c r="CC227" s="207">
        <v>2233.7999999999997</v>
      </c>
      <c r="CD227" s="207">
        <v>-47501.40513018501</v>
      </c>
      <c r="CE227" s="207">
        <v>1072720.4</v>
      </c>
      <c r="CF227" s="207">
        <v>12062729.576743258</v>
      </c>
      <c r="CG227" s="207">
        <v>7104770.3288673675</v>
      </c>
      <c r="CH227" s="207">
        <v>0</v>
      </c>
      <c r="CI227" s="207">
        <v>16467740.619504172</v>
      </c>
      <c r="CJ227" s="207">
        <v>-2003376</v>
      </c>
      <c r="CK227" s="207">
        <v>0</v>
      </c>
      <c r="CL227" s="207">
        <v>0</v>
      </c>
      <c r="CM227" s="207">
        <v>94026.02181999997</v>
      </c>
      <c r="CN227" s="207">
        <v>62751869.43601668</v>
      </c>
      <c r="CO227" s="207">
        <v>62845895.45783668</v>
      </c>
      <c r="CP227" s="207">
        <v>25062</v>
      </c>
    </row>
    <row r="228" spans="1:94" ht="9.75">
      <c r="A228" s="175">
        <v>738</v>
      </c>
      <c r="B228" s="175" t="s">
        <v>284</v>
      </c>
      <c r="C228" s="207">
        <v>3007</v>
      </c>
      <c r="D228" s="207">
        <v>10319983.200000001</v>
      </c>
      <c r="E228" s="207">
        <v>2727997.591252825</v>
      </c>
      <c r="F228" s="207">
        <v>544253.2837064911</v>
      </c>
      <c r="G228" s="207">
        <v>13592234.074959317</v>
      </c>
      <c r="H228" s="207">
        <v>3524.51</v>
      </c>
      <c r="I228" s="207">
        <v>10598201.57</v>
      </c>
      <c r="J228" s="207">
        <v>2994032.504959317</v>
      </c>
      <c r="K228" s="207">
        <v>31564.842595018254</v>
      </c>
      <c r="L228" s="207">
        <v>856125.4748497074</v>
      </c>
      <c r="M228" s="207">
        <v>0</v>
      </c>
      <c r="N228" s="207">
        <v>3881722.822404043</v>
      </c>
      <c r="O228" s="207">
        <v>1370384.8100672993</v>
      </c>
      <c r="P228" s="207">
        <v>5252107.632471342</v>
      </c>
      <c r="Q228" s="207">
        <v>164</v>
      </c>
      <c r="R228" s="207">
        <v>40</v>
      </c>
      <c r="S228" s="207">
        <v>215</v>
      </c>
      <c r="T228" s="207">
        <v>122</v>
      </c>
      <c r="U228" s="207">
        <v>95</v>
      </c>
      <c r="V228" s="207">
        <v>1627</v>
      </c>
      <c r="W228" s="207">
        <v>475</v>
      </c>
      <c r="X228" s="207">
        <v>184</v>
      </c>
      <c r="Y228" s="207">
        <v>85</v>
      </c>
      <c r="Z228" s="207">
        <v>72</v>
      </c>
      <c r="AA228" s="207">
        <v>0</v>
      </c>
      <c r="AB228" s="207">
        <v>2860</v>
      </c>
      <c r="AC228" s="207">
        <v>75</v>
      </c>
      <c r="AD228" s="207">
        <v>744</v>
      </c>
      <c r="AE228" s="207">
        <v>0.800458538516764</v>
      </c>
      <c r="AF228" s="207">
        <v>2727997.591252825</v>
      </c>
      <c r="AG228" s="207">
        <v>8789306.611177543</v>
      </c>
      <c r="AH228" s="207">
        <v>2576188.13396168</v>
      </c>
      <c r="AI228" s="207">
        <v>830928.386040977</v>
      </c>
      <c r="AJ228" s="207">
        <v>101</v>
      </c>
      <c r="AK228" s="207">
        <v>1405</v>
      </c>
      <c r="AL228" s="207">
        <v>0.6212541685285969</v>
      </c>
      <c r="AM228" s="207">
        <v>75</v>
      </c>
      <c r="AN228" s="207">
        <v>0.02494180246092451</v>
      </c>
      <c r="AO228" s="207">
        <v>0.020001090998473917</v>
      </c>
      <c r="AP228" s="207">
        <v>0</v>
      </c>
      <c r="AQ228" s="207">
        <v>72</v>
      </c>
      <c r="AR228" s="207">
        <v>0</v>
      </c>
      <c r="AS228" s="207">
        <v>0</v>
      </c>
      <c r="AT228" s="207">
        <v>0</v>
      </c>
      <c r="AU228" s="207">
        <v>252.6</v>
      </c>
      <c r="AV228" s="207">
        <v>11.90419635787807</v>
      </c>
      <c r="AW228" s="207">
        <v>1.523482255775872</v>
      </c>
      <c r="AX228" s="207">
        <v>131</v>
      </c>
      <c r="AY228" s="207">
        <v>954</v>
      </c>
      <c r="AZ228" s="207">
        <v>0.13731656184486374</v>
      </c>
      <c r="BA228" s="207">
        <v>0.07613272576062924</v>
      </c>
      <c r="BB228" s="207">
        <v>0</v>
      </c>
      <c r="BC228" s="207">
        <v>733</v>
      </c>
      <c r="BD228" s="207">
        <v>1279</v>
      </c>
      <c r="BE228" s="207">
        <v>0.5731039874902267</v>
      </c>
      <c r="BF228" s="207">
        <v>0.16419710489913364</v>
      </c>
      <c r="BG228" s="207">
        <v>0</v>
      </c>
      <c r="BH228" s="207">
        <v>0</v>
      </c>
      <c r="BI228" s="207">
        <v>0</v>
      </c>
      <c r="BJ228" s="207">
        <v>-721.68</v>
      </c>
      <c r="BK228" s="207">
        <v>-12328.699999999999</v>
      </c>
      <c r="BL228" s="207">
        <v>-841.96</v>
      </c>
      <c r="BM228" s="207">
        <v>-1172.73</v>
      </c>
      <c r="BN228" s="207">
        <v>-60.14</v>
      </c>
      <c r="BO228" s="207">
        <v>-87894</v>
      </c>
      <c r="BP228" s="207">
        <v>-34509.64246440969</v>
      </c>
      <c r="BQ228" s="207">
        <v>-272704.83</v>
      </c>
      <c r="BR228" s="207">
        <v>-25972.495480962098</v>
      </c>
      <c r="BS228" s="207">
        <v>275701</v>
      </c>
      <c r="BT228" s="207">
        <v>85382</v>
      </c>
      <c r="BU228" s="207">
        <v>191068.64161105533</v>
      </c>
      <c r="BV228" s="207">
        <v>6790.062972697254</v>
      </c>
      <c r="BW228" s="207">
        <v>2703.277612326673</v>
      </c>
      <c r="BX228" s="207">
        <v>71784.76699329968</v>
      </c>
      <c r="BY228" s="207">
        <v>173816.3424855337</v>
      </c>
      <c r="BZ228" s="207">
        <v>286153.1203409527</v>
      </c>
      <c r="CA228" s="207">
        <v>85582.37018853595</v>
      </c>
      <c r="CB228" s="207">
        <v>140795.53337546438</v>
      </c>
      <c r="CC228" s="207">
        <v>270.63</v>
      </c>
      <c r="CD228" s="207">
        <v>4909.857215213526</v>
      </c>
      <c r="CE228" s="207">
        <v>129962.54</v>
      </c>
      <c r="CF228" s="207">
        <v>1341053.647314117</v>
      </c>
      <c r="CG228" s="207">
        <v>856125.4748497074</v>
      </c>
      <c r="CH228" s="207">
        <v>0</v>
      </c>
      <c r="CI228" s="207">
        <v>1370384.8100672993</v>
      </c>
      <c r="CJ228" s="207">
        <v>-578952</v>
      </c>
      <c r="CK228" s="207">
        <v>0</v>
      </c>
      <c r="CL228" s="207">
        <v>0</v>
      </c>
      <c r="CM228" s="207">
        <v>-67110.52856</v>
      </c>
      <c r="CN228" s="207">
        <v>4673155.632471342</v>
      </c>
      <c r="CO228" s="207">
        <v>4606045.103911342</v>
      </c>
      <c r="CP228" s="207">
        <v>3047</v>
      </c>
    </row>
    <row r="229" spans="1:94" ht="9.75">
      <c r="A229" s="175">
        <v>739</v>
      </c>
      <c r="B229" s="175" t="s">
        <v>285</v>
      </c>
      <c r="C229" s="207">
        <v>3480</v>
      </c>
      <c r="D229" s="207">
        <v>13520216.719999999</v>
      </c>
      <c r="E229" s="207">
        <v>5655683.017798333</v>
      </c>
      <c r="F229" s="207">
        <v>823702.036816906</v>
      </c>
      <c r="G229" s="207">
        <v>19999601.77461524</v>
      </c>
      <c r="H229" s="207">
        <v>3524.51</v>
      </c>
      <c r="I229" s="207">
        <v>12265294.8</v>
      </c>
      <c r="J229" s="207">
        <v>7734306.974615239</v>
      </c>
      <c r="K229" s="207">
        <v>221762.73146484856</v>
      </c>
      <c r="L229" s="207">
        <v>1408973.0683776827</v>
      </c>
      <c r="M229" s="207">
        <v>0</v>
      </c>
      <c r="N229" s="207">
        <v>9365042.77445777</v>
      </c>
      <c r="O229" s="207">
        <v>2279674.134470261</v>
      </c>
      <c r="P229" s="207">
        <v>11644716.908928031</v>
      </c>
      <c r="Q229" s="207">
        <v>131</v>
      </c>
      <c r="R229" s="207">
        <v>19</v>
      </c>
      <c r="S229" s="207">
        <v>177</v>
      </c>
      <c r="T229" s="207">
        <v>94</v>
      </c>
      <c r="U229" s="207">
        <v>100</v>
      </c>
      <c r="V229" s="207">
        <v>1678</v>
      </c>
      <c r="W229" s="207">
        <v>615</v>
      </c>
      <c r="X229" s="207">
        <v>449</v>
      </c>
      <c r="Y229" s="207">
        <v>217</v>
      </c>
      <c r="Z229" s="207">
        <v>4</v>
      </c>
      <c r="AA229" s="207">
        <v>0</v>
      </c>
      <c r="AB229" s="207">
        <v>3439</v>
      </c>
      <c r="AC229" s="207">
        <v>37</v>
      </c>
      <c r="AD229" s="207">
        <v>1281</v>
      </c>
      <c r="AE229" s="207">
        <v>1.4339503158564986</v>
      </c>
      <c r="AF229" s="207">
        <v>5655683.017798333</v>
      </c>
      <c r="AG229" s="207">
        <v>75064444.73579277</v>
      </c>
      <c r="AH229" s="207">
        <v>18327570.382381164</v>
      </c>
      <c r="AI229" s="207">
        <v>8184197.866812202</v>
      </c>
      <c r="AJ229" s="207">
        <v>159</v>
      </c>
      <c r="AK229" s="207">
        <v>1472</v>
      </c>
      <c r="AL229" s="207">
        <v>0.9334984057418069</v>
      </c>
      <c r="AM229" s="207">
        <v>37</v>
      </c>
      <c r="AN229" s="207">
        <v>0.010632183908045977</v>
      </c>
      <c r="AO229" s="207">
        <v>0.005691472445595384</v>
      </c>
      <c r="AP229" s="207">
        <v>0</v>
      </c>
      <c r="AQ229" s="207">
        <v>4</v>
      </c>
      <c r="AR229" s="207">
        <v>0</v>
      </c>
      <c r="AS229" s="207">
        <v>0</v>
      </c>
      <c r="AT229" s="207">
        <v>0</v>
      </c>
      <c r="AU229" s="207">
        <v>539.47</v>
      </c>
      <c r="AV229" s="207">
        <v>6.450775761395444</v>
      </c>
      <c r="AW229" s="207">
        <v>2.8114187488941367</v>
      </c>
      <c r="AX229" s="207">
        <v>128</v>
      </c>
      <c r="AY229" s="207">
        <v>837</v>
      </c>
      <c r="AZ229" s="207">
        <v>0.15292712066905614</v>
      </c>
      <c r="BA229" s="207">
        <v>0.09174328458482164</v>
      </c>
      <c r="BB229" s="207">
        <v>0.172533</v>
      </c>
      <c r="BC229" s="207">
        <v>1039</v>
      </c>
      <c r="BD229" s="207">
        <v>1241</v>
      </c>
      <c r="BE229" s="207">
        <v>0.8372280419016922</v>
      </c>
      <c r="BF229" s="207">
        <v>0.4283211593105991</v>
      </c>
      <c r="BG229" s="207">
        <v>0</v>
      </c>
      <c r="BH229" s="207">
        <v>0</v>
      </c>
      <c r="BI229" s="207">
        <v>0</v>
      </c>
      <c r="BJ229" s="207">
        <v>-835.1999999999999</v>
      </c>
      <c r="BK229" s="207">
        <v>-14267.999999999998</v>
      </c>
      <c r="BL229" s="207">
        <v>-974.4000000000001</v>
      </c>
      <c r="BM229" s="207">
        <v>-1357.2</v>
      </c>
      <c r="BN229" s="207">
        <v>-69.60000000000001</v>
      </c>
      <c r="BO229" s="207">
        <v>71974</v>
      </c>
      <c r="BP229" s="207">
        <v>-119006.54299829455</v>
      </c>
      <c r="BQ229" s="207">
        <v>-315601.2</v>
      </c>
      <c r="BR229" s="207">
        <v>17385.44724056311</v>
      </c>
      <c r="BS229" s="207">
        <v>404465</v>
      </c>
      <c r="BT229" s="207">
        <v>122158</v>
      </c>
      <c r="BU229" s="207">
        <v>311739.8156545589</v>
      </c>
      <c r="BV229" s="207">
        <v>16778.709372529363</v>
      </c>
      <c r="BW229" s="207">
        <v>32261.40038031776</v>
      </c>
      <c r="BX229" s="207">
        <v>141033.168890131</v>
      </c>
      <c r="BY229" s="207">
        <v>189766.33782475995</v>
      </c>
      <c r="BZ229" s="207">
        <v>320605.1702299171</v>
      </c>
      <c r="CA229" s="207">
        <v>100839.90707654522</v>
      </c>
      <c r="CB229" s="207">
        <v>164273.6361678294</v>
      </c>
      <c r="CC229" s="207">
        <v>313.2</v>
      </c>
      <c r="CD229" s="207">
        <v>5249.418538825426</v>
      </c>
      <c r="CE229" s="207">
        <v>150405.6</v>
      </c>
      <c r="CF229" s="207">
        <v>2049248.8113759772</v>
      </c>
      <c r="CG229" s="207">
        <v>1408973.0683776827</v>
      </c>
      <c r="CH229" s="207">
        <v>0</v>
      </c>
      <c r="CI229" s="207">
        <v>2279674.134470261</v>
      </c>
      <c r="CJ229" s="207">
        <v>211927</v>
      </c>
      <c r="CK229" s="207">
        <v>0</v>
      </c>
      <c r="CL229" s="207">
        <v>0</v>
      </c>
      <c r="CM229" s="207">
        <v>103662.27002</v>
      </c>
      <c r="CN229" s="207">
        <v>11856643.908928031</v>
      </c>
      <c r="CO229" s="207">
        <v>11960306.178948032</v>
      </c>
      <c r="CP229" s="207">
        <v>3534</v>
      </c>
    </row>
    <row r="230" spans="1:94" ht="9.75">
      <c r="A230" s="175">
        <v>740</v>
      </c>
      <c r="B230" s="175" t="s">
        <v>286</v>
      </c>
      <c r="C230" s="207">
        <v>34664</v>
      </c>
      <c r="D230" s="207">
        <v>117819443.73</v>
      </c>
      <c r="E230" s="207">
        <v>50286425.4319484</v>
      </c>
      <c r="F230" s="207">
        <v>9779053.037075656</v>
      </c>
      <c r="G230" s="207">
        <v>177884922.19902408</v>
      </c>
      <c r="H230" s="207">
        <v>3524.51</v>
      </c>
      <c r="I230" s="207">
        <v>122173614.64</v>
      </c>
      <c r="J230" s="207">
        <v>55711307.55902408</v>
      </c>
      <c r="K230" s="207">
        <v>2407903.9430384478</v>
      </c>
      <c r="L230" s="207">
        <v>9940779.401737306</v>
      </c>
      <c r="M230" s="207">
        <v>0</v>
      </c>
      <c r="N230" s="207">
        <v>68059990.90379983</v>
      </c>
      <c r="O230" s="207">
        <v>18490689.101827834</v>
      </c>
      <c r="P230" s="207">
        <v>86550680.00562766</v>
      </c>
      <c r="Q230" s="207">
        <v>1500</v>
      </c>
      <c r="R230" s="207">
        <v>287</v>
      </c>
      <c r="S230" s="207">
        <v>1870</v>
      </c>
      <c r="T230" s="207">
        <v>1029</v>
      </c>
      <c r="U230" s="207">
        <v>1111</v>
      </c>
      <c r="V230" s="207">
        <v>18629</v>
      </c>
      <c r="W230" s="207">
        <v>5688</v>
      </c>
      <c r="X230" s="207">
        <v>3239</v>
      </c>
      <c r="Y230" s="207">
        <v>1311</v>
      </c>
      <c r="Z230" s="207">
        <v>44</v>
      </c>
      <c r="AA230" s="207">
        <v>0</v>
      </c>
      <c r="AB230" s="207">
        <v>33391</v>
      </c>
      <c r="AC230" s="207">
        <v>1229</v>
      </c>
      <c r="AD230" s="207">
        <v>10238</v>
      </c>
      <c r="AE230" s="207">
        <v>1.2799717261547368</v>
      </c>
      <c r="AF230" s="207">
        <v>50286425.4319484</v>
      </c>
      <c r="AG230" s="207">
        <v>3520505.2175968094</v>
      </c>
      <c r="AH230" s="207">
        <v>808616.514912401</v>
      </c>
      <c r="AI230" s="207">
        <v>428866.2637630849</v>
      </c>
      <c r="AJ230" s="207">
        <v>2269</v>
      </c>
      <c r="AK230" s="207">
        <v>15505</v>
      </c>
      <c r="AL230" s="207">
        <v>1.2646984653879765</v>
      </c>
      <c r="AM230" s="207">
        <v>1229</v>
      </c>
      <c r="AN230" s="207">
        <v>0.03545465035771982</v>
      </c>
      <c r="AO230" s="207">
        <v>0.03051393889526923</v>
      </c>
      <c r="AP230" s="207">
        <v>0</v>
      </c>
      <c r="AQ230" s="207">
        <v>44</v>
      </c>
      <c r="AR230" s="207">
        <v>0</v>
      </c>
      <c r="AS230" s="207">
        <v>3</v>
      </c>
      <c r="AT230" s="207">
        <v>5173</v>
      </c>
      <c r="AU230" s="207">
        <v>2238.21</v>
      </c>
      <c r="AV230" s="207">
        <v>15.487376072843924</v>
      </c>
      <c r="AW230" s="207">
        <v>1.1710073956490905</v>
      </c>
      <c r="AX230" s="207">
        <v>1197</v>
      </c>
      <c r="AY230" s="207">
        <v>9215</v>
      </c>
      <c r="AZ230" s="207">
        <v>0.12989690721649486</v>
      </c>
      <c r="BA230" s="207">
        <v>0.06871307113226036</v>
      </c>
      <c r="BB230" s="207">
        <v>0.1453</v>
      </c>
      <c r="BC230" s="207">
        <v>12884</v>
      </c>
      <c r="BD230" s="207">
        <v>12672</v>
      </c>
      <c r="BE230" s="207">
        <v>1.016729797979798</v>
      </c>
      <c r="BF230" s="207">
        <v>0.6078229153887049</v>
      </c>
      <c r="BG230" s="207">
        <v>0</v>
      </c>
      <c r="BH230" s="207">
        <v>0</v>
      </c>
      <c r="BI230" s="207">
        <v>0</v>
      </c>
      <c r="BJ230" s="207">
        <v>-8319.36</v>
      </c>
      <c r="BK230" s="207">
        <v>-142122.4</v>
      </c>
      <c r="BL230" s="207">
        <v>-9705.92</v>
      </c>
      <c r="BM230" s="207">
        <v>-13518.960000000001</v>
      </c>
      <c r="BN230" s="207">
        <v>-693.28</v>
      </c>
      <c r="BO230" s="207">
        <v>523093</v>
      </c>
      <c r="BP230" s="207">
        <v>-2322622.101737691</v>
      </c>
      <c r="BQ230" s="207">
        <v>-3143678.16</v>
      </c>
      <c r="BR230" s="207">
        <v>224198.56074189395</v>
      </c>
      <c r="BS230" s="207">
        <v>3134752</v>
      </c>
      <c r="BT230" s="207">
        <v>972657</v>
      </c>
      <c r="BU230" s="207">
        <v>2432360.2074209754</v>
      </c>
      <c r="BV230" s="207">
        <v>111060.45902521518</v>
      </c>
      <c r="BW230" s="207">
        <v>21440.63081911284</v>
      </c>
      <c r="BX230" s="207">
        <v>1185246.8266214402</v>
      </c>
      <c r="BY230" s="207">
        <v>1798370.0961450383</v>
      </c>
      <c r="BZ230" s="207">
        <v>2924603.959064982</v>
      </c>
      <c r="CA230" s="207">
        <v>904618.1283445293</v>
      </c>
      <c r="CB230" s="207">
        <v>1618745.2680681061</v>
      </c>
      <c r="CC230" s="207">
        <v>3119.7599999999998</v>
      </c>
      <c r="CD230" s="207">
        <v>103278.08722370467</v>
      </c>
      <c r="CE230" s="207">
        <v>1498178.08</v>
      </c>
      <c r="CF230" s="207">
        <v>17455722.063474998</v>
      </c>
      <c r="CG230" s="207">
        <v>9940779.401737306</v>
      </c>
      <c r="CH230" s="207">
        <v>0</v>
      </c>
      <c r="CI230" s="207">
        <v>18490689.101827834</v>
      </c>
      <c r="CJ230" s="207">
        <v>-2259185</v>
      </c>
      <c r="CK230" s="207">
        <v>0</v>
      </c>
      <c r="CL230" s="207">
        <v>0</v>
      </c>
      <c r="CM230" s="207">
        <v>-37620.96900000004</v>
      </c>
      <c r="CN230" s="207">
        <v>84291495.00562766</v>
      </c>
      <c r="CO230" s="207">
        <v>84253874.03662767</v>
      </c>
      <c r="CP230" s="207">
        <v>35242</v>
      </c>
    </row>
    <row r="231" spans="1:94" ht="9.75">
      <c r="A231" s="175">
        <v>742</v>
      </c>
      <c r="B231" s="175" t="s">
        <v>287</v>
      </c>
      <c r="C231" s="207">
        <v>1012</v>
      </c>
      <c r="D231" s="207">
        <v>3350595.94</v>
      </c>
      <c r="E231" s="207">
        <v>1429154.0102463842</v>
      </c>
      <c r="F231" s="207">
        <v>935116.8368324481</v>
      </c>
      <c r="G231" s="207">
        <v>5714866.787078832</v>
      </c>
      <c r="H231" s="207">
        <v>3524.51</v>
      </c>
      <c r="I231" s="207">
        <v>3566804.12</v>
      </c>
      <c r="J231" s="207">
        <v>2148062.667078832</v>
      </c>
      <c r="K231" s="207">
        <v>1245747.6349640414</v>
      </c>
      <c r="L231" s="207">
        <v>635368.352967751</v>
      </c>
      <c r="M231" s="207">
        <v>0</v>
      </c>
      <c r="N231" s="207">
        <v>4029178.655010625</v>
      </c>
      <c r="O231" s="207">
        <v>381922.33570743806</v>
      </c>
      <c r="P231" s="207">
        <v>4411100.990718063</v>
      </c>
      <c r="Q231" s="207">
        <v>39</v>
      </c>
      <c r="R231" s="207">
        <v>7</v>
      </c>
      <c r="S231" s="207">
        <v>34</v>
      </c>
      <c r="T231" s="207">
        <v>33</v>
      </c>
      <c r="U231" s="207">
        <v>28</v>
      </c>
      <c r="V231" s="207">
        <v>549</v>
      </c>
      <c r="W231" s="207">
        <v>180</v>
      </c>
      <c r="X231" s="207">
        <v>103</v>
      </c>
      <c r="Y231" s="207">
        <v>39</v>
      </c>
      <c r="Z231" s="207">
        <v>2</v>
      </c>
      <c r="AA231" s="207">
        <v>1</v>
      </c>
      <c r="AB231" s="207">
        <v>1004</v>
      </c>
      <c r="AC231" s="207">
        <v>5</v>
      </c>
      <c r="AD231" s="207">
        <v>322</v>
      </c>
      <c r="AE231" s="207">
        <v>1.2460251462508347</v>
      </c>
      <c r="AF231" s="207">
        <v>1429154.0102463842</v>
      </c>
      <c r="AG231" s="207">
        <v>6318111.222304825</v>
      </c>
      <c r="AH231" s="207">
        <v>2437381.3078231476</v>
      </c>
      <c r="AI231" s="207">
        <v>393127.40844949445</v>
      </c>
      <c r="AJ231" s="207">
        <v>82</v>
      </c>
      <c r="AK231" s="207">
        <v>482</v>
      </c>
      <c r="AL231" s="207">
        <v>1.4702496355157895</v>
      </c>
      <c r="AM231" s="207">
        <v>5</v>
      </c>
      <c r="AN231" s="207">
        <v>0.004940711462450593</v>
      </c>
      <c r="AO231" s="207">
        <v>0</v>
      </c>
      <c r="AP231" s="207">
        <v>0</v>
      </c>
      <c r="AQ231" s="207">
        <v>2</v>
      </c>
      <c r="AR231" s="207">
        <v>1</v>
      </c>
      <c r="AS231" s="207">
        <v>0</v>
      </c>
      <c r="AT231" s="207">
        <v>0</v>
      </c>
      <c r="AU231" s="207">
        <v>6438.65</v>
      </c>
      <c r="AV231" s="207">
        <v>0.1571758054871751</v>
      </c>
      <c r="AW231" s="207">
        <v>115.38564643766887</v>
      </c>
      <c r="AX231" s="207">
        <v>34</v>
      </c>
      <c r="AY231" s="207">
        <v>259</v>
      </c>
      <c r="AZ231" s="207">
        <v>0.13127413127413126</v>
      </c>
      <c r="BA231" s="207">
        <v>0.07009029518989676</v>
      </c>
      <c r="BB231" s="207">
        <v>1.896366</v>
      </c>
      <c r="BC231" s="207">
        <v>330</v>
      </c>
      <c r="BD231" s="207">
        <v>359</v>
      </c>
      <c r="BE231" s="207">
        <v>0.9192200557103064</v>
      </c>
      <c r="BF231" s="207">
        <v>0.5103131731192133</v>
      </c>
      <c r="BG231" s="207">
        <v>0</v>
      </c>
      <c r="BH231" s="207">
        <v>1</v>
      </c>
      <c r="BI231" s="207">
        <v>0</v>
      </c>
      <c r="BJ231" s="207">
        <v>-242.88</v>
      </c>
      <c r="BK231" s="207">
        <v>-4149.2</v>
      </c>
      <c r="BL231" s="207">
        <v>-283.36</v>
      </c>
      <c r="BM231" s="207">
        <v>-394.68</v>
      </c>
      <c r="BN231" s="207">
        <v>-20.240000000000002</v>
      </c>
      <c r="BO231" s="207">
        <v>93901</v>
      </c>
      <c r="BP231" s="207">
        <v>-9018.181257973803</v>
      </c>
      <c r="BQ231" s="207">
        <v>-91778.28</v>
      </c>
      <c r="BR231" s="207">
        <v>106604.61965460237</v>
      </c>
      <c r="BS231" s="207">
        <v>109834</v>
      </c>
      <c r="BT231" s="207">
        <v>36537</v>
      </c>
      <c r="BU231" s="207">
        <v>107128.47253510478</v>
      </c>
      <c r="BV231" s="207">
        <v>6185.452639417533</v>
      </c>
      <c r="BW231" s="207">
        <v>17547.13801080827</v>
      </c>
      <c r="BX231" s="207">
        <v>43891.12617323774</v>
      </c>
      <c r="BY231" s="207">
        <v>62396.715269829845</v>
      </c>
      <c r="BZ231" s="207">
        <v>97408.82513247551</v>
      </c>
      <c r="CA231" s="207">
        <v>32774.60226936166</v>
      </c>
      <c r="CB231" s="207">
        <v>55547.7924942877</v>
      </c>
      <c r="CC231" s="207">
        <v>91.08</v>
      </c>
      <c r="CD231" s="207">
        <v>-17612.449953400366</v>
      </c>
      <c r="CE231" s="207">
        <v>43738.64</v>
      </c>
      <c r="CF231" s="207">
        <v>795974.0142257249</v>
      </c>
      <c r="CG231" s="207">
        <v>635368.352967751</v>
      </c>
      <c r="CH231" s="207">
        <v>0</v>
      </c>
      <c r="CI231" s="207">
        <v>381922.33570743806</v>
      </c>
      <c r="CJ231" s="207">
        <v>12720</v>
      </c>
      <c r="CK231" s="207">
        <v>0</v>
      </c>
      <c r="CL231" s="207">
        <v>0</v>
      </c>
      <c r="CM231" s="207">
        <v>-13134.338300000003</v>
      </c>
      <c r="CN231" s="207">
        <v>4423820.990718063</v>
      </c>
      <c r="CO231" s="207">
        <v>4410686.652418063</v>
      </c>
      <c r="CP231" s="207">
        <v>1044</v>
      </c>
    </row>
    <row r="232" spans="1:94" ht="9.75">
      <c r="A232" s="175">
        <v>743</v>
      </c>
      <c r="B232" s="175" t="s">
        <v>288</v>
      </c>
      <c r="C232" s="207">
        <v>62676</v>
      </c>
      <c r="D232" s="207">
        <v>208519529.07000002</v>
      </c>
      <c r="E232" s="207">
        <v>72576583.02604857</v>
      </c>
      <c r="F232" s="207">
        <v>8648500.507720673</v>
      </c>
      <c r="G232" s="207">
        <v>289744612.60376924</v>
      </c>
      <c r="H232" s="207">
        <v>3524.51</v>
      </c>
      <c r="I232" s="207">
        <v>220902188.76000002</v>
      </c>
      <c r="J232" s="207">
        <v>68842423.84376922</v>
      </c>
      <c r="K232" s="207">
        <v>2834508.9513816955</v>
      </c>
      <c r="L232" s="207">
        <v>12770692.214154752</v>
      </c>
      <c r="M232" s="207">
        <v>0</v>
      </c>
      <c r="N232" s="207">
        <v>84447625.00930567</v>
      </c>
      <c r="O232" s="207">
        <v>16256695.449722921</v>
      </c>
      <c r="P232" s="207">
        <v>100704320.45902859</v>
      </c>
      <c r="Q232" s="207">
        <v>4440</v>
      </c>
      <c r="R232" s="207">
        <v>818</v>
      </c>
      <c r="S232" s="207">
        <v>4410</v>
      </c>
      <c r="T232" s="207">
        <v>2121</v>
      </c>
      <c r="U232" s="207">
        <v>2246</v>
      </c>
      <c r="V232" s="207">
        <v>36765</v>
      </c>
      <c r="W232" s="207">
        <v>6820</v>
      </c>
      <c r="X232" s="207">
        <v>3568</v>
      </c>
      <c r="Y232" s="207">
        <v>1488</v>
      </c>
      <c r="Z232" s="207">
        <v>125</v>
      </c>
      <c r="AA232" s="207">
        <v>4</v>
      </c>
      <c r="AB232" s="207">
        <v>61021</v>
      </c>
      <c r="AC232" s="207">
        <v>1526</v>
      </c>
      <c r="AD232" s="207">
        <v>11876</v>
      </c>
      <c r="AE232" s="207">
        <v>1.0217003276808958</v>
      </c>
      <c r="AF232" s="207">
        <v>72576583.02604857</v>
      </c>
      <c r="AG232" s="207">
        <v>61686558.12123829</v>
      </c>
      <c r="AH232" s="207">
        <v>16084835.948122783</v>
      </c>
      <c r="AI232" s="207">
        <v>5905845.840570815</v>
      </c>
      <c r="AJ232" s="207">
        <v>2908</v>
      </c>
      <c r="AK232" s="207">
        <v>30326</v>
      </c>
      <c r="AL232" s="207">
        <v>0.828711828664496</v>
      </c>
      <c r="AM232" s="207">
        <v>1526</v>
      </c>
      <c r="AN232" s="207">
        <v>0.02434743761567426</v>
      </c>
      <c r="AO232" s="207">
        <v>0.01940672615322367</v>
      </c>
      <c r="AP232" s="207">
        <v>0</v>
      </c>
      <c r="AQ232" s="207">
        <v>125</v>
      </c>
      <c r="AR232" s="207">
        <v>4</v>
      </c>
      <c r="AS232" s="207">
        <v>0</v>
      </c>
      <c r="AT232" s="207">
        <v>0</v>
      </c>
      <c r="AU232" s="207">
        <v>1431.77</v>
      </c>
      <c r="AV232" s="207">
        <v>43.77518735551101</v>
      </c>
      <c r="AW232" s="207">
        <v>0.4142947869808676</v>
      </c>
      <c r="AX232" s="207">
        <v>1759</v>
      </c>
      <c r="AY232" s="207">
        <v>19082</v>
      </c>
      <c r="AZ232" s="207">
        <v>0.09218111309087097</v>
      </c>
      <c r="BA232" s="207">
        <v>0.03099727700663648</v>
      </c>
      <c r="BB232" s="207">
        <v>0</v>
      </c>
      <c r="BC232" s="207">
        <v>30039</v>
      </c>
      <c r="BD232" s="207">
        <v>26909</v>
      </c>
      <c r="BE232" s="207">
        <v>1.1163179605336504</v>
      </c>
      <c r="BF232" s="207">
        <v>0.7074110779425573</v>
      </c>
      <c r="BG232" s="207">
        <v>0</v>
      </c>
      <c r="BH232" s="207">
        <v>4</v>
      </c>
      <c r="BI232" s="207">
        <v>0</v>
      </c>
      <c r="BJ232" s="207">
        <v>-15042.24</v>
      </c>
      <c r="BK232" s="207">
        <v>-256971.59999999998</v>
      </c>
      <c r="BL232" s="207">
        <v>-17549.280000000002</v>
      </c>
      <c r="BM232" s="207">
        <v>-24443.64</v>
      </c>
      <c r="BN232" s="207">
        <v>-1253.52</v>
      </c>
      <c r="BO232" s="207">
        <v>461848</v>
      </c>
      <c r="BP232" s="207">
        <v>-3543472.584414698</v>
      </c>
      <c r="BQ232" s="207">
        <v>-5684086.4399999995</v>
      </c>
      <c r="BR232" s="207">
        <v>89519.31668151915</v>
      </c>
      <c r="BS232" s="207">
        <v>3978804</v>
      </c>
      <c r="BT232" s="207">
        <v>1391477</v>
      </c>
      <c r="BU232" s="207">
        <v>3226519.989374259</v>
      </c>
      <c r="BV232" s="207">
        <v>102023.61029979105</v>
      </c>
      <c r="BW232" s="207">
        <v>237407.69299697477</v>
      </c>
      <c r="BX232" s="207">
        <v>1427481.3590565426</v>
      </c>
      <c r="BY232" s="207">
        <v>3172709.9227266847</v>
      </c>
      <c r="BZ232" s="207">
        <v>4787147.299027099</v>
      </c>
      <c r="CA232" s="207">
        <v>1525942.3086978707</v>
      </c>
      <c r="CB232" s="207">
        <v>2622742.824316507</v>
      </c>
      <c r="CC232" s="207">
        <v>5640.84</v>
      </c>
      <c r="CD232" s="207">
        <v>-35718.04460779624</v>
      </c>
      <c r="CE232" s="207">
        <v>2708856.7199999997</v>
      </c>
      <c r="CF232" s="207">
        <v>25702402.83856945</v>
      </c>
      <c r="CG232" s="207">
        <v>12770692.214154752</v>
      </c>
      <c r="CH232" s="207">
        <v>0</v>
      </c>
      <c r="CI232" s="207">
        <v>16256695.449722921</v>
      </c>
      <c r="CJ232" s="207">
        <v>-2914065</v>
      </c>
      <c r="CK232" s="207">
        <v>0</v>
      </c>
      <c r="CL232" s="207">
        <v>0</v>
      </c>
      <c r="CM232" s="207">
        <v>-275517.49647999986</v>
      </c>
      <c r="CN232" s="207">
        <v>97790255.45902859</v>
      </c>
      <c r="CO232" s="207">
        <v>97514737.96254858</v>
      </c>
      <c r="CP232" s="207">
        <v>62052</v>
      </c>
    </row>
    <row r="233" spans="1:94" ht="9.75">
      <c r="A233" s="175">
        <v>746</v>
      </c>
      <c r="B233" s="175" t="s">
        <v>289</v>
      </c>
      <c r="C233" s="207">
        <v>5035</v>
      </c>
      <c r="D233" s="207">
        <v>20696328.199999996</v>
      </c>
      <c r="E233" s="207">
        <v>7736254.490144416</v>
      </c>
      <c r="F233" s="207">
        <v>1157999.0173447633</v>
      </c>
      <c r="G233" s="207">
        <v>29590581.707489174</v>
      </c>
      <c r="H233" s="207">
        <v>3524.51</v>
      </c>
      <c r="I233" s="207">
        <v>17745907.85</v>
      </c>
      <c r="J233" s="207">
        <v>11844673.857489172</v>
      </c>
      <c r="K233" s="207">
        <v>258346.32200867115</v>
      </c>
      <c r="L233" s="207">
        <v>1325867.7573420284</v>
      </c>
      <c r="M233" s="207">
        <v>0</v>
      </c>
      <c r="N233" s="207">
        <v>13428887.936839871</v>
      </c>
      <c r="O233" s="207">
        <v>4463104.924247532</v>
      </c>
      <c r="P233" s="207">
        <v>17891992.861087404</v>
      </c>
      <c r="Q233" s="207">
        <v>465</v>
      </c>
      <c r="R233" s="207">
        <v>98</v>
      </c>
      <c r="S233" s="207">
        <v>602</v>
      </c>
      <c r="T233" s="207">
        <v>272</v>
      </c>
      <c r="U233" s="207">
        <v>251</v>
      </c>
      <c r="V233" s="207">
        <v>2440</v>
      </c>
      <c r="W233" s="207">
        <v>506</v>
      </c>
      <c r="X233" s="207">
        <v>278</v>
      </c>
      <c r="Y233" s="207">
        <v>123</v>
      </c>
      <c r="Z233" s="207">
        <v>9</v>
      </c>
      <c r="AA233" s="207">
        <v>1</v>
      </c>
      <c r="AB233" s="207">
        <v>4948</v>
      </c>
      <c r="AC233" s="207">
        <v>77</v>
      </c>
      <c r="AD233" s="207">
        <v>907</v>
      </c>
      <c r="AE233" s="207">
        <v>1.3556874013065037</v>
      </c>
      <c r="AF233" s="207">
        <v>7736254.490144416</v>
      </c>
      <c r="AG233" s="207">
        <v>1966202.164027818</v>
      </c>
      <c r="AH233" s="207">
        <v>421992.87400075287</v>
      </c>
      <c r="AI233" s="207">
        <v>160824.84891115682</v>
      </c>
      <c r="AJ233" s="207">
        <v>200</v>
      </c>
      <c r="AK233" s="207">
        <v>1994</v>
      </c>
      <c r="AL233" s="207">
        <v>0.8668203688120587</v>
      </c>
      <c r="AM233" s="207">
        <v>77</v>
      </c>
      <c r="AN233" s="207">
        <v>0.015292949354518371</v>
      </c>
      <c r="AO233" s="207">
        <v>0.010352237892067778</v>
      </c>
      <c r="AP233" s="207">
        <v>0</v>
      </c>
      <c r="AQ233" s="207">
        <v>9</v>
      </c>
      <c r="AR233" s="207">
        <v>1</v>
      </c>
      <c r="AS233" s="207">
        <v>0</v>
      </c>
      <c r="AT233" s="207">
        <v>0</v>
      </c>
      <c r="AU233" s="207">
        <v>787.13</v>
      </c>
      <c r="AV233" s="207">
        <v>6.3966562067257</v>
      </c>
      <c r="AW233" s="207">
        <v>2.8352050406320513</v>
      </c>
      <c r="AX233" s="207">
        <v>169</v>
      </c>
      <c r="AY233" s="207">
        <v>1345</v>
      </c>
      <c r="AZ233" s="207">
        <v>0.12565055762081784</v>
      </c>
      <c r="BA233" s="207">
        <v>0.06446672153658334</v>
      </c>
      <c r="BB233" s="207">
        <v>0</v>
      </c>
      <c r="BC233" s="207">
        <v>2085</v>
      </c>
      <c r="BD233" s="207">
        <v>1721</v>
      </c>
      <c r="BE233" s="207">
        <v>1.2115049389889598</v>
      </c>
      <c r="BF233" s="207">
        <v>0.8025980563978667</v>
      </c>
      <c r="BG233" s="207">
        <v>0</v>
      </c>
      <c r="BH233" s="207">
        <v>1</v>
      </c>
      <c r="BI233" s="207">
        <v>0</v>
      </c>
      <c r="BJ233" s="207">
        <v>-1208.3999999999999</v>
      </c>
      <c r="BK233" s="207">
        <v>-20643.5</v>
      </c>
      <c r="BL233" s="207">
        <v>-1409.8000000000002</v>
      </c>
      <c r="BM233" s="207">
        <v>-1963.65</v>
      </c>
      <c r="BN233" s="207">
        <v>-100.7</v>
      </c>
      <c r="BO233" s="207">
        <v>-98522</v>
      </c>
      <c r="BP233" s="207">
        <v>-75880.56553104246</v>
      </c>
      <c r="BQ233" s="207">
        <v>-456624.14999999997</v>
      </c>
      <c r="BR233" s="207">
        <v>-93567.0326451771</v>
      </c>
      <c r="BS233" s="207">
        <v>462947</v>
      </c>
      <c r="BT233" s="207">
        <v>137655</v>
      </c>
      <c r="BU233" s="207">
        <v>343284.8799799744</v>
      </c>
      <c r="BV233" s="207">
        <v>13713.831083321365</v>
      </c>
      <c r="BW233" s="207">
        <v>41211.212880320585</v>
      </c>
      <c r="BX233" s="207">
        <v>189663.91626609047</v>
      </c>
      <c r="BY233" s="207">
        <v>254083.69828550037</v>
      </c>
      <c r="BZ233" s="207">
        <v>421469.8857876907</v>
      </c>
      <c r="CA233" s="207">
        <v>98138.35132382986</v>
      </c>
      <c r="CB233" s="207">
        <v>210644.02742289516</v>
      </c>
      <c r="CC233" s="207">
        <v>453.15</v>
      </c>
      <c r="CD233" s="207">
        <v>-42847.64751137537</v>
      </c>
      <c r="CE233" s="207">
        <v>217612.69999999998</v>
      </c>
      <c r="CF233" s="207">
        <v>2155940.9728730707</v>
      </c>
      <c r="CG233" s="207">
        <v>1325867.7573420284</v>
      </c>
      <c r="CH233" s="207">
        <v>0</v>
      </c>
      <c r="CI233" s="207">
        <v>4463104.924247532</v>
      </c>
      <c r="CJ233" s="207">
        <v>30147</v>
      </c>
      <c r="CK233" s="207">
        <v>0</v>
      </c>
      <c r="CL233" s="207">
        <v>0</v>
      </c>
      <c r="CM233" s="207">
        <v>-8606.621679999997</v>
      </c>
      <c r="CN233" s="207">
        <v>17922139.861087404</v>
      </c>
      <c r="CO233" s="207">
        <v>17913533.239407405</v>
      </c>
      <c r="CP233" s="207">
        <v>5069</v>
      </c>
    </row>
    <row r="234" spans="1:94" ht="9.75">
      <c r="A234" s="175">
        <v>747</v>
      </c>
      <c r="B234" s="175" t="s">
        <v>290</v>
      </c>
      <c r="C234" s="207">
        <v>1476</v>
      </c>
      <c r="D234" s="207">
        <v>5458478.35</v>
      </c>
      <c r="E234" s="207">
        <v>1948263.2319268913</v>
      </c>
      <c r="F234" s="207">
        <v>569029.6311258235</v>
      </c>
      <c r="G234" s="207">
        <v>7975771.213052714</v>
      </c>
      <c r="H234" s="207">
        <v>3524.51</v>
      </c>
      <c r="I234" s="207">
        <v>5202176.760000001</v>
      </c>
      <c r="J234" s="207">
        <v>2773594.4530527135</v>
      </c>
      <c r="K234" s="207">
        <v>108741.6010756821</v>
      </c>
      <c r="L234" s="207">
        <v>819351.4981331383</v>
      </c>
      <c r="M234" s="207">
        <v>0</v>
      </c>
      <c r="N234" s="207">
        <v>3701687.552261534</v>
      </c>
      <c r="O234" s="207">
        <v>1547701.479955068</v>
      </c>
      <c r="P234" s="207">
        <v>5249389.032216602</v>
      </c>
      <c r="Q234" s="207">
        <v>65</v>
      </c>
      <c r="R234" s="207">
        <v>15</v>
      </c>
      <c r="S234" s="207">
        <v>73</v>
      </c>
      <c r="T234" s="207">
        <v>49</v>
      </c>
      <c r="U234" s="207">
        <v>51</v>
      </c>
      <c r="V234" s="207">
        <v>715</v>
      </c>
      <c r="W234" s="207">
        <v>260</v>
      </c>
      <c r="X234" s="207">
        <v>183</v>
      </c>
      <c r="Y234" s="207">
        <v>65</v>
      </c>
      <c r="Z234" s="207">
        <v>3</v>
      </c>
      <c r="AA234" s="207">
        <v>0</v>
      </c>
      <c r="AB234" s="207">
        <v>1458</v>
      </c>
      <c r="AC234" s="207">
        <v>15</v>
      </c>
      <c r="AD234" s="207">
        <v>508</v>
      </c>
      <c r="AE234" s="207">
        <v>1.1646342670494731</v>
      </c>
      <c r="AF234" s="207">
        <v>1948263.2319268913</v>
      </c>
      <c r="AG234" s="207">
        <v>88419049.51867244</v>
      </c>
      <c r="AH234" s="207">
        <v>22236760.67413321</v>
      </c>
      <c r="AI234" s="207">
        <v>9220624.670906324</v>
      </c>
      <c r="AJ234" s="207">
        <v>84</v>
      </c>
      <c r="AK234" s="207">
        <v>589</v>
      </c>
      <c r="AL234" s="207">
        <v>1.2325037732983413</v>
      </c>
      <c r="AM234" s="207">
        <v>15</v>
      </c>
      <c r="AN234" s="207">
        <v>0.01016260162601626</v>
      </c>
      <c r="AO234" s="207">
        <v>0.005221890163565667</v>
      </c>
      <c r="AP234" s="207">
        <v>0</v>
      </c>
      <c r="AQ234" s="207">
        <v>3</v>
      </c>
      <c r="AR234" s="207">
        <v>0</v>
      </c>
      <c r="AS234" s="207">
        <v>0</v>
      </c>
      <c r="AT234" s="207">
        <v>0</v>
      </c>
      <c r="AU234" s="207">
        <v>463.34</v>
      </c>
      <c r="AV234" s="207">
        <v>3.1855656753140242</v>
      </c>
      <c r="AW234" s="207">
        <v>5.6931276165609805</v>
      </c>
      <c r="AX234" s="207">
        <v>71</v>
      </c>
      <c r="AY234" s="207">
        <v>382</v>
      </c>
      <c r="AZ234" s="207">
        <v>0.18586387434554974</v>
      </c>
      <c r="BA234" s="207">
        <v>0.12468003826131524</v>
      </c>
      <c r="BB234" s="207">
        <v>0.230933</v>
      </c>
      <c r="BC234" s="207">
        <v>381</v>
      </c>
      <c r="BD234" s="207">
        <v>476</v>
      </c>
      <c r="BE234" s="207">
        <v>0.8004201680672269</v>
      </c>
      <c r="BF234" s="207">
        <v>0.39151328547613384</v>
      </c>
      <c r="BG234" s="207">
        <v>0</v>
      </c>
      <c r="BH234" s="207">
        <v>0</v>
      </c>
      <c r="BI234" s="207">
        <v>0</v>
      </c>
      <c r="BJ234" s="207">
        <v>-354.24</v>
      </c>
      <c r="BK234" s="207">
        <v>-6051.599999999999</v>
      </c>
      <c r="BL234" s="207">
        <v>-413.28000000000003</v>
      </c>
      <c r="BM234" s="207">
        <v>-575.64</v>
      </c>
      <c r="BN234" s="207">
        <v>-29.52</v>
      </c>
      <c r="BO234" s="207">
        <v>47662</v>
      </c>
      <c r="BP234" s="207">
        <v>-11109.501775342596</v>
      </c>
      <c r="BQ234" s="207">
        <v>-133858.44</v>
      </c>
      <c r="BR234" s="207">
        <v>109608.27899000607</v>
      </c>
      <c r="BS234" s="207">
        <v>194214</v>
      </c>
      <c r="BT234" s="207">
        <v>52652</v>
      </c>
      <c r="BU234" s="207">
        <v>152870.6242828669</v>
      </c>
      <c r="BV234" s="207">
        <v>8275.73137988836</v>
      </c>
      <c r="BW234" s="207">
        <v>23177.556399739366</v>
      </c>
      <c r="BX234" s="207">
        <v>76240.89283177744</v>
      </c>
      <c r="BY234" s="207">
        <v>87562.76628336812</v>
      </c>
      <c r="BZ234" s="207">
        <v>132934.73593552804</v>
      </c>
      <c r="CA234" s="207">
        <v>40130.98984996287</v>
      </c>
      <c r="CB234" s="207">
        <v>76298.40605732228</v>
      </c>
      <c r="CC234" s="207">
        <v>132.84</v>
      </c>
      <c r="CD234" s="207">
        <v>-14002.502101978618</v>
      </c>
      <c r="CE234" s="207">
        <v>63792.72</v>
      </c>
      <c r="CF234" s="207">
        <v>1051551.0399084808</v>
      </c>
      <c r="CG234" s="207">
        <v>819351.4981331383</v>
      </c>
      <c r="CH234" s="207">
        <v>0</v>
      </c>
      <c r="CI234" s="207">
        <v>1547701.479955068</v>
      </c>
      <c r="CJ234" s="207">
        <v>-220077</v>
      </c>
      <c r="CK234" s="207">
        <v>0</v>
      </c>
      <c r="CL234" s="207">
        <v>0</v>
      </c>
      <c r="CM234" s="207">
        <v>-64813.669399999955</v>
      </c>
      <c r="CN234" s="207">
        <v>5029312.032216602</v>
      </c>
      <c r="CO234" s="207">
        <v>4964498.362816602</v>
      </c>
      <c r="CP234" s="207">
        <v>1494</v>
      </c>
    </row>
    <row r="235" spans="1:94" ht="9.75">
      <c r="A235" s="175">
        <v>748</v>
      </c>
      <c r="B235" s="175" t="s">
        <v>291</v>
      </c>
      <c r="C235" s="207">
        <v>5343</v>
      </c>
      <c r="D235" s="207">
        <v>20604114.380000003</v>
      </c>
      <c r="E235" s="207">
        <v>7754505.764202447</v>
      </c>
      <c r="F235" s="207">
        <v>1374930.1145857484</v>
      </c>
      <c r="G235" s="207">
        <v>29733550.2587882</v>
      </c>
      <c r="H235" s="207">
        <v>3524.51</v>
      </c>
      <c r="I235" s="207">
        <v>18831456.93</v>
      </c>
      <c r="J235" s="207">
        <v>10902093.328788199</v>
      </c>
      <c r="K235" s="207">
        <v>163752.26896834376</v>
      </c>
      <c r="L235" s="207">
        <v>1702690.5301279163</v>
      </c>
      <c r="M235" s="207">
        <v>0</v>
      </c>
      <c r="N235" s="207">
        <v>12768536.127884459</v>
      </c>
      <c r="O235" s="207">
        <v>4836880.962260173</v>
      </c>
      <c r="P235" s="207">
        <v>17605417.09014463</v>
      </c>
      <c r="Q235" s="207">
        <v>431</v>
      </c>
      <c r="R235" s="207">
        <v>86</v>
      </c>
      <c r="S235" s="207">
        <v>510</v>
      </c>
      <c r="T235" s="207">
        <v>251</v>
      </c>
      <c r="U235" s="207">
        <v>222</v>
      </c>
      <c r="V235" s="207">
        <v>2705</v>
      </c>
      <c r="W235" s="207">
        <v>690</v>
      </c>
      <c r="X235" s="207">
        <v>291</v>
      </c>
      <c r="Y235" s="207">
        <v>157</v>
      </c>
      <c r="Z235" s="207">
        <v>2</v>
      </c>
      <c r="AA235" s="207">
        <v>0</v>
      </c>
      <c r="AB235" s="207">
        <v>5258</v>
      </c>
      <c r="AC235" s="207">
        <v>83</v>
      </c>
      <c r="AD235" s="207">
        <v>1138</v>
      </c>
      <c r="AE235" s="207">
        <v>1.2805520512683033</v>
      </c>
      <c r="AF235" s="207">
        <v>7754505.764202447</v>
      </c>
      <c r="AG235" s="207">
        <v>8927336.985558039</v>
      </c>
      <c r="AH235" s="207">
        <v>2809261.3187490744</v>
      </c>
      <c r="AI235" s="207">
        <v>1107904.5147213025</v>
      </c>
      <c r="AJ235" s="207">
        <v>215</v>
      </c>
      <c r="AK235" s="207">
        <v>2215</v>
      </c>
      <c r="AL235" s="207">
        <v>0.8388590526262251</v>
      </c>
      <c r="AM235" s="207">
        <v>83</v>
      </c>
      <c r="AN235" s="207">
        <v>0.015534344001497287</v>
      </c>
      <c r="AO235" s="207">
        <v>0.010593632539046695</v>
      </c>
      <c r="AP235" s="207">
        <v>0</v>
      </c>
      <c r="AQ235" s="207">
        <v>2</v>
      </c>
      <c r="AR235" s="207">
        <v>0</v>
      </c>
      <c r="AS235" s="207">
        <v>0</v>
      </c>
      <c r="AT235" s="207">
        <v>0</v>
      </c>
      <c r="AU235" s="207">
        <v>1051.55</v>
      </c>
      <c r="AV235" s="207">
        <v>5.081070800247255</v>
      </c>
      <c r="AW235" s="207">
        <v>3.5692932914094557</v>
      </c>
      <c r="AX235" s="207">
        <v>183</v>
      </c>
      <c r="AY235" s="207">
        <v>1422</v>
      </c>
      <c r="AZ235" s="207">
        <v>0.12869198312236288</v>
      </c>
      <c r="BA235" s="207">
        <v>0.06750814703812838</v>
      </c>
      <c r="BB235" s="207">
        <v>0</v>
      </c>
      <c r="BC235" s="207">
        <v>1694</v>
      </c>
      <c r="BD235" s="207">
        <v>1907</v>
      </c>
      <c r="BE235" s="207">
        <v>0.8883062401678028</v>
      </c>
      <c r="BF235" s="207">
        <v>0.4793993575767097</v>
      </c>
      <c r="BG235" s="207">
        <v>0</v>
      </c>
      <c r="BH235" s="207">
        <v>0</v>
      </c>
      <c r="BI235" s="207">
        <v>0</v>
      </c>
      <c r="BJ235" s="207">
        <v>-1282.32</v>
      </c>
      <c r="BK235" s="207">
        <v>-21906.3</v>
      </c>
      <c r="BL235" s="207">
        <v>-1496.0400000000002</v>
      </c>
      <c r="BM235" s="207">
        <v>-2083.77</v>
      </c>
      <c r="BN235" s="207">
        <v>-106.86</v>
      </c>
      <c r="BO235" s="207">
        <v>70971</v>
      </c>
      <c r="BP235" s="207">
        <v>-65707.50672266773</v>
      </c>
      <c r="BQ235" s="207">
        <v>-484556.67</v>
      </c>
      <c r="BR235" s="207">
        <v>-83113.75313581899</v>
      </c>
      <c r="BS235" s="207">
        <v>465420</v>
      </c>
      <c r="BT235" s="207">
        <v>151091</v>
      </c>
      <c r="BU235" s="207">
        <v>374569.73627007403</v>
      </c>
      <c r="BV235" s="207">
        <v>18315.786693797167</v>
      </c>
      <c r="BW235" s="207">
        <v>52426.30817274111</v>
      </c>
      <c r="BX235" s="207">
        <v>175422.2095034288</v>
      </c>
      <c r="BY235" s="207">
        <v>273513.79267517006</v>
      </c>
      <c r="BZ235" s="207">
        <v>475831.0389942756</v>
      </c>
      <c r="CA235" s="207">
        <v>106326.49801252587</v>
      </c>
      <c r="CB235" s="207">
        <v>231133.4345225484</v>
      </c>
      <c r="CC235" s="207">
        <v>480.87</v>
      </c>
      <c r="CD235" s="207">
        <v>25413.62514184197</v>
      </c>
      <c r="CE235" s="207">
        <v>230924.46</v>
      </c>
      <c r="CF235" s="207">
        <v>2568726.006850584</v>
      </c>
      <c r="CG235" s="207">
        <v>1702690.5301279163</v>
      </c>
      <c r="CH235" s="207">
        <v>0</v>
      </c>
      <c r="CI235" s="207">
        <v>4836880.962260173</v>
      </c>
      <c r="CJ235" s="207">
        <v>147331</v>
      </c>
      <c r="CK235" s="207">
        <v>0</v>
      </c>
      <c r="CL235" s="207">
        <v>0</v>
      </c>
      <c r="CM235" s="207">
        <v>157084.046</v>
      </c>
      <c r="CN235" s="207">
        <v>17752748.09014463</v>
      </c>
      <c r="CO235" s="207">
        <v>17909832.13614463</v>
      </c>
      <c r="CP235" s="207">
        <v>5366</v>
      </c>
    </row>
    <row r="236" spans="1:94" ht="9.75">
      <c r="A236" s="175">
        <v>791</v>
      </c>
      <c r="B236" s="175" t="s">
        <v>292</v>
      </c>
      <c r="C236" s="207">
        <v>5447</v>
      </c>
      <c r="D236" s="207">
        <v>20434577.830000002</v>
      </c>
      <c r="E236" s="207">
        <v>9585533.108145067</v>
      </c>
      <c r="F236" s="207">
        <v>2191808.272924309</v>
      </c>
      <c r="G236" s="207">
        <v>32211919.21106938</v>
      </c>
      <c r="H236" s="207">
        <v>3524.51</v>
      </c>
      <c r="I236" s="207">
        <v>19198005.970000003</v>
      </c>
      <c r="J236" s="207">
        <v>13013913.241069376</v>
      </c>
      <c r="K236" s="207">
        <v>2121686.3396518305</v>
      </c>
      <c r="L236" s="207">
        <v>2258133.4443938825</v>
      </c>
      <c r="M236" s="207">
        <v>0</v>
      </c>
      <c r="N236" s="207">
        <v>17393733.025115088</v>
      </c>
      <c r="O236" s="207">
        <v>5611096.6718986025</v>
      </c>
      <c r="P236" s="207">
        <v>23004829.69701369</v>
      </c>
      <c r="Q236" s="207">
        <v>292</v>
      </c>
      <c r="R236" s="207">
        <v>61</v>
      </c>
      <c r="S236" s="207">
        <v>371</v>
      </c>
      <c r="T236" s="207">
        <v>189</v>
      </c>
      <c r="U236" s="207">
        <v>179</v>
      </c>
      <c r="V236" s="207">
        <v>2773</v>
      </c>
      <c r="W236" s="207">
        <v>807</v>
      </c>
      <c r="X236" s="207">
        <v>539</v>
      </c>
      <c r="Y236" s="207">
        <v>236</v>
      </c>
      <c r="Z236" s="207">
        <v>3</v>
      </c>
      <c r="AA236" s="207">
        <v>0</v>
      </c>
      <c r="AB236" s="207">
        <v>5393</v>
      </c>
      <c r="AC236" s="207">
        <v>51</v>
      </c>
      <c r="AD236" s="207">
        <v>1582</v>
      </c>
      <c r="AE236" s="207">
        <v>1.552698678925677</v>
      </c>
      <c r="AF236" s="207">
        <v>9585533.108145067</v>
      </c>
      <c r="AG236" s="207">
        <v>7813528.844262503</v>
      </c>
      <c r="AH236" s="207">
        <v>1776201.092767956</v>
      </c>
      <c r="AI236" s="207">
        <v>804124.2445557842</v>
      </c>
      <c r="AJ236" s="207">
        <v>268</v>
      </c>
      <c r="AK236" s="207">
        <v>2388</v>
      </c>
      <c r="AL236" s="207">
        <v>0.9698950387986048</v>
      </c>
      <c r="AM236" s="207">
        <v>51</v>
      </c>
      <c r="AN236" s="207">
        <v>0.009362952083715808</v>
      </c>
      <c r="AO236" s="207">
        <v>0.004422240621265215</v>
      </c>
      <c r="AP236" s="207">
        <v>0</v>
      </c>
      <c r="AQ236" s="207">
        <v>3</v>
      </c>
      <c r="AR236" s="207">
        <v>0</v>
      </c>
      <c r="AS236" s="207">
        <v>0</v>
      </c>
      <c r="AT236" s="207">
        <v>0</v>
      </c>
      <c r="AU236" s="207">
        <v>2172.53</v>
      </c>
      <c r="AV236" s="207">
        <v>2.5072150902404107</v>
      </c>
      <c r="AW236" s="207">
        <v>7.233456750916413</v>
      </c>
      <c r="AX236" s="207">
        <v>207</v>
      </c>
      <c r="AY236" s="207">
        <v>1470</v>
      </c>
      <c r="AZ236" s="207">
        <v>0.14081632653061224</v>
      </c>
      <c r="BA236" s="207">
        <v>0.07963249044637774</v>
      </c>
      <c r="BB236" s="207">
        <v>1.119783</v>
      </c>
      <c r="BC236" s="207">
        <v>1962</v>
      </c>
      <c r="BD236" s="207">
        <v>2028</v>
      </c>
      <c r="BE236" s="207">
        <v>0.9674556213017751</v>
      </c>
      <c r="BF236" s="207">
        <v>0.558548738710682</v>
      </c>
      <c r="BG236" s="207">
        <v>0</v>
      </c>
      <c r="BH236" s="207">
        <v>0</v>
      </c>
      <c r="BI236" s="207">
        <v>0</v>
      </c>
      <c r="BJ236" s="207">
        <v>-1307.28</v>
      </c>
      <c r="BK236" s="207">
        <v>-22332.699999999997</v>
      </c>
      <c r="BL236" s="207">
        <v>-1525.16</v>
      </c>
      <c r="BM236" s="207">
        <v>-2124.33</v>
      </c>
      <c r="BN236" s="207">
        <v>-108.94</v>
      </c>
      <c r="BO236" s="207">
        <v>-21214</v>
      </c>
      <c r="BP236" s="207">
        <v>-18729.706427966652</v>
      </c>
      <c r="BQ236" s="207">
        <v>-493988.43</v>
      </c>
      <c r="BR236" s="207">
        <v>-166306.19408746436</v>
      </c>
      <c r="BS236" s="207">
        <v>624315</v>
      </c>
      <c r="BT236" s="207">
        <v>194814</v>
      </c>
      <c r="BU236" s="207">
        <v>524333.8768369056</v>
      </c>
      <c r="BV236" s="207">
        <v>27091.534205211276</v>
      </c>
      <c r="BW236" s="207">
        <v>67076.00854807171</v>
      </c>
      <c r="BX236" s="207">
        <v>250225.7736871039</v>
      </c>
      <c r="BY236" s="207">
        <v>339421.64570747496</v>
      </c>
      <c r="BZ236" s="207">
        <v>554868.6142696537</v>
      </c>
      <c r="CA236" s="207">
        <v>169167.16298962926</v>
      </c>
      <c r="CB236" s="207">
        <v>282338.4527027996</v>
      </c>
      <c r="CC236" s="207">
        <v>490.22999999999996</v>
      </c>
      <c r="CD236" s="207">
        <v>10727.83596246325</v>
      </c>
      <c r="CE236" s="207">
        <v>235419.34</v>
      </c>
      <c r="CF236" s="207">
        <v>3092769.280821849</v>
      </c>
      <c r="CG236" s="207">
        <v>2258133.4443938825</v>
      </c>
      <c r="CH236" s="207">
        <v>0</v>
      </c>
      <c r="CI236" s="207">
        <v>5611096.6718986025</v>
      </c>
      <c r="CJ236" s="207">
        <v>-500442</v>
      </c>
      <c r="CK236" s="207">
        <v>0</v>
      </c>
      <c r="CL236" s="207">
        <v>0</v>
      </c>
      <c r="CM236" s="207">
        <v>-89128.69568</v>
      </c>
      <c r="CN236" s="207">
        <v>22504387.69701369</v>
      </c>
      <c r="CO236" s="207">
        <v>22415259.00133369</v>
      </c>
      <c r="CP236" s="207">
        <v>5583</v>
      </c>
    </row>
    <row r="237" spans="1:94" ht="9.75">
      <c r="A237" s="175">
        <v>749</v>
      </c>
      <c r="B237" s="175" t="s">
        <v>293</v>
      </c>
      <c r="C237" s="207">
        <v>21657</v>
      </c>
      <c r="D237" s="207">
        <v>75284005.52999999</v>
      </c>
      <c r="E237" s="207">
        <v>25530214.768745407</v>
      </c>
      <c r="F237" s="207">
        <v>2173573.2263385933</v>
      </c>
      <c r="G237" s="207">
        <v>102987793.52508399</v>
      </c>
      <c r="H237" s="207">
        <v>3524.51</v>
      </c>
      <c r="I237" s="207">
        <v>76330313.07000001</v>
      </c>
      <c r="J237" s="207">
        <v>26657480.45508398</v>
      </c>
      <c r="K237" s="207">
        <v>491987.1906011546</v>
      </c>
      <c r="L237" s="207">
        <v>3472117.3967901887</v>
      </c>
      <c r="M237" s="207">
        <v>0</v>
      </c>
      <c r="N237" s="207">
        <v>30621585.042475324</v>
      </c>
      <c r="O237" s="207">
        <v>4542839.821187211</v>
      </c>
      <c r="P237" s="207">
        <v>35164424.86366253</v>
      </c>
      <c r="Q237" s="207">
        <v>1632</v>
      </c>
      <c r="R237" s="207">
        <v>305</v>
      </c>
      <c r="S237" s="207">
        <v>1836</v>
      </c>
      <c r="T237" s="207">
        <v>884</v>
      </c>
      <c r="U237" s="207">
        <v>874</v>
      </c>
      <c r="V237" s="207">
        <v>11968</v>
      </c>
      <c r="W237" s="207">
        <v>2449</v>
      </c>
      <c r="X237" s="207">
        <v>1312</v>
      </c>
      <c r="Y237" s="207">
        <v>397</v>
      </c>
      <c r="Z237" s="207">
        <v>9</v>
      </c>
      <c r="AA237" s="207">
        <v>1</v>
      </c>
      <c r="AB237" s="207">
        <v>21360</v>
      </c>
      <c r="AC237" s="207">
        <v>287</v>
      </c>
      <c r="AD237" s="207">
        <v>4158</v>
      </c>
      <c r="AE237" s="207">
        <v>1.0401224227704144</v>
      </c>
      <c r="AF237" s="207">
        <v>25530214.768745407</v>
      </c>
      <c r="AG237" s="207">
        <v>2582556.275614248</v>
      </c>
      <c r="AH237" s="207">
        <v>604875.8013301943</v>
      </c>
      <c r="AI237" s="207">
        <v>223367.84570994007</v>
      </c>
      <c r="AJ237" s="207">
        <v>858</v>
      </c>
      <c r="AK237" s="207">
        <v>10247</v>
      </c>
      <c r="AL237" s="207">
        <v>0.7236270916477253</v>
      </c>
      <c r="AM237" s="207">
        <v>287</v>
      </c>
      <c r="AN237" s="207">
        <v>0.01325206630650598</v>
      </c>
      <c r="AO237" s="207">
        <v>0.008311354844055388</v>
      </c>
      <c r="AP237" s="207">
        <v>0</v>
      </c>
      <c r="AQ237" s="207">
        <v>9</v>
      </c>
      <c r="AR237" s="207">
        <v>1</v>
      </c>
      <c r="AS237" s="207">
        <v>0</v>
      </c>
      <c r="AT237" s="207">
        <v>0</v>
      </c>
      <c r="AU237" s="207">
        <v>400.96</v>
      </c>
      <c r="AV237" s="207">
        <v>54.0128691141261</v>
      </c>
      <c r="AW237" s="207">
        <v>0.33576871989856766</v>
      </c>
      <c r="AX237" s="207">
        <v>577</v>
      </c>
      <c r="AY237" s="207">
        <v>7086</v>
      </c>
      <c r="AZ237" s="207">
        <v>0.08142816821902342</v>
      </c>
      <c r="BA237" s="207">
        <v>0.020244332134788927</v>
      </c>
      <c r="BB237" s="207">
        <v>0</v>
      </c>
      <c r="BC237" s="207">
        <v>7038</v>
      </c>
      <c r="BD237" s="207">
        <v>9209</v>
      </c>
      <c r="BE237" s="207">
        <v>0.7642523618199587</v>
      </c>
      <c r="BF237" s="207">
        <v>0.3553454792288656</v>
      </c>
      <c r="BG237" s="207">
        <v>0</v>
      </c>
      <c r="BH237" s="207">
        <v>1</v>
      </c>
      <c r="BI237" s="207">
        <v>0</v>
      </c>
      <c r="BJ237" s="207">
        <v>-5197.679999999999</v>
      </c>
      <c r="BK237" s="207">
        <v>-88793.7</v>
      </c>
      <c r="BL237" s="207">
        <v>-6063.960000000001</v>
      </c>
      <c r="BM237" s="207">
        <v>-8446.23</v>
      </c>
      <c r="BN237" s="207">
        <v>-433.14</v>
      </c>
      <c r="BO237" s="207">
        <v>5984</v>
      </c>
      <c r="BP237" s="207">
        <v>-1123894.1640888639</v>
      </c>
      <c r="BQ237" s="207">
        <v>-1964073.3299999998</v>
      </c>
      <c r="BR237" s="207">
        <v>-59214.694434806705</v>
      </c>
      <c r="BS237" s="207">
        <v>1402958</v>
      </c>
      <c r="BT237" s="207">
        <v>450760</v>
      </c>
      <c r="BU237" s="207">
        <v>925488.7753349461</v>
      </c>
      <c r="BV237" s="207">
        <v>16784.10139488702</v>
      </c>
      <c r="BW237" s="207">
        <v>5877.08950053069</v>
      </c>
      <c r="BX237" s="207">
        <v>448920.0188770383</v>
      </c>
      <c r="BY237" s="207">
        <v>987855.0647120406</v>
      </c>
      <c r="BZ237" s="207">
        <v>1641445.0655553432</v>
      </c>
      <c r="CA237" s="207">
        <v>407506.34797263384</v>
      </c>
      <c r="CB237" s="207">
        <v>785784.5819224324</v>
      </c>
      <c r="CC237" s="207">
        <v>1949.1299999999999</v>
      </c>
      <c r="CD237" s="207">
        <v>-118099.429955993</v>
      </c>
      <c r="CE237" s="207">
        <v>936015.5399999999</v>
      </c>
      <c r="CF237" s="207">
        <v>7840013.590879053</v>
      </c>
      <c r="CG237" s="207">
        <v>3472117.3967901887</v>
      </c>
      <c r="CH237" s="207">
        <v>0</v>
      </c>
      <c r="CI237" s="207">
        <v>4542839.821187211</v>
      </c>
      <c r="CJ237" s="207">
        <v>-1869613</v>
      </c>
      <c r="CK237" s="207">
        <v>0</v>
      </c>
      <c r="CL237" s="207">
        <v>0</v>
      </c>
      <c r="CM237" s="207">
        <v>308993.5587200002</v>
      </c>
      <c r="CN237" s="207">
        <v>33294811.863662533</v>
      </c>
      <c r="CO237" s="207">
        <v>33603805.42238253</v>
      </c>
      <c r="CP237" s="207">
        <v>21768</v>
      </c>
    </row>
    <row r="238" spans="1:94" ht="9.75">
      <c r="A238" s="175">
        <v>751</v>
      </c>
      <c r="B238" s="175" t="s">
        <v>294</v>
      </c>
      <c r="C238" s="207">
        <v>3110</v>
      </c>
      <c r="D238" s="207">
        <v>10927932.17</v>
      </c>
      <c r="E238" s="207">
        <v>4022665.2257595984</v>
      </c>
      <c r="F238" s="207">
        <v>1403524.6564431053</v>
      </c>
      <c r="G238" s="207">
        <v>16354122.052202703</v>
      </c>
      <c r="H238" s="207">
        <v>3524.51</v>
      </c>
      <c r="I238" s="207">
        <v>10961226.100000001</v>
      </c>
      <c r="J238" s="207">
        <v>5392895.952202702</v>
      </c>
      <c r="K238" s="207">
        <v>34696.03253204305</v>
      </c>
      <c r="L238" s="207">
        <v>937349.4798435676</v>
      </c>
      <c r="M238" s="207">
        <v>0</v>
      </c>
      <c r="N238" s="207">
        <v>6364941.464578312</v>
      </c>
      <c r="O238" s="207">
        <v>1725638.0101216624</v>
      </c>
      <c r="P238" s="207">
        <v>8090579.474699974</v>
      </c>
      <c r="Q238" s="207">
        <v>141</v>
      </c>
      <c r="R238" s="207">
        <v>29</v>
      </c>
      <c r="S238" s="207">
        <v>212</v>
      </c>
      <c r="T238" s="207">
        <v>124</v>
      </c>
      <c r="U238" s="207">
        <v>116</v>
      </c>
      <c r="V238" s="207">
        <v>1538</v>
      </c>
      <c r="W238" s="207">
        <v>554</v>
      </c>
      <c r="X238" s="207">
        <v>308</v>
      </c>
      <c r="Y238" s="207">
        <v>88</v>
      </c>
      <c r="Z238" s="207">
        <v>5</v>
      </c>
      <c r="AA238" s="207">
        <v>2</v>
      </c>
      <c r="AB238" s="207">
        <v>3075</v>
      </c>
      <c r="AC238" s="207">
        <v>28</v>
      </c>
      <c r="AD238" s="207">
        <v>950</v>
      </c>
      <c r="AE238" s="207">
        <v>1.1412526248114099</v>
      </c>
      <c r="AF238" s="207">
        <v>4022665.2257595984</v>
      </c>
      <c r="AG238" s="207">
        <v>9566441.53180535</v>
      </c>
      <c r="AH238" s="207">
        <v>2807790.825469659</v>
      </c>
      <c r="AI238" s="207">
        <v>1134708.6562064954</v>
      </c>
      <c r="AJ238" s="207">
        <v>170</v>
      </c>
      <c r="AK238" s="207">
        <v>1313</v>
      </c>
      <c r="AL238" s="207">
        <v>1.1189442826348501</v>
      </c>
      <c r="AM238" s="207">
        <v>28</v>
      </c>
      <c r="AN238" s="207">
        <v>0.0090032154340836</v>
      </c>
      <c r="AO238" s="207">
        <v>0.004062503971633008</v>
      </c>
      <c r="AP238" s="207">
        <v>0</v>
      </c>
      <c r="AQ238" s="207">
        <v>5</v>
      </c>
      <c r="AR238" s="207">
        <v>2</v>
      </c>
      <c r="AS238" s="207">
        <v>0</v>
      </c>
      <c r="AT238" s="207">
        <v>0</v>
      </c>
      <c r="AU238" s="207">
        <v>1447.33</v>
      </c>
      <c r="AV238" s="207">
        <v>2.1487843131835866</v>
      </c>
      <c r="AW238" s="207">
        <v>8.440042962538847</v>
      </c>
      <c r="AX238" s="207">
        <v>91</v>
      </c>
      <c r="AY238" s="207">
        <v>787</v>
      </c>
      <c r="AZ238" s="207">
        <v>0.1156289707750953</v>
      </c>
      <c r="BA238" s="207">
        <v>0.05444513469086081</v>
      </c>
      <c r="BB238" s="207">
        <v>0</v>
      </c>
      <c r="BC238" s="207">
        <v>598</v>
      </c>
      <c r="BD238" s="207">
        <v>1025</v>
      </c>
      <c r="BE238" s="207">
        <v>0.5834146341463414</v>
      </c>
      <c r="BF238" s="207">
        <v>0.17450775155524834</v>
      </c>
      <c r="BG238" s="207">
        <v>0</v>
      </c>
      <c r="BH238" s="207">
        <v>2</v>
      </c>
      <c r="BI238" s="207">
        <v>0</v>
      </c>
      <c r="BJ238" s="207">
        <v>-746.4</v>
      </c>
      <c r="BK238" s="207">
        <v>-12750.999999999998</v>
      </c>
      <c r="BL238" s="207">
        <v>-870.8000000000001</v>
      </c>
      <c r="BM238" s="207">
        <v>-1212.9</v>
      </c>
      <c r="BN238" s="207">
        <v>-62.2</v>
      </c>
      <c r="BO238" s="207">
        <v>76854</v>
      </c>
      <c r="BP238" s="207">
        <v>-39194.23525768956</v>
      </c>
      <c r="BQ238" s="207">
        <v>-282045.89999999997</v>
      </c>
      <c r="BR238" s="207">
        <v>-78985.75758260861</v>
      </c>
      <c r="BS238" s="207">
        <v>281841</v>
      </c>
      <c r="BT238" s="207">
        <v>83216</v>
      </c>
      <c r="BU238" s="207">
        <v>185548.22637782278</v>
      </c>
      <c r="BV238" s="207">
        <v>9122.781979068071</v>
      </c>
      <c r="BW238" s="207">
        <v>27602.543467581676</v>
      </c>
      <c r="BX238" s="207">
        <v>93219.1741502555</v>
      </c>
      <c r="BY238" s="207">
        <v>151745.66252837007</v>
      </c>
      <c r="BZ238" s="207">
        <v>271138.6206094548</v>
      </c>
      <c r="CA238" s="207">
        <v>64696.26016120757</v>
      </c>
      <c r="CB238" s="207">
        <v>127187.68884795195</v>
      </c>
      <c r="CC238" s="207">
        <v>279.9</v>
      </c>
      <c r="CD238" s="207">
        <v>14510.314562153615</v>
      </c>
      <c r="CE238" s="207">
        <v>134414.19999999998</v>
      </c>
      <c r="CF238" s="207">
        <v>1442390.615101257</v>
      </c>
      <c r="CG238" s="207">
        <v>937349.4798435676</v>
      </c>
      <c r="CH238" s="207">
        <v>0</v>
      </c>
      <c r="CI238" s="207">
        <v>1725638.0101216624</v>
      </c>
      <c r="CJ238" s="207">
        <v>37038</v>
      </c>
      <c r="CK238" s="207">
        <v>0</v>
      </c>
      <c r="CL238" s="207">
        <v>0</v>
      </c>
      <c r="CM238" s="207">
        <v>-14520.373999999989</v>
      </c>
      <c r="CN238" s="207">
        <v>8127617.474699974</v>
      </c>
      <c r="CO238" s="207">
        <v>8113097.100699974</v>
      </c>
      <c r="CP238" s="207">
        <v>3170</v>
      </c>
    </row>
    <row r="239" spans="1:94" ht="9.75">
      <c r="A239" s="175">
        <v>753</v>
      </c>
      <c r="B239" s="175" t="s">
        <v>295</v>
      </c>
      <c r="C239" s="207">
        <v>20310</v>
      </c>
      <c r="D239" s="207">
        <v>69846172.23</v>
      </c>
      <c r="E239" s="207">
        <v>15391868.910923006</v>
      </c>
      <c r="F239" s="207">
        <v>5489380.873404624</v>
      </c>
      <c r="G239" s="207">
        <v>90727422.01432763</v>
      </c>
      <c r="H239" s="207">
        <v>3524.51</v>
      </c>
      <c r="I239" s="207">
        <v>71582798.10000001</v>
      </c>
      <c r="J239" s="207">
        <v>19144623.91432762</v>
      </c>
      <c r="K239" s="207">
        <v>251083.79010543268</v>
      </c>
      <c r="L239" s="207">
        <v>2788323.844792103</v>
      </c>
      <c r="M239" s="207">
        <v>0</v>
      </c>
      <c r="N239" s="207">
        <v>22184031.549225155</v>
      </c>
      <c r="O239" s="207">
        <v>-5573708.059334381</v>
      </c>
      <c r="P239" s="207">
        <v>16610323.489890775</v>
      </c>
      <c r="Q239" s="207">
        <v>1338</v>
      </c>
      <c r="R239" s="207">
        <v>287</v>
      </c>
      <c r="S239" s="207">
        <v>1729</v>
      </c>
      <c r="T239" s="207">
        <v>888</v>
      </c>
      <c r="U239" s="207">
        <v>855</v>
      </c>
      <c r="V239" s="207">
        <v>11704</v>
      </c>
      <c r="W239" s="207">
        <v>2045</v>
      </c>
      <c r="X239" s="207">
        <v>1042</v>
      </c>
      <c r="Y239" s="207">
        <v>422</v>
      </c>
      <c r="Z239" s="207">
        <v>6615</v>
      </c>
      <c r="AA239" s="207">
        <v>2</v>
      </c>
      <c r="AB239" s="207">
        <v>12744</v>
      </c>
      <c r="AC239" s="207">
        <v>949</v>
      </c>
      <c r="AD239" s="207">
        <v>3509</v>
      </c>
      <c r="AE239" s="207">
        <v>0.6686667371102564</v>
      </c>
      <c r="AF239" s="207">
        <v>15391868.910923006</v>
      </c>
      <c r="AG239" s="207">
        <v>32530962.764696322</v>
      </c>
      <c r="AH239" s="207">
        <v>6633163.000295008</v>
      </c>
      <c r="AI239" s="207">
        <v>3305844.1165071125</v>
      </c>
      <c r="AJ239" s="207">
        <v>624</v>
      </c>
      <c r="AK239" s="207">
        <v>9890</v>
      </c>
      <c r="AL239" s="207">
        <v>0.5452712056706861</v>
      </c>
      <c r="AM239" s="207">
        <v>949</v>
      </c>
      <c r="AN239" s="207">
        <v>0.04672575086164451</v>
      </c>
      <c r="AO239" s="207">
        <v>0.04178503939919392</v>
      </c>
      <c r="AP239" s="207">
        <v>1</v>
      </c>
      <c r="AQ239" s="207">
        <v>6615</v>
      </c>
      <c r="AR239" s="207">
        <v>2</v>
      </c>
      <c r="AS239" s="207">
        <v>3</v>
      </c>
      <c r="AT239" s="207">
        <v>224</v>
      </c>
      <c r="AU239" s="207">
        <v>339.62</v>
      </c>
      <c r="AV239" s="207">
        <v>59.8021317943584</v>
      </c>
      <c r="AW239" s="207">
        <v>0.3032639703023078</v>
      </c>
      <c r="AX239" s="207">
        <v>940</v>
      </c>
      <c r="AY239" s="207">
        <v>7258</v>
      </c>
      <c r="AZ239" s="207">
        <v>0.12951226233122073</v>
      </c>
      <c r="BA239" s="207">
        <v>0.06832842624698623</v>
      </c>
      <c r="BB239" s="207">
        <v>0</v>
      </c>
      <c r="BC239" s="207">
        <v>5697</v>
      </c>
      <c r="BD239" s="207">
        <v>9459</v>
      </c>
      <c r="BE239" s="207">
        <v>0.6022835394862036</v>
      </c>
      <c r="BF239" s="207">
        <v>0.19337665689511052</v>
      </c>
      <c r="BG239" s="207">
        <v>0</v>
      </c>
      <c r="BH239" s="207">
        <v>2</v>
      </c>
      <c r="BI239" s="207">
        <v>0</v>
      </c>
      <c r="BJ239" s="207">
        <v>-4874.4</v>
      </c>
      <c r="BK239" s="207">
        <v>-83271</v>
      </c>
      <c r="BL239" s="207">
        <v>-5686.8</v>
      </c>
      <c r="BM239" s="207">
        <v>-7920.900000000001</v>
      </c>
      <c r="BN239" s="207">
        <v>-406.2</v>
      </c>
      <c r="BO239" s="207">
        <v>-139882</v>
      </c>
      <c r="BP239" s="207">
        <v>-645985.0829281493</v>
      </c>
      <c r="BQ239" s="207">
        <v>-1841913.9</v>
      </c>
      <c r="BR239" s="207">
        <v>338261.93236998096</v>
      </c>
      <c r="BS239" s="207">
        <v>1224672</v>
      </c>
      <c r="BT239" s="207">
        <v>413367</v>
      </c>
      <c r="BU239" s="207">
        <v>738996.3770171361</v>
      </c>
      <c r="BV239" s="207">
        <v>4966.691090181297</v>
      </c>
      <c r="BW239" s="207">
        <v>-246469.34371148542</v>
      </c>
      <c r="BX239" s="207">
        <v>217092.7317241785</v>
      </c>
      <c r="BY239" s="207">
        <v>777019.1322790805</v>
      </c>
      <c r="BZ239" s="207">
        <v>1260306.423448747</v>
      </c>
      <c r="CA239" s="207">
        <v>390673.80812010495</v>
      </c>
      <c r="CB239" s="207">
        <v>668764.487692887</v>
      </c>
      <c r="CC239" s="207">
        <v>1827.8999999999999</v>
      </c>
      <c r="CD239" s="207">
        <v>-50851.512310558566</v>
      </c>
      <c r="CE239" s="207">
        <v>877798.2</v>
      </c>
      <c r="CF239" s="207">
        <v>6476543.827720252</v>
      </c>
      <c r="CG239" s="207">
        <v>2788323.844792103</v>
      </c>
      <c r="CH239" s="207">
        <v>0</v>
      </c>
      <c r="CI239" s="207">
        <v>-5573708.059334381</v>
      </c>
      <c r="CJ239" s="207">
        <v>-1496094</v>
      </c>
      <c r="CK239" s="207">
        <v>0</v>
      </c>
      <c r="CL239" s="207">
        <v>0</v>
      </c>
      <c r="CM239" s="207">
        <v>22216.172219999367</v>
      </c>
      <c r="CN239" s="207">
        <v>15114229.489890775</v>
      </c>
      <c r="CO239" s="207">
        <v>15136445.662110774</v>
      </c>
      <c r="CP239" s="207">
        <v>19922</v>
      </c>
    </row>
    <row r="240" spans="1:94" ht="9.75">
      <c r="A240" s="175">
        <v>755</v>
      </c>
      <c r="B240" s="175" t="s">
        <v>296</v>
      </c>
      <c r="C240" s="207">
        <v>6146</v>
      </c>
      <c r="D240" s="207">
        <v>20444203.02</v>
      </c>
      <c r="E240" s="207">
        <v>4748833.685057286</v>
      </c>
      <c r="F240" s="207">
        <v>1774747.9181204974</v>
      </c>
      <c r="G240" s="207">
        <v>26967784.62317778</v>
      </c>
      <c r="H240" s="207">
        <v>3524.51</v>
      </c>
      <c r="I240" s="207">
        <v>21661638.46</v>
      </c>
      <c r="J240" s="207">
        <v>5306146.163177781</v>
      </c>
      <c r="K240" s="207">
        <v>32234.722193395977</v>
      </c>
      <c r="L240" s="207">
        <v>1399626.7023154348</v>
      </c>
      <c r="M240" s="207">
        <v>0</v>
      </c>
      <c r="N240" s="207">
        <v>6738007.587686611</v>
      </c>
      <c r="O240" s="207">
        <v>-596351.3657530455</v>
      </c>
      <c r="P240" s="207">
        <v>6141656.221933566</v>
      </c>
      <c r="Q240" s="207">
        <v>407</v>
      </c>
      <c r="R240" s="207">
        <v>77</v>
      </c>
      <c r="S240" s="207">
        <v>567</v>
      </c>
      <c r="T240" s="207">
        <v>277</v>
      </c>
      <c r="U240" s="207">
        <v>220</v>
      </c>
      <c r="V240" s="207">
        <v>3504</v>
      </c>
      <c r="W240" s="207">
        <v>751</v>
      </c>
      <c r="X240" s="207">
        <v>258</v>
      </c>
      <c r="Y240" s="207">
        <v>85</v>
      </c>
      <c r="Z240" s="207">
        <v>1754</v>
      </c>
      <c r="AA240" s="207">
        <v>0</v>
      </c>
      <c r="AB240" s="207">
        <v>4069</v>
      </c>
      <c r="AC240" s="207">
        <v>323</v>
      </c>
      <c r="AD240" s="207">
        <v>1094</v>
      </c>
      <c r="AE240" s="207">
        <v>0.6817461454543732</v>
      </c>
      <c r="AF240" s="207">
        <v>4748833.685057286</v>
      </c>
      <c r="AG240" s="207">
        <v>5116556.1490763575</v>
      </c>
      <c r="AH240" s="207">
        <v>1322399.1273019467</v>
      </c>
      <c r="AI240" s="207">
        <v>580756.398845844</v>
      </c>
      <c r="AJ240" s="207">
        <v>181</v>
      </c>
      <c r="AK240" s="207">
        <v>3138</v>
      </c>
      <c r="AL240" s="207">
        <v>0.4984824834121022</v>
      </c>
      <c r="AM240" s="207">
        <v>323</v>
      </c>
      <c r="AN240" s="207">
        <v>0.05255450699642043</v>
      </c>
      <c r="AO240" s="207">
        <v>0.04761379553396984</v>
      </c>
      <c r="AP240" s="207">
        <v>1</v>
      </c>
      <c r="AQ240" s="207">
        <v>1754</v>
      </c>
      <c r="AR240" s="207">
        <v>0</v>
      </c>
      <c r="AS240" s="207">
        <v>0</v>
      </c>
      <c r="AT240" s="207">
        <v>0</v>
      </c>
      <c r="AU240" s="207">
        <v>241.07</v>
      </c>
      <c r="AV240" s="207">
        <v>25.494669598042062</v>
      </c>
      <c r="AW240" s="207">
        <v>0.7113577938618116</v>
      </c>
      <c r="AX240" s="207">
        <v>340</v>
      </c>
      <c r="AY240" s="207">
        <v>2227</v>
      </c>
      <c r="AZ240" s="207">
        <v>0.15267175572519084</v>
      </c>
      <c r="BA240" s="207">
        <v>0.09148791964095634</v>
      </c>
      <c r="BB240" s="207">
        <v>0</v>
      </c>
      <c r="BC240" s="207">
        <v>1410</v>
      </c>
      <c r="BD240" s="207">
        <v>2872</v>
      </c>
      <c r="BE240" s="207">
        <v>0.4909470752089137</v>
      </c>
      <c r="BF240" s="207">
        <v>0.08204019261782058</v>
      </c>
      <c r="BG240" s="207">
        <v>0</v>
      </c>
      <c r="BH240" s="207">
        <v>0</v>
      </c>
      <c r="BI240" s="207">
        <v>0</v>
      </c>
      <c r="BJ240" s="207">
        <v>-1475.04</v>
      </c>
      <c r="BK240" s="207">
        <v>-25198.6</v>
      </c>
      <c r="BL240" s="207">
        <v>-1720.88</v>
      </c>
      <c r="BM240" s="207">
        <v>-2396.94</v>
      </c>
      <c r="BN240" s="207">
        <v>-122.92</v>
      </c>
      <c r="BO240" s="207">
        <v>25135</v>
      </c>
      <c r="BP240" s="207">
        <v>-125886.56801395788</v>
      </c>
      <c r="BQ240" s="207">
        <v>-557380.74</v>
      </c>
      <c r="BR240" s="207">
        <v>113029.24575293995</v>
      </c>
      <c r="BS240" s="207">
        <v>469181</v>
      </c>
      <c r="BT240" s="207">
        <v>150862</v>
      </c>
      <c r="BU240" s="207">
        <v>268572.64857911115</v>
      </c>
      <c r="BV240" s="207">
        <v>-1211.545421818339</v>
      </c>
      <c r="BW240" s="207">
        <v>-61896.04433055531</v>
      </c>
      <c r="BX240" s="207">
        <v>43681.11176883208</v>
      </c>
      <c r="BY240" s="207">
        <v>308848.1520468308</v>
      </c>
      <c r="BZ240" s="207">
        <v>486273.20829363336</v>
      </c>
      <c r="CA240" s="207">
        <v>135083.05323816193</v>
      </c>
      <c r="CB240" s="207">
        <v>223668.66650105477</v>
      </c>
      <c r="CC240" s="207">
        <v>553.14</v>
      </c>
      <c r="CD240" s="207">
        <v>18712.85390120282</v>
      </c>
      <c r="CE240" s="207">
        <v>265630.12</v>
      </c>
      <c r="CF240" s="207">
        <v>2446122.610329393</v>
      </c>
      <c r="CG240" s="207">
        <v>1399626.7023154348</v>
      </c>
      <c r="CH240" s="207">
        <v>0</v>
      </c>
      <c r="CI240" s="207">
        <v>-596351.3657530455</v>
      </c>
      <c r="CJ240" s="207">
        <v>-1381405</v>
      </c>
      <c r="CK240" s="207">
        <v>0</v>
      </c>
      <c r="CL240" s="207">
        <v>0</v>
      </c>
      <c r="CM240" s="207">
        <v>-918532.4585600005</v>
      </c>
      <c r="CN240" s="207">
        <v>4760251.221933566</v>
      </c>
      <c r="CO240" s="207">
        <v>3841718.763373566</v>
      </c>
      <c r="CP240" s="207">
        <v>6178</v>
      </c>
    </row>
    <row r="241" spans="1:94" ht="9.75">
      <c r="A241" s="175">
        <v>758</v>
      </c>
      <c r="B241" s="175" t="s">
        <v>297</v>
      </c>
      <c r="C241" s="207">
        <v>8545</v>
      </c>
      <c r="D241" s="207">
        <v>27059574.25</v>
      </c>
      <c r="E241" s="207">
        <v>11800769.773226134</v>
      </c>
      <c r="F241" s="207">
        <v>7575948.312654347</v>
      </c>
      <c r="G241" s="207">
        <v>46436292.33588048</v>
      </c>
      <c r="H241" s="207">
        <v>3524.51</v>
      </c>
      <c r="I241" s="207">
        <v>30116937.950000003</v>
      </c>
      <c r="J241" s="207">
        <v>16319354.385880478</v>
      </c>
      <c r="K241" s="207">
        <v>4398286.366059915</v>
      </c>
      <c r="L241" s="207">
        <v>2782795.3090913985</v>
      </c>
      <c r="M241" s="207">
        <v>0</v>
      </c>
      <c r="N241" s="207">
        <v>23500436.06103179</v>
      </c>
      <c r="O241" s="207">
        <v>2716495.8271398465</v>
      </c>
      <c r="P241" s="207">
        <v>26216931.888171636</v>
      </c>
      <c r="Q241" s="207">
        <v>467</v>
      </c>
      <c r="R241" s="207">
        <v>83</v>
      </c>
      <c r="S241" s="207">
        <v>457</v>
      </c>
      <c r="T241" s="207">
        <v>206</v>
      </c>
      <c r="U241" s="207">
        <v>249</v>
      </c>
      <c r="V241" s="207">
        <v>4870</v>
      </c>
      <c r="W241" s="207">
        <v>1254</v>
      </c>
      <c r="X241" s="207">
        <v>730</v>
      </c>
      <c r="Y241" s="207">
        <v>229</v>
      </c>
      <c r="Z241" s="207">
        <v>12</v>
      </c>
      <c r="AA241" s="207">
        <v>135</v>
      </c>
      <c r="AB241" s="207">
        <v>8285</v>
      </c>
      <c r="AC241" s="207">
        <v>113</v>
      </c>
      <c r="AD241" s="207">
        <v>2213</v>
      </c>
      <c r="AE241" s="207">
        <v>1.2185028736413566</v>
      </c>
      <c r="AF241" s="207">
        <v>11800769.773226134</v>
      </c>
      <c r="AG241" s="207">
        <v>18320410.241553433</v>
      </c>
      <c r="AH241" s="207">
        <v>4256342.79726885</v>
      </c>
      <c r="AI241" s="207">
        <v>1938832.9007622795</v>
      </c>
      <c r="AJ241" s="207">
        <v>466</v>
      </c>
      <c r="AK241" s="207">
        <v>4056</v>
      </c>
      <c r="AL241" s="207">
        <v>0.9929153771963021</v>
      </c>
      <c r="AM241" s="207">
        <v>113</v>
      </c>
      <c r="AN241" s="207">
        <v>0.013224107665301346</v>
      </c>
      <c r="AO241" s="207">
        <v>0.008283396202850752</v>
      </c>
      <c r="AP241" s="207">
        <v>0</v>
      </c>
      <c r="AQ241" s="207">
        <v>12</v>
      </c>
      <c r="AR241" s="207">
        <v>135</v>
      </c>
      <c r="AS241" s="207">
        <v>0</v>
      </c>
      <c r="AT241" s="207">
        <v>0</v>
      </c>
      <c r="AU241" s="207">
        <v>11691.74</v>
      </c>
      <c r="AV241" s="207">
        <v>0.7308578534931499</v>
      </c>
      <c r="AW241" s="207">
        <v>24.814444879833232</v>
      </c>
      <c r="AX241" s="207">
        <v>247</v>
      </c>
      <c r="AY241" s="207">
        <v>2408</v>
      </c>
      <c r="AZ241" s="207">
        <v>0.10257475083056479</v>
      </c>
      <c r="BA241" s="207">
        <v>0.0413909147463303</v>
      </c>
      <c r="BB241" s="207">
        <v>1.374116</v>
      </c>
      <c r="BC241" s="207">
        <v>3492</v>
      </c>
      <c r="BD241" s="207">
        <v>3465</v>
      </c>
      <c r="BE241" s="207">
        <v>1.0077922077922077</v>
      </c>
      <c r="BF241" s="207">
        <v>0.5988853252011146</v>
      </c>
      <c r="BG241" s="207">
        <v>1</v>
      </c>
      <c r="BH241" s="207">
        <v>135</v>
      </c>
      <c r="BI241" s="207">
        <v>0</v>
      </c>
      <c r="BJ241" s="207">
        <v>-2050.7999999999997</v>
      </c>
      <c r="BK241" s="207">
        <v>-35034.5</v>
      </c>
      <c r="BL241" s="207">
        <v>-2392.6000000000004</v>
      </c>
      <c r="BM241" s="207">
        <v>-3332.55</v>
      </c>
      <c r="BN241" s="207">
        <v>-170.9</v>
      </c>
      <c r="BO241" s="207">
        <v>420189</v>
      </c>
      <c r="BP241" s="207">
        <v>-66836.22771863756</v>
      </c>
      <c r="BQ241" s="207">
        <v>-774946.0499999999</v>
      </c>
      <c r="BR241" s="207">
        <v>-287297.2251544371</v>
      </c>
      <c r="BS241" s="207">
        <v>693231</v>
      </c>
      <c r="BT241" s="207">
        <v>237883</v>
      </c>
      <c r="BU241" s="207">
        <v>592945.920689107</v>
      </c>
      <c r="BV241" s="207">
        <v>31524.228177903762</v>
      </c>
      <c r="BW241" s="207">
        <v>91412.20974928621</v>
      </c>
      <c r="BX241" s="207">
        <v>255352.7917019284</v>
      </c>
      <c r="BY241" s="207">
        <v>455936.6736646317</v>
      </c>
      <c r="BZ241" s="207">
        <v>690645.5411653761</v>
      </c>
      <c r="CA241" s="207">
        <v>222010.79883570335</v>
      </c>
      <c r="CB241" s="207">
        <v>375931.65217117127</v>
      </c>
      <c r="CC241" s="207">
        <v>769.05</v>
      </c>
      <c r="CD241" s="207">
        <v>-20262.454190634002</v>
      </c>
      <c r="CE241" s="207">
        <v>369314.89999999997</v>
      </c>
      <c r="CF241" s="207">
        <v>4129587.086810036</v>
      </c>
      <c r="CG241" s="207">
        <v>2782795.3090913985</v>
      </c>
      <c r="CH241" s="207">
        <v>0</v>
      </c>
      <c r="CI241" s="207">
        <v>2716495.8271398465</v>
      </c>
      <c r="CJ241" s="207">
        <v>-932640</v>
      </c>
      <c r="CK241" s="207">
        <v>0</v>
      </c>
      <c r="CL241" s="207">
        <v>0</v>
      </c>
      <c r="CM241" s="207">
        <v>-50227.293699999995</v>
      </c>
      <c r="CN241" s="207">
        <v>25284291.888171636</v>
      </c>
      <c r="CO241" s="207">
        <v>25234064.594471637</v>
      </c>
      <c r="CP241" s="207">
        <v>8653</v>
      </c>
    </row>
    <row r="242" spans="1:94" ht="9.75">
      <c r="A242" s="175">
        <v>759</v>
      </c>
      <c r="B242" s="175" t="s">
        <v>298</v>
      </c>
      <c r="C242" s="207">
        <v>2114</v>
      </c>
      <c r="D242" s="207">
        <v>7958160.069999999</v>
      </c>
      <c r="E242" s="207">
        <v>3387585.09290973</v>
      </c>
      <c r="F242" s="207">
        <v>628371.8682828083</v>
      </c>
      <c r="G242" s="207">
        <v>11974117.031192537</v>
      </c>
      <c r="H242" s="207">
        <v>3524.51</v>
      </c>
      <c r="I242" s="207">
        <v>7450814.140000001</v>
      </c>
      <c r="J242" s="207">
        <v>4523302.891192537</v>
      </c>
      <c r="K242" s="207">
        <v>311159.5956179544</v>
      </c>
      <c r="L242" s="207">
        <v>909246.3845110654</v>
      </c>
      <c r="M242" s="207">
        <v>0</v>
      </c>
      <c r="N242" s="207">
        <v>5743708.871321557</v>
      </c>
      <c r="O242" s="207">
        <v>2453032.188654383</v>
      </c>
      <c r="P242" s="207">
        <v>8196741.059975941</v>
      </c>
      <c r="Q242" s="207">
        <v>145</v>
      </c>
      <c r="R242" s="207">
        <v>27</v>
      </c>
      <c r="S242" s="207">
        <v>121</v>
      </c>
      <c r="T242" s="207">
        <v>74</v>
      </c>
      <c r="U242" s="207">
        <v>83</v>
      </c>
      <c r="V242" s="207">
        <v>1044</v>
      </c>
      <c r="W242" s="207">
        <v>329</v>
      </c>
      <c r="X242" s="207">
        <v>207</v>
      </c>
      <c r="Y242" s="207">
        <v>84</v>
      </c>
      <c r="Z242" s="207">
        <v>4</v>
      </c>
      <c r="AA242" s="207">
        <v>0</v>
      </c>
      <c r="AB242" s="207">
        <v>2098</v>
      </c>
      <c r="AC242" s="207">
        <v>12</v>
      </c>
      <c r="AD242" s="207">
        <v>620</v>
      </c>
      <c r="AE242" s="207">
        <v>1.413883145186517</v>
      </c>
      <c r="AF242" s="207">
        <v>3387585.09290973</v>
      </c>
      <c r="AG242" s="207">
        <v>6136838.415911964</v>
      </c>
      <c r="AH242" s="207">
        <v>1226894.4585230506</v>
      </c>
      <c r="AI242" s="207">
        <v>634364.6818162297</v>
      </c>
      <c r="AJ242" s="207">
        <v>98</v>
      </c>
      <c r="AK242" s="207">
        <v>907</v>
      </c>
      <c r="AL242" s="207">
        <v>0.9337767470248183</v>
      </c>
      <c r="AM242" s="207">
        <v>12</v>
      </c>
      <c r="AN242" s="207">
        <v>0.005676442762535478</v>
      </c>
      <c r="AO242" s="207">
        <v>0.0007357313000848848</v>
      </c>
      <c r="AP242" s="207">
        <v>0</v>
      </c>
      <c r="AQ242" s="207">
        <v>4</v>
      </c>
      <c r="AR242" s="207">
        <v>0</v>
      </c>
      <c r="AS242" s="207">
        <v>0</v>
      </c>
      <c r="AT242" s="207">
        <v>0</v>
      </c>
      <c r="AU242" s="207">
        <v>551.95</v>
      </c>
      <c r="AV242" s="207">
        <v>3.83005707038681</v>
      </c>
      <c r="AW242" s="207">
        <v>4.735133599110418</v>
      </c>
      <c r="AX242" s="207">
        <v>74</v>
      </c>
      <c r="AY242" s="207">
        <v>517</v>
      </c>
      <c r="AZ242" s="207">
        <v>0.14313346228239845</v>
      </c>
      <c r="BA242" s="207">
        <v>0.08194962619816396</v>
      </c>
      <c r="BB242" s="207">
        <v>0.520632</v>
      </c>
      <c r="BC242" s="207">
        <v>722</v>
      </c>
      <c r="BD242" s="207">
        <v>725</v>
      </c>
      <c r="BE242" s="207">
        <v>0.9958620689655172</v>
      </c>
      <c r="BF242" s="207">
        <v>0.5869551863744241</v>
      </c>
      <c r="BG242" s="207">
        <v>0</v>
      </c>
      <c r="BH242" s="207">
        <v>0</v>
      </c>
      <c r="BI242" s="207">
        <v>0</v>
      </c>
      <c r="BJ242" s="207">
        <v>-507.35999999999996</v>
      </c>
      <c r="BK242" s="207">
        <v>-8667.4</v>
      </c>
      <c r="BL242" s="207">
        <v>-591.9200000000001</v>
      </c>
      <c r="BM242" s="207">
        <v>-824.46</v>
      </c>
      <c r="BN242" s="207">
        <v>-42.28</v>
      </c>
      <c r="BO242" s="207">
        <v>12453</v>
      </c>
      <c r="BP242" s="207">
        <v>-39390.4066543295</v>
      </c>
      <c r="BQ242" s="207">
        <v>-191718.66</v>
      </c>
      <c r="BR242" s="207">
        <v>-12221.49818348512</v>
      </c>
      <c r="BS242" s="207">
        <v>262591</v>
      </c>
      <c r="BT242" s="207">
        <v>74315</v>
      </c>
      <c r="BU242" s="207">
        <v>200718.70552327146</v>
      </c>
      <c r="BV242" s="207">
        <v>11886.434532257832</v>
      </c>
      <c r="BW242" s="207">
        <v>31400.727928979493</v>
      </c>
      <c r="BX242" s="207">
        <v>102409.69369838842</v>
      </c>
      <c r="BY242" s="207">
        <v>132599.5516883108</v>
      </c>
      <c r="BZ242" s="207">
        <v>196220.17433588332</v>
      </c>
      <c r="CA242" s="207">
        <v>57387.52955641732</v>
      </c>
      <c r="CB242" s="207">
        <v>105689.84633192497</v>
      </c>
      <c r="CC242" s="207">
        <v>190.26</v>
      </c>
      <c r="CD242" s="207">
        <v>-1714.6542465534949</v>
      </c>
      <c r="CE242" s="207">
        <v>91367.08</v>
      </c>
      <c r="CF242" s="207">
        <v>1265292.851165395</v>
      </c>
      <c r="CG242" s="207">
        <v>909246.3845110654</v>
      </c>
      <c r="CH242" s="207">
        <v>0</v>
      </c>
      <c r="CI242" s="207">
        <v>2453032.188654383</v>
      </c>
      <c r="CJ242" s="207">
        <v>-514510</v>
      </c>
      <c r="CK242" s="207">
        <v>0</v>
      </c>
      <c r="CL242" s="207">
        <v>0</v>
      </c>
      <c r="CM242" s="207">
        <v>310207.99</v>
      </c>
      <c r="CN242" s="207">
        <v>7682231.059975941</v>
      </c>
      <c r="CO242" s="207">
        <v>7992439.049975941</v>
      </c>
      <c r="CP242" s="207">
        <v>2186</v>
      </c>
    </row>
    <row r="243" spans="1:94" ht="9.75">
      <c r="A243" s="175">
        <v>761</v>
      </c>
      <c r="B243" s="175" t="s">
        <v>299</v>
      </c>
      <c r="C243" s="207">
        <v>8919</v>
      </c>
      <c r="D243" s="207">
        <v>33568563.79</v>
      </c>
      <c r="E243" s="207">
        <v>11388128.164032264</v>
      </c>
      <c r="F243" s="207">
        <v>1950154.3437051266</v>
      </c>
      <c r="G243" s="207">
        <v>46906846.29773739</v>
      </c>
      <c r="H243" s="207">
        <v>3524.51</v>
      </c>
      <c r="I243" s="207">
        <v>31435104.69</v>
      </c>
      <c r="J243" s="207">
        <v>15471741.607737388</v>
      </c>
      <c r="K243" s="207">
        <v>234835.45080546525</v>
      </c>
      <c r="L243" s="207">
        <v>3425305.959052587</v>
      </c>
      <c r="M243" s="207">
        <v>0</v>
      </c>
      <c r="N243" s="207">
        <v>19131883.01759544</v>
      </c>
      <c r="O243" s="207">
        <v>6688067.180078613</v>
      </c>
      <c r="P243" s="207">
        <v>25819950.19767405</v>
      </c>
      <c r="Q243" s="207">
        <v>443</v>
      </c>
      <c r="R243" s="207">
        <v>91</v>
      </c>
      <c r="S243" s="207">
        <v>523</v>
      </c>
      <c r="T243" s="207">
        <v>325</v>
      </c>
      <c r="U243" s="207">
        <v>291</v>
      </c>
      <c r="V243" s="207">
        <v>4515</v>
      </c>
      <c r="W243" s="207">
        <v>1427</v>
      </c>
      <c r="X243" s="207">
        <v>878</v>
      </c>
      <c r="Y243" s="207">
        <v>426</v>
      </c>
      <c r="Z243" s="207">
        <v>49</v>
      </c>
      <c r="AA243" s="207">
        <v>0</v>
      </c>
      <c r="AB243" s="207">
        <v>8597</v>
      </c>
      <c r="AC243" s="207">
        <v>273</v>
      </c>
      <c r="AD243" s="207">
        <v>2731</v>
      </c>
      <c r="AE243" s="207">
        <v>1.1265863097793254</v>
      </c>
      <c r="AF243" s="207">
        <v>11388128.164032264</v>
      </c>
      <c r="AG243" s="207">
        <v>14616539.84182123</v>
      </c>
      <c r="AH243" s="207">
        <v>4301386.328248849</v>
      </c>
      <c r="AI243" s="207">
        <v>1438488.9263720138</v>
      </c>
      <c r="AJ243" s="207">
        <v>349</v>
      </c>
      <c r="AK243" s="207">
        <v>3867</v>
      </c>
      <c r="AL243" s="207">
        <v>0.7799657299955063</v>
      </c>
      <c r="AM243" s="207">
        <v>273</v>
      </c>
      <c r="AN243" s="207">
        <v>0.030608812647157754</v>
      </c>
      <c r="AO243" s="207">
        <v>0.02566810118470716</v>
      </c>
      <c r="AP243" s="207">
        <v>0</v>
      </c>
      <c r="AQ243" s="207">
        <v>49</v>
      </c>
      <c r="AR243" s="207">
        <v>0</v>
      </c>
      <c r="AS243" s="207">
        <v>0</v>
      </c>
      <c r="AT243" s="207">
        <v>0</v>
      </c>
      <c r="AU243" s="207">
        <v>667.81</v>
      </c>
      <c r="AV243" s="207">
        <v>13.35559515431036</v>
      </c>
      <c r="AW243" s="207">
        <v>1.357920160873241</v>
      </c>
      <c r="AX243" s="207">
        <v>457</v>
      </c>
      <c r="AY243" s="207">
        <v>2449</v>
      </c>
      <c r="AZ243" s="207">
        <v>0.18660677827684768</v>
      </c>
      <c r="BA243" s="207">
        <v>0.12542294219261318</v>
      </c>
      <c r="BB243" s="207">
        <v>0</v>
      </c>
      <c r="BC243" s="207">
        <v>2720</v>
      </c>
      <c r="BD243" s="207">
        <v>3314</v>
      </c>
      <c r="BE243" s="207">
        <v>0.8207604103802052</v>
      </c>
      <c r="BF243" s="207">
        <v>0.4118535277891121</v>
      </c>
      <c r="BG243" s="207">
        <v>0</v>
      </c>
      <c r="BH243" s="207">
        <v>0</v>
      </c>
      <c r="BI243" s="207">
        <v>0</v>
      </c>
      <c r="BJ243" s="207">
        <v>-2140.56</v>
      </c>
      <c r="BK243" s="207">
        <v>-36567.899999999994</v>
      </c>
      <c r="BL243" s="207">
        <v>-2497.32</v>
      </c>
      <c r="BM243" s="207">
        <v>-3478.4100000000003</v>
      </c>
      <c r="BN243" s="207">
        <v>-178.38</v>
      </c>
      <c r="BO243" s="207">
        <v>-61765</v>
      </c>
      <c r="BP243" s="207">
        <v>-215171.2866514871</v>
      </c>
      <c r="BQ243" s="207">
        <v>-808864.11</v>
      </c>
      <c r="BR243" s="207">
        <v>273763.0343242958</v>
      </c>
      <c r="BS243" s="207">
        <v>887508</v>
      </c>
      <c r="BT243" s="207">
        <v>278652</v>
      </c>
      <c r="BU243" s="207">
        <v>659966.2377995836</v>
      </c>
      <c r="BV243" s="207">
        <v>34333.41140619083</v>
      </c>
      <c r="BW243" s="207">
        <v>121275.90096974367</v>
      </c>
      <c r="BX243" s="207">
        <v>306245.2735996983</v>
      </c>
      <c r="BY243" s="207">
        <v>520045.1105944065</v>
      </c>
      <c r="BZ243" s="207">
        <v>867204.306433908</v>
      </c>
      <c r="CA243" s="207">
        <v>244868.48851961794</v>
      </c>
      <c r="CB243" s="207">
        <v>419506.1033859213</v>
      </c>
      <c r="CC243" s="207">
        <v>802.7099999999999</v>
      </c>
      <c r="CD243" s="207">
        <v>38569.49867070903</v>
      </c>
      <c r="CE243" s="207">
        <v>385479.18</v>
      </c>
      <c r="CF243" s="207">
        <v>4976454.255704074</v>
      </c>
      <c r="CG243" s="207">
        <v>3425305.959052587</v>
      </c>
      <c r="CH243" s="207">
        <v>0</v>
      </c>
      <c r="CI243" s="207">
        <v>6688067.180078613</v>
      </c>
      <c r="CJ243" s="207">
        <v>-169821</v>
      </c>
      <c r="CK243" s="207">
        <v>0</v>
      </c>
      <c r="CL243" s="207">
        <v>0</v>
      </c>
      <c r="CM243" s="207">
        <v>161624.96296</v>
      </c>
      <c r="CN243" s="207">
        <v>25650129.19767405</v>
      </c>
      <c r="CO243" s="207">
        <v>25811754.160634052</v>
      </c>
      <c r="CP243" s="207">
        <v>9027</v>
      </c>
    </row>
    <row r="244" spans="1:94" ht="9.75">
      <c r="A244" s="175">
        <v>762</v>
      </c>
      <c r="B244" s="175" t="s">
        <v>300</v>
      </c>
      <c r="C244" s="207">
        <v>4075</v>
      </c>
      <c r="D244" s="207">
        <v>14438447.82</v>
      </c>
      <c r="E244" s="207">
        <v>8366329.3051713295</v>
      </c>
      <c r="F244" s="207">
        <v>1637052.6455845633</v>
      </c>
      <c r="G244" s="207">
        <v>24441829.770755894</v>
      </c>
      <c r="H244" s="207">
        <v>3524.51</v>
      </c>
      <c r="I244" s="207">
        <v>14362378.25</v>
      </c>
      <c r="J244" s="207">
        <v>10079451.520755894</v>
      </c>
      <c r="K244" s="207">
        <v>276640.45543053944</v>
      </c>
      <c r="L244" s="207">
        <v>1785482.6485104458</v>
      </c>
      <c r="M244" s="207">
        <v>0</v>
      </c>
      <c r="N244" s="207">
        <v>12141574.62469688</v>
      </c>
      <c r="O244" s="207">
        <v>3337223.963938301</v>
      </c>
      <c r="P244" s="207">
        <v>15478798.588635182</v>
      </c>
      <c r="Q244" s="207">
        <v>176</v>
      </c>
      <c r="R244" s="207">
        <v>40</v>
      </c>
      <c r="S244" s="207">
        <v>232</v>
      </c>
      <c r="T244" s="207">
        <v>132</v>
      </c>
      <c r="U244" s="207">
        <v>107</v>
      </c>
      <c r="V244" s="207">
        <v>2127</v>
      </c>
      <c r="W244" s="207">
        <v>697</v>
      </c>
      <c r="X244" s="207">
        <v>391</v>
      </c>
      <c r="Y244" s="207">
        <v>173</v>
      </c>
      <c r="Z244" s="207">
        <v>2</v>
      </c>
      <c r="AA244" s="207">
        <v>0</v>
      </c>
      <c r="AB244" s="207">
        <v>4031</v>
      </c>
      <c r="AC244" s="207">
        <v>42</v>
      </c>
      <c r="AD244" s="207">
        <v>1261</v>
      </c>
      <c r="AE244" s="207">
        <v>1.811488698354742</v>
      </c>
      <c r="AF244" s="207">
        <v>8366329.3051713295</v>
      </c>
      <c r="AG244" s="207">
        <v>4414979.241373388</v>
      </c>
      <c r="AH244" s="207">
        <v>1146210.8141130032</v>
      </c>
      <c r="AI244" s="207">
        <v>437800.97759148246</v>
      </c>
      <c r="AJ244" s="207">
        <v>245</v>
      </c>
      <c r="AK244" s="207">
        <v>1783</v>
      </c>
      <c r="AL244" s="207">
        <v>1.1875147357704854</v>
      </c>
      <c r="AM244" s="207">
        <v>42</v>
      </c>
      <c r="AN244" s="207">
        <v>0.010306748466257669</v>
      </c>
      <c r="AO244" s="207">
        <v>0.005366037003807076</v>
      </c>
      <c r="AP244" s="207">
        <v>0</v>
      </c>
      <c r="AQ244" s="207">
        <v>2</v>
      </c>
      <c r="AR244" s="207">
        <v>0</v>
      </c>
      <c r="AS244" s="207">
        <v>0</v>
      </c>
      <c r="AT244" s="207">
        <v>0</v>
      </c>
      <c r="AU244" s="207">
        <v>1465.85</v>
      </c>
      <c r="AV244" s="207">
        <v>2.7799570215233484</v>
      </c>
      <c r="AW244" s="207">
        <v>6.523781403843794</v>
      </c>
      <c r="AX244" s="207">
        <v>162</v>
      </c>
      <c r="AY244" s="207">
        <v>1044</v>
      </c>
      <c r="AZ244" s="207">
        <v>0.15517241379310345</v>
      </c>
      <c r="BA244" s="207">
        <v>0.09398857770886895</v>
      </c>
      <c r="BB244" s="207">
        <v>0.18685</v>
      </c>
      <c r="BC244" s="207">
        <v>1234</v>
      </c>
      <c r="BD244" s="207">
        <v>1443</v>
      </c>
      <c r="BE244" s="207">
        <v>0.8551628551628552</v>
      </c>
      <c r="BF244" s="207">
        <v>0.4462559725717621</v>
      </c>
      <c r="BG244" s="207">
        <v>0</v>
      </c>
      <c r="BH244" s="207">
        <v>0</v>
      </c>
      <c r="BI244" s="207">
        <v>0</v>
      </c>
      <c r="BJ244" s="207">
        <v>-978</v>
      </c>
      <c r="BK244" s="207">
        <v>-16707.5</v>
      </c>
      <c r="BL244" s="207">
        <v>-1141</v>
      </c>
      <c r="BM244" s="207">
        <v>-1589.25</v>
      </c>
      <c r="BN244" s="207">
        <v>-81.5</v>
      </c>
      <c r="BO244" s="207">
        <v>204685</v>
      </c>
      <c r="BP244" s="207">
        <v>-127837.92006970863</v>
      </c>
      <c r="BQ244" s="207">
        <v>-369561.75</v>
      </c>
      <c r="BR244" s="207">
        <v>17535.917514123023</v>
      </c>
      <c r="BS244" s="207">
        <v>462495</v>
      </c>
      <c r="BT244" s="207">
        <v>137719</v>
      </c>
      <c r="BU244" s="207">
        <v>362954.3737061537</v>
      </c>
      <c r="BV244" s="207">
        <v>19428.27120983442</v>
      </c>
      <c r="BW244" s="207">
        <v>53100.47284489389</v>
      </c>
      <c r="BX244" s="207">
        <v>169435.35904417702</v>
      </c>
      <c r="BY244" s="207">
        <v>237698.85287035187</v>
      </c>
      <c r="BZ244" s="207">
        <v>367781.046506204</v>
      </c>
      <c r="CA244" s="207">
        <v>113100.70898919602</v>
      </c>
      <c r="CB244" s="207">
        <v>198358.18347274623</v>
      </c>
      <c r="CC244" s="207">
        <v>366.75</v>
      </c>
      <c r="CD244" s="207">
        <v>2934.382422474824</v>
      </c>
      <c r="CE244" s="207">
        <v>176121.5</v>
      </c>
      <c r="CF244" s="207">
        <v>2523714.8185801543</v>
      </c>
      <c r="CG244" s="207">
        <v>1785482.6485104458</v>
      </c>
      <c r="CH244" s="207">
        <v>0</v>
      </c>
      <c r="CI244" s="207">
        <v>3337223.963938301</v>
      </c>
      <c r="CJ244" s="207">
        <v>-237923</v>
      </c>
      <c r="CK244" s="207">
        <v>0</v>
      </c>
      <c r="CL244" s="207">
        <v>0</v>
      </c>
      <c r="CM244" s="207">
        <v>25714.262319999994</v>
      </c>
      <c r="CN244" s="207">
        <v>15240875.588635182</v>
      </c>
      <c r="CO244" s="207">
        <v>15266589.850955183</v>
      </c>
      <c r="CP244" s="207">
        <v>4199</v>
      </c>
    </row>
    <row r="245" spans="1:94" ht="9.75">
      <c r="A245" s="175">
        <v>765</v>
      </c>
      <c r="B245" s="175" t="s">
        <v>301</v>
      </c>
      <c r="C245" s="207">
        <v>10423</v>
      </c>
      <c r="D245" s="207">
        <v>36441509.29</v>
      </c>
      <c r="E245" s="207">
        <v>13531257.034046814</v>
      </c>
      <c r="F245" s="207">
        <v>3247041.2278032424</v>
      </c>
      <c r="G245" s="207">
        <v>53219807.55185006</v>
      </c>
      <c r="H245" s="207">
        <v>3524.51</v>
      </c>
      <c r="I245" s="207">
        <v>36735967.730000004</v>
      </c>
      <c r="J245" s="207">
        <v>16483839.821850054</v>
      </c>
      <c r="K245" s="207">
        <v>1297267.4406825164</v>
      </c>
      <c r="L245" s="207">
        <v>3484786.3881155606</v>
      </c>
      <c r="M245" s="207">
        <v>0</v>
      </c>
      <c r="N245" s="207">
        <v>21265893.650648132</v>
      </c>
      <c r="O245" s="207">
        <v>4991952.294099939</v>
      </c>
      <c r="P245" s="207">
        <v>26257845.94474807</v>
      </c>
      <c r="Q245" s="207">
        <v>629</v>
      </c>
      <c r="R245" s="207">
        <v>104</v>
      </c>
      <c r="S245" s="207">
        <v>700</v>
      </c>
      <c r="T245" s="207">
        <v>349</v>
      </c>
      <c r="U245" s="207">
        <v>344</v>
      </c>
      <c r="V245" s="207">
        <v>5692</v>
      </c>
      <c r="W245" s="207">
        <v>1458</v>
      </c>
      <c r="X245" s="207">
        <v>791</v>
      </c>
      <c r="Y245" s="207">
        <v>356</v>
      </c>
      <c r="Z245" s="207">
        <v>15</v>
      </c>
      <c r="AA245" s="207">
        <v>0</v>
      </c>
      <c r="AB245" s="207">
        <v>10139</v>
      </c>
      <c r="AC245" s="207">
        <v>269</v>
      </c>
      <c r="AD245" s="207">
        <v>2605</v>
      </c>
      <c r="AE245" s="207">
        <v>1.145443555731964</v>
      </c>
      <c r="AF245" s="207">
        <v>13531257.034046814</v>
      </c>
      <c r="AG245" s="207">
        <v>13646806.715940176</v>
      </c>
      <c r="AH245" s="207">
        <v>3673021.3316395655</v>
      </c>
      <c r="AI245" s="207">
        <v>1331272.3604312425</v>
      </c>
      <c r="AJ245" s="207">
        <v>494</v>
      </c>
      <c r="AK245" s="207">
        <v>4787</v>
      </c>
      <c r="AL245" s="207">
        <v>0.8918417263559172</v>
      </c>
      <c r="AM245" s="207">
        <v>269</v>
      </c>
      <c r="AN245" s="207">
        <v>0.025808308548402572</v>
      </c>
      <c r="AO245" s="207">
        <v>0.02086759708595198</v>
      </c>
      <c r="AP245" s="207">
        <v>0</v>
      </c>
      <c r="AQ245" s="207">
        <v>15</v>
      </c>
      <c r="AR245" s="207">
        <v>0</v>
      </c>
      <c r="AS245" s="207">
        <v>0</v>
      </c>
      <c r="AT245" s="207">
        <v>0</v>
      </c>
      <c r="AU245" s="207">
        <v>2649.21</v>
      </c>
      <c r="AV245" s="207">
        <v>3.934380437941877</v>
      </c>
      <c r="AW245" s="207">
        <v>4.609577595903786</v>
      </c>
      <c r="AX245" s="207">
        <v>315</v>
      </c>
      <c r="AY245" s="207">
        <v>3055</v>
      </c>
      <c r="AZ245" s="207">
        <v>0.10310965630114566</v>
      </c>
      <c r="BA245" s="207">
        <v>0.041925820216911165</v>
      </c>
      <c r="BB245" s="207">
        <v>0.41915</v>
      </c>
      <c r="BC245" s="207">
        <v>4048</v>
      </c>
      <c r="BD245" s="207">
        <v>4153</v>
      </c>
      <c r="BE245" s="207">
        <v>0.9747170719961473</v>
      </c>
      <c r="BF245" s="207">
        <v>0.5658101894050542</v>
      </c>
      <c r="BG245" s="207">
        <v>0</v>
      </c>
      <c r="BH245" s="207">
        <v>0</v>
      </c>
      <c r="BI245" s="207">
        <v>0</v>
      </c>
      <c r="BJ245" s="207">
        <v>-2501.52</v>
      </c>
      <c r="BK245" s="207">
        <v>-42734.299999999996</v>
      </c>
      <c r="BL245" s="207">
        <v>-2918.44</v>
      </c>
      <c r="BM245" s="207">
        <v>-4064.9700000000003</v>
      </c>
      <c r="BN245" s="207">
        <v>-208.46</v>
      </c>
      <c r="BO245" s="207">
        <v>96374</v>
      </c>
      <c r="BP245" s="207">
        <v>-154023.23616459226</v>
      </c>
      <c r="BQ245" s="207">
        <v>-945261.87</v>
      </c>
      <c r="BR245" s="207">
        <v>231609.68106403947</v>
      </c>
      <c r="BS245" s="207">
        <v>912888</v>
      </c>
      <c r="BT245" s="207">
        <v>295616</v>
      </c>
      <c r="BU245" s="207">
        <v>660849.7534606402</v>
      </c>
      <c r="BV245" s="207">
        <v>27703.440061382953</v>
      </c>
      <c r="BW245" s="207">
        <v>87037.29789209824</v>
      </c>
      <c r="BX245" s="207">
        <v>309699.4777221213</v>
      </c>
      <c r="BY245" s="207">
        <v>562001.1400410109</v>
      </c>
      <c r="BZ245" s="207">
        <v>866031.8469819147</v>
      </c>
      <c r="CA245" s="207">
        <v>266946.10668236495</v>
      </c>
      <c r="CB245" s="207">
        <v>472543.7359615906</v>
      </c>
      <c r="CC245" s="207">
        <v>938.0699999999999</v>
      </c>
      <c r="CD245" s="207">
        <v>-40649.81558701109</v>
      </c>
      <c r="CE245" s="207">
        <v>450482.06</v>
      </c>
      <c r="CF245" s="207">
        <v>5200070.794280153</v>
      </c>
      <c r="CG245" s="207">
        <v>3484786.3881155606</v>
      </c>
      <c r="CH245" s="207">
        <v>0</v>
      </c>
      <c r="CI245" s="207">
        <v>4991952.294099939</v>
      </c>
      <c r="CJ245" s="207">
        <v>448656</v>
      </c>
      <c r="CK245" s="207">
        <v>0</v>
      </c>
      <c r="CL245" s="207">
        <v>0</v>
      </c>
      <c r="CM245" s="207">
        <v>-62794.017379999976</v>
      </c>
      <c r="CN245" s="207">
        <v>26706501.94474807</v>
      </c>
      <c r="CO245" s="207">
        <v>26643707.92736807</v>
      </c>
      <c r="CP245" s="207">
        <v>10471</v>
      </c>
    </row>
    <row r="246" spans="1:94" ht="9.75">
      <c r="A246" s="175">
        <v>768</v>
      </c>
      <c r="B246" s="175" t="s">
        <v>302</v>
      </c>
      <c r="C246" s="207">
        <v>2588</v>
      </c>
      <c r="D246" s="207">
        <v>9333103.45</v>
      </c>
      <c r="E246" s="207">
        <v>4585819.175080259</v>
      </c>
      <c r="F246" s="207">
        <v>1862486.3349038137</v>
      </c>
      <c r="G246" s="207">
        <v>15781408.959984072</v>
      </c>
      <c r="H246" s="207">
        <v>3524.51</v>
      </c>
      <c r="I246" s="207">
        <v>9121431.88</v>
      </c>
      <c r="J246" s="207">
        <v>6659977.079984071</v>
      </c>
      <c r="K246" s="207">
        <v>310490.9208007621</v>
      </c>
      <c r="L246" s="207">
        <v>1421347.9336430053</v>
      </c>
      <c r="M246" s="207">
        <v>0</v>
      </c>
      <c r="N246" s="207">
        <v>8391815.934427839</v>
      </c>
      <c r="O246" s="207">
        <v>2316831.7891683676</v>
      </c>
      <c r="P246" s="207">
        <v>10708647.723596206</v>
      </c>
      <c r="Q246" s="207">
        <v>86</v>
      </c>
      <c r="R246" s="207">
        <v>14</v>
      </c>
      <c r="S246" s="207">
        <v>93</v>
      </c>
      <c r="T246" s="207">
        <v>75</v>
      </c>
      <c r="U246" s="207">
        <v>79</v>
      </c>
      <c r="V246" s="207">
        <v>1277</v>
      </c>
      <c r="W246" s="207">
        <v>517</v>
      </c>
      <c r="X246" s="207">
        <v>309</v>
      </c>
      <c r="Y246" s="207">
        <v>138</v>
      </c>
      <c r="Z246" s="207">
        <v>3</v>
      </c>
      <c r="AA246" s="207">
        <v>0</v>
      </c>
      <c r="AB246" s="207">
        <v>2521</v>
      </c>
      <c r="AC246" s="207">
        <v>64</v>
      </c>
      <c r="AD246" s="207">
        <v>964</v>
      </c>
      <c r="AE246" s="207">
        <v>1.563438999616598</v>
      </c>
      <c r="AF246" s="207">
        <v>4585819.175080259</v>
      </c>
      <c r="AG246" s="207">
        <v>9052580.619289713</v>
      </c>
      <c r="AH246" s="207">
        <v>3397419.9333238057</v>
      </c>
      <c r="AI246" s="207">
        <v>866667.2413545672</v>
      </c>
      <c r="AJ246" s="207">
        <v>148</v>
      </c>
      <c r="AK246" s="207">
        <v>1081</v>
      </c>
      <c r="AL246" s="207">
        <v>1.1832057940835536</v>
      </c>
      <c r="AM246" s="207">
        <v>64</v>
      </c>
      <c r="AN246" s="207">
        <v>0.02472952086553323</v>
      </c>
      <c r="AO246" s="207">
        <v>0.019788809403082638</v>
      </c>
      <c r="AP246" s="207">
        <v>0</v>
      </c>
      <c r="AQ246" s="207">
        <v>3</v>
      </c>
      <c r="AR246" s="207">
        <v>0</v>
      </c>
      <c r="AS246" s="207">
        <v>1</v>
      </c>
      <c r="AT246" s="207">
        <v>0</v>
      </c>
      <c r="AU246" s="207">
        <v>584.63</v>
      </c>
      <c r="AV246" s="207">
        <v>4.426731436977233</v>
      </c>
      <c r="AW246" s="207">
        <v>4.096890036971148</v>
      </c>
      <c r="AX246" s="207">
        <v>106</v>
      </c>
      <c r="AY246" s="207">
        <v>585</v>
      </c>
      <c r="AZ246" s="207">
        <v>0.1811965811965812</v>
      </c>
      <c r="BA246" s="207">
        <v>0.12001274511234669</v>
      </c>
      <c r="BB246" s="207">
        <v>0.39875</v>
      </c>
      <c r="BC246" s="207">
        <v>859</v>
      </c>
      <c r="BD246" s="207">
        <v>884</v>
      </c>
      <c r="BE246" s="207">
        <v>0.9717194570135747</v>
      </c>
      <c r="BF246" s="207">
        <v>0.5628125744224816</v>
      </c>
      <c r="BG246" s="207">
        <v>0</v>
      </c>
      <c r="BH246" s="207">
        <v>0</v>
      </c>
      <c r="BI246" s="207">
        <v>0</v>
      </c>
      <c r="BJ246" s="207">
        <v>-621.12</v>
      </c>
      <c r="BK246" s="207">
        <v>-10610.8</v>
      </c>
      <c r="BL246" s="207">
        <v>-724.6400000000001</v>
      </c>
      <c r="BM246" s="207">
        <v>-1009.32</v>
      </c>
      <c r="BN246" s="207">
        <v>-51.76</v>
      </c>
      <c r="BO246" s="207">
        <v>41103</v>
      </c>
      <c r="BP246" s="207">
        <v>-64280.36508400159</v>
      </c>
      <c r="BQ246" s="207">
        <v>-234705.72</v>
      </c>
      <c r="BR246" s="207">
        <v>295311.2232803684</v>
      </c>
      <c r="BS246" s="207">
        <v>318438</v>
      </c>
      <c r="BT246" s="207">
        <v>93179</v>
      </c>
      <c r="BU246" s="207">
        <v>245802.51333843436</v>
      </c>
      <c r="BV246" s="207">
        <v>13843.474499437989</v>
      </c>
      <c r="BW246" s="207">
        <v>41836.60849986856</v>
      </c>
      <c r="BX246" s="207">
        <v>124518.57130691377</v>
      </c>
      <c r="BY246" s="207">
        <v>153944.94648687728</v>
      </c>
      <c r="BZ246" s="207">
        <v>236716.76625517706</v>
      </c>
      <c r="CA246" s="207">
        <v>78152.09849280314</v>
      </c>
      <c r="CB246" s="207">
        <v>132344.63119688578</v>
      </c>
      <c r="CC246" s="207">
        <v>232.92</v>
      </c>
      <c r="CD246" s="207">
        <v>-13992.294629759628</v>
      </c>
      <c r="CE246" s="207">
        <v>111853.36</v>
      </c>
      <c r="CF246" s="207">
        <v>1873284.818727007</v>
      </c>
      <c r="CG246" s="207">
        <v>1421347.9336430053</v>
      </c>
      <c r="CH246" s="207">
        <v>0</v>
      </c>
      <c r="CI246" s="207">
        <v>2316831.7891683676</v>
      </c>
      <c r="CJ246" s="207">
        <v>328638</v>
      </c>
      <c r="CK246" s="207">
        <v>0</v>
      </c>
      <c r="CL246" s="207">
        <v>0</v>
      </c>
      <c r="CM246" s="207">
        <v>146523.77400000003</v>
      </c>
      <c r="CN246" s="207">
        <v>11037285.723596206</v>
      </c>
      <c r="CO246" s="207">
        <v>11183809.497596206</v>
      </c>
      <c r="CP246" s="207">
        <v>2661</v>
      </c>
    </row>
    <row r="247" spans="1:94" ht="9.75">
      <c r="A247" s="175">
        <v>777</v>
      </c>
      <c r="B247" s="175" t="s">
        <v>303</v>
      </c>
      <c r="C247" s="207">
        <v>8051</v>
      </c>
      <c r="D247" s="207">
        <v>27884953.62</v>
      </c>
      <c r="E247" s="207">
        <v>13078039.036535306</v>
      </c>
      <c r="F247" s="207">
        <v>5163458.139474293</v>
      </c>
      <c r="G247" s="207">
        <v>46126450.7960096</v>
      </c>
      <c r="H247" s="207">
        <v>3524.51</v>
      </c>
      <c r="I247" s="207">
        <v>28375830.01</v>
      </c>
      <c r="J247" s="207">
        <v>17750620.7860096</v>
      </c>
      <c r="K247" s="207">
        <v>3707686.6859534904</v>
      </c>
      <c r="L247" s="207">
        <v>3437569.8668355206</v>
      </c>
      <c r="M247" s="207">
        <v>0</v>
      </c>
      <c r="N247" s="207">
        <v>24895877.33879861</v>
      </c>
      <c r="O247" s="207">
        <v>6219584.885417603</v>
      </c>
      <c r="P247" s="207">
        <v>31115462.22421621</v>
      </c>
      <c r="Q247" s="207">
        <v>307</v>
      </c>
      <c r="R247" s="207">
        <v>50</v>
      </c>
      <c r="S247" s="207">
        <v>363</v>
      </c>
      <c r="T247" s="207">
        <v>225</v>
      </c>
      <c r="U247" s="207">
        <v>223</v>
      </c>
      <c r="V247" s="207">
        <v>4199</v>
      </c>
      <c r="W247" s="207">
        <v>1473</v>
      </c>
      <c r="X247" s="207">
        <v>845</v>
      </c>
      <c r="Y247" s="207">
        <v>366</v>
      </c>
      <c r="Z247" s="207">
        <v>4</v>
      </c>
      <c r="AA247" s="207">
        <v>0</v>
      </c>
      <c r="AB247" s="207">
        <v>7857</v>
      </c>
      <c r="AC247" s="207">
        <v>190</v>
      </c>
      <c r="AD247" s="207">
        <v>2684</v>
      </c>
      <c r="AE247" s="207">
        <v>1.4332471600746888</v>
      </c>
      <c r="AF247" s="207">
        <v>13078039.036535306</v>
      </c>
      <c r="AG247" s="207">
        <v>17798545.161514767</v>
      </c>
      <c r="AH247" s="207">
        <v>3799135.478945248</v>
      </c>
      <c r="AI247" s="207">
        <v>1786942.7656795206</v>
      </c>
      <c r="AJ247" s="207">
        <v>563</v>
      </c>
      <c r="AK247" s="207">
        <v>3403</v>
      </c>
      <c r="AL247" s="207">
        <v>1.4297849193013972</v>
      </c>
      <c r="AM247" s="207">
        <v>190</v>
      </c>
      <c r="AN247" s="207">
        <v>0.02359955285057757</v>
      </c>
      <c r="AO247" s="207">
        <v>0.018658841388126977</v>
      </c>
      <c r="AP247" s="207">
        <v>0</v>
      </c>
      <c r="AQ247" s="207">
        <v>4</v>
      </c>
      <c r="AR247" s="207">
        <v>0</v>
      </c>
      <c r="AS247" s="207">
        <v>0</v>
      </c>
      <c r="AT247" s="207">
        <v>0</v>
      </c>
      <c r="AU247" s="207">
        <v>5270.8</v>
      </c>
      <c r="AV247" s="207">
        <v>1.5274721104955604</v>
      </c>
      <c r="AW247" s="207">
        <v>11.873101836612364</v>
      </c>
      <c r="AX247" s="207">
        <v>257</v>
      </c>
      <c r="AY247" s="207">
        <v>2078</v>
      </c>
      <c r="AZ247" s="207">
        <v>0.12367661212704524</v>
      </c>
      <c r="BA247" s="207">
        <v>0.06249277604281075</v>
      </c>
      <c r="BB247" s="207">
        <v>1.355882</v>
      </c>
      <c r="BC247" s="207">
        <v>2395</v>
      </c>
      <c r="BD247" s="207">
        <v>2628</v>
      </c>
      <c r="BE247" s="207">
        <v>0.9113394216133942</v>
      </c>
      <c r="BF247" s="207">
        <v>0.5024325390223011</v>
      </c>
      <c r="BG247" s="207">
        <v>0</v>
      </c>
      <c r="BH247" s="207">
        <v>0</v>
      </c>
      <c r="BI247" s="207">
        <v>0</v>
      </c>
      <c r="BJ247" s="207">
        <v>-1932.24</v>
      </c>
      <c r="BK247" s="207">
        <v>-33009.1</v>
      </c>
      <c r="BL247" s="207">
        <v>-2254.28</v>
      </c>
      <c r="BM247" s="207">
        <v>-3139.8900000000003</v>
      </c>
      <c r="BN247" s="207">
        <v>-161.02</v>
      </c>
      <c r="BO247" s="207">
        <v>441756</v>
      </c>
      <c r="BP247" s="207">
        <v>-151068.99921840412</v>
      </c>
      <c r="BQ247" s="207">
        <v>-730145.19</v>
      </c>
      <c r="BR247" s="207">
        <v>227788.47878620028</v>
      </c>
      <c r="BS247" s="207">
        <v>806106</v>
      </c>
      <c r="BT247" s="207">
        <v>248854</v>
      </c>
      <c r="BU247" s="207">
        <v>595489.9535003655</v>
      </c>
      <c r="BV247" s="207">
        <v>36314.84846337842</v>
      </c>
      <c r="BW247" s="207">
        <v>101867.12397049421</v>
      </c>
      <c r="BX247" s="207">
        <v>342837.98978718405</v>
      </c>
      <c r="BY247" s="207">
        <v>442690.38575004897</v>
      </c>
      <c r="BZ247" s="207">
        <v>683870.585123963</v>
      </c>
      <c r="CA247" s="207">
        <v>216263.91625462237</v>
      </c>
      <c r="CB247" s="207">
        <v>378861.3041038285</v>
      </c>
      <c r="CC247" s="207">
        <v>724.5899999999999</v>
      </c>
      <c r="CD247" s="207">
        <v>-76791.2396861595</v>
      </c>
      <c r="CE247" s="207">
        <v>347964.22</v>
      </c>
      <c r="CF247" s="207">
        <v>4794598.156053925</v>
      </c>
      <c r="CG247" s="207">
        <v>3437569.8668355206</v>
      </c>
      <c r="CH247" s="207">
        <v>0</v>
      </c>
      <c r="CI247" s="207">
        <v>6219584.885417603</v>
      </c>
      <c r="CJ247" s="207">
        <v>-420192</v>
      </c>
      <c r="CK247" s="207">
        <v>0</v>
      </c>
      <c r="CL247" s="207">
        <v>0</v>
      </c>
      <c r="CM247" s="207">
        <v>116242.19403999999</v>
      </c>
      <c r="CN247" s="207">
        <v>30695270.22421621</v>
      </c>
      <c r="CO247" s="207">
        <v>30811512.418256212</v>
      </c>
      <c r="CP247" s="207">
        <v>8187</v>
      </c>
    </row>
    <row r="248" spans="1:94" ht="9.75">
      <c r="A248" s="175">
        <v>778</v>
      </c>
      <c r="B248" s="175" t="s">
        <v>304</v>
      </c>
      <c r="C248" s="207">
        <v>7266</v>
      </c>
      <c r="D248" s="207">
        <v>26691477.12</v>
      </c>
      <c r="E248" s="207">
        <v>14336813.440705892</v>
      </c>
      <c r="F248" s="207">
        <v>1582716.4926386822</v>
      </c>
      <c r="G248" s="207">
        <v>42611007.05334458</v>
      </c>
      <c r="H248" s="207">
        <v>3524.51</v>
      </c>
      <c r="I248" s="207">
        <v>25609089.66</v>
      </c>
      <c r="J248" s="207">
        <v>17001917.393344577</v>
      </c>
      <c r="K248" s="207">
        <v>318379.05716775457</v>
      </c>
      <c r="L248" s="207">
        <v>2388804.823181118</v>
      </c>
      <c r="M248" s="207">
        <v>0</v>
      </c>
      <c r="N248" s="207">
        <v>19709101.27369345</v>
      </c>
      <c r="O248" s="207">
        <v>5626702.726554447</v>
      </c>
      <c r="P248" s="207">
        <v>25335804.000247896</v>
      </c>
      <c r="Q248" s="207">
        <v>385</v>
      </c>
      <c r="R248" s="207">
        <v>66</v>
      </c>
      <c r="S248" s="207">
        <v>404</v>
      </c>
      <c r="T248" s="207">
        <v>238</v>
      </c>
      <c r="U248" s="207">
        <v>218</v>
      </c>
      <c r="V248" s="207">
        <v>3777</v>
      </c>
      <c r="W248" s="207">
        <v>1143</v>
      </c>
      <c r="X248" s="207">
        <v>697</v>
      </c>
      <c r="Y248" s="207">
        <v>338</v>
      </c>
      <c r="Z248" s="207">
        <v>3</v>
      </c>
      <c r="AA248" s="207">
        <v>0</v>
      </c>
      <c r="AB248" s="207">
        <v>7102</v>
      </c>
      <c r="AC248" s="207">
        <v>161</v>
      </c>
      <c r="AD248" s="207">
        <v>2178</v>
      </c>
      <c r="AE248" s="207">
        <v>1.7409469103839836</v>
      </c>
      <c r="AF248" s="207">
        <v>14336813.440705892</v>
      </c>
      <c r="AG248" s="207">
        <v>5785518.5650464995</v>
      </c>
      <c r="AH248" s="207">
        <v>1634917.6463693546</v>
      </c>
      <c r="AI248" s="207">
        <v>518213.40204706095</v>
      </c>
      <c r="AJ248" s="207">
        <v>335</v>
      </c>
      <c r="AK248" s="207">
        <v>3039</v>
      </c>
      <c r="AL248" s="207">
        <v>0.9526609709818479</v>
      </c>
      <c r="AM248" s="207">
        <v>161</v>
      </c>
      <c r="AN248" s="207">
        <v>0.022157996146435453</v>
      </c>
      <c r="AO248" s="207">
        <v>0.01721728468398486</v>
      </c>
      <c r="AP248" s="207">
        <v>0</v>
      </c>
      <c r="AQ248" s="207">
        <v>3</v>
      </c>
      <c r="AR248" s="207">
        <v>0</v>
      </c>
      <c r="AS248" s="207">
        <v>0</v>
      </c>
      <c r="AT248" s="207">
        <v>0</v>
      </c>
      <c r="AU248" s="207">
        <v>713.54</v>
      </c>
      <c r="AV248" s="207">
        <v>10.18303108445217</v>
      </c>
      <c r="AW248" s="207">
        <v>1.780985619123707</v>
      </c>
      <c r="AX248" s="207">
        <v>293</v>
      </c>
      <c r="AY248" s="207">
        <v>2018</v>
      </c>
      <c r="AZ248" s="207">
        <v>0.14519326065411298</v>
      </c>
      <c r="BA248" s="207">
        <v>0.08400942456987848</v>
      </c>
      <c r="BB248" s="207">
        <v>0.0468</v>
      </c>
      <c r="BC248" s="207">
        <v>2433</v>
      </c>
      <c r="BD248" s="207">
        <v>2588</v>
      </c>
      <c r="BE248" s="207">
        <v>0.9401081916537867</v>
      </c>
      <c r="BF248" s="207">
        <v>0.5312013090626936</v>
      </c>
      <c r="BG248" s="207">
        <v>0</v>
      </c>
      <c r="BH248" s="207">
        <v>0</v>
      </c>
      <c r="BI248" s="207">
        <v>0</v>
      </c>
      <c r="BJ248" s="207">
        <v>-1743.84</v>
      </c>
      <c r="BK248" s="207">
        <v>-29790.6</v>
      </c>
      <c r="BL248" s="207">
        <v>-2034.4800000000002</v>
      </c>
      <c r="BM248" s="207">
        <v>-2833.7400000000002</v>
      </c>
      <c r="BN248" s="207">
        <v>-145.32</v>
      </c>
      <c r="BO248" s="207">
        <v>162668</v>
      </c>
      <c r="BP248" s="207">
        <v>-357450.17128560535</v>
      </c>
      <c r="BQ248" s="207">
        <v>-658953.54</v>
      </c>
      <c r="BR248" s="207">
        <v>90136.78364054114</v>
      </c>
      <c r="BS248" s="207">
        <v>704270</v>
      </c>
      <c r="BT248" s="207">
        <v>209751</v>
      </c>
      <c r="BU248" s="207">
        <v>485287.2878394426</v>
      </c>
      <c r="BV248" s="207">
        <v>25695.22304491622</v>
      </c>
      <c r="BW248" s="207">
        <v>43720.77733674577</v>
      </c>
      <c r="BX248" s="207">
        <v>273033.9694706407</v>
      </c>
      <c r="BY248" s="207">
        <v>378602.8976657321</v>
      </c>
      <c r="BZ248" s="207">
        <v>648137.3381879628</v>
      </c>
      <c r="CA248" s="207">
        <v>173244.28450334622</v>
      </c>
      <c r="CB248" s="207">
        <v>334603.79920547735</v>
      </c>
      <c r="CC248" s="207">
        <v>653.9399999999999</v>
      </c>
      <c r="CD248" s="207">
        <v>-9212.686428081506</v>
      </c>
      <c r="CE248" s="207">
        <v>314036.52</v>
      </c>
      <c r="CF248" s="207">
        <v>3834629.134466723</v>
      </c>
      <c r="CG248" s="207">
        <v>2388804.823181118</v>
      </c>
      <c r="CH248" s="207">
        <v>0</v>
      </c>
      <c r="CI248" s="207">
        <v>5626702.726554447</v>
      </c>
      <c r="CJ248" s="207">
        <v>-173722</v>
      </c>
      <c r="CK248" s="207">
        <v>0</v>
      </c>
      <c r="CL248" s="207">
        <v>0</v>
      </c>
      <c r="CM248" s="207">
        <v>55943.04091999997</v>
      </c>
      <c r="CN248" s="207">
        <v>25162082.000247896</v>
      </c>
      <c r="CO248" s="207">
        <v>25218025.041167896</v>
      </c>
      <c r="CP248" s="207">
        <v>7312</v>
      </c>
    </row>
    <row r="249" spans="1:94" ht="9.75">
      <c r="A249" s="175">
        <v>781</v>
      </c>
      <c r="B249" s="175" t="s">
        <v>305</v>
      </c>
      <c r="C249" s="207">
        <v>3859</v>
      </c>
      <c r="D249" s="207">
        <v>14463506.270000001</v>
      </c>
      <c r="E249" s="207">
        <v>6360015.7233869415</v>
      </c>
      <c r="F249" s="207">
        <v>1067653.446463601</v>
      </c>
      <c r="G249" s="207">
        <v>21891175.439850543</v>
      </c>
      <c r="H249" s="207">
        <v>3524.51</v>
      </c>
      <c r="I249" s="207">
        <v>13601084.090000002</v>
      </c>
      <c r="J249" s="207">
        <v>8290091.349850541</v>
      </c>
      <c r="K249" s="207">
        <v>494010.598869747</v>
      </c>
      <c r="L249" s="207">
        <v>1596745.6835632075</v>
      </c>
      <c r="M249" s="207">
        <v>0</v>
      </c>
      <c r="N249" s="207">
        <v>10380847.632283496</v>
      </c>
      <c r="O249" s="207">
        <v>3359978.8059892566</v>
      </c>
      <c r="P249" s="207">
        <v>13740826.438272752</v>
      </c>
      <c r="Q249" s="207">
        <v>134</v>
      </c>
      <c r="R249" s="207">
        <v>22</v>
      </c>
      <c r="S249" s="207">
        <v>144</v>
      </c>
      <c r="T249" s="207">
        <v>110</v>
      </c>
      <c r="U249" s="207">
        <v>95</v>
      </c>
      <c r="V249" s="207">
        <v>1832</v>
      </c>
      <c r="W249" s="207">
        <v>783</v>
      </c>
      <c r="X249" s="207">
        <v>517</v>
      </c>
      <c r="Y249" s="207">
        <v>222</v>
      </c>
      <c r="Z249" s="207">
        <v>7</v>
      </c>
      <c r="AA249" s="207">
        <v>1</v>
      </c>
      <c r="AB249" s="207">
        <v>3786</v>
      </c>
      <c r="AC249" s="207">
        <v>65</v>
      </c>
      <c r="AD249" s="207">
        <v>1522</v>
      </c>
      <c r="AE249" s="207">
        <v>1.4541583383753618</v>
      </c>
      <c r="AF249" s="207">
        <v>6360015.7233869415</v>
      </c>
      <c r="AG249" s="207">
        <v>17166647.687269513</v>
      </c>
      <c r="AH249" s="207">
        <v>4386249.269347762</v>
      </c>
      <c r="AI249" s="207">
        <v>1974571.7560758695</v>
      </c>
      <c r="AJ249" s="207">
        <v>169</v>
      </c>
      <c r="AK249" s="207">
        <v>1538</v>
      </c>
      <c r="AL249" s="207">
        <v>0.9496304577519519</v>
      </c>
      <c r="AM249" s="207">
        <v>65</v>
      </c>
      <c r="AN249" s="207">
        <v>0.01684374190204716</v>
      </c>
      <c r="AO249" s="207">
        <v>0.01190303043959657</v>
      </c>
      <c r="AP249" s="207">
        <v>0</v>
      </c>
      <c r="AQ249" s="207">
        <v>7</v>
      </c>
      <c r="AR249" s="207">
        <v>1</v>
      </c>
      <c r="AS249" s="207">
        <v>0</v>
      </c>
      <c r="AT249" s="207">
        <v>0</v>
      </c>
      <c r="AU249" s="207">
        <v>666.3</v>
      </c>
      <c r="AV249" s="207">
        <v>5.791685426984842</v>
      </c>
      <c r="AW249" s="207">
        <v>3.131356519468381</v>
      </c>
      <c r="AX249" s="207">
        <v>166</v>
      </c>
      <c r="AY249" s="207">
        <v>874</v>
      </c>
      <c r="AZ249" s="207">
        <v>0.18993135011441648</v>
      </c>
      <c r="BA249" s="207">
        <v>0.12874751403018198</v>
      </c>
      <c r="BB249" s="207">
        <v>0.491066</v>
      </c>
      <c r="BC249" s="207">
        <v>1025</v>
      </c>
      <c r="BD249" s="207">
        <v>1292</v>
      </c>
      <c r="BE249" s="207">
        <v>0.7933436532507739</v>
      </c>
      <c r="BF249" s="207">
        <v>0.38443677065968085</v>
      </c>
      <c r="BG249" s="207">
        <v>0</v>
      </c>
      <c r="BH249" s="207">
        <v>1</v>
      </c>
      <c r="BI249" s="207">
        <v>0</v>
      </c>
      <c r="BJ249" s="207">
        <v>-926.16</v>
      </c>
      <c r="BK249" s="207">
        <v>-15821.899999999998</v>
      </c>
      <c r="BL249" s="207">
        <v>-1080.5200000000002</v>
      </c>
      <c r="BM249" s="207">
        <v>-1505.01</v>
      </c>
      <c r="BN249" s="207">
        <v>-77.18</v>
      </c>
      <c r="BO249" s="207">
        <v>-24046</v>
      </c>
      <c r="BP249" s="207">
        <v>-114298.62741173484</v>
      </c>
      <c r="BQ249" s="207">
        <v>-349972.70999999996</v>
      </c>
      <c r="BR249" s="207">
        <v>145472.55402242765</v>
      </c>
      <c r="BS249" s="207">
        <v>463075</v>
      </c>
      <c r="BT249" s="207">
        <v>135088</v>
      </c>
      <c r="BU249" s="207">
        <v>329559.86847875454</v>
      </c>
      <c r="BV249" s="207">
        <v>18974.214570919707</v>
      </c>
      <c r="BW249" s="207">
        <v>37232.07945562535</v>
      </c>
      <c r="BX249" s="207">
        <v>167524.88728627606</v>
      </c>
      <c r="BY249" s="207">
        <v>215960.8521776721</v>
      </c>
      <c r="BZ249" s="207">
        <v>346788.1419258695</v>
      </c>
      <c r="CA249" s="207">
        <v>111657.66664430997</v>
      </c>
      <c r="CB249" s="207">
        <v>184995.47928799695</v>
      </c>
      <c r="CC249" s="207">
        <v>347.31</v>
      </c>
      <c r="CD249" s="207">
        <v>-10332.11287490934</v>
      </c>
      <c r="CE249" s="207">
        <v>166785.97999999998</v>
      </c>
      <c r="CF249" s="207">
        <v>2289083.9209749424</v>
      </c>
      <c r="CG249" s="207">
        <v>1596745.6835632075</v>
      </c>
      <c r="CH249" s="207">
        <v>0</v>
      </c>
      <c r="CI249" s="207">
        <v>3359978.8059892566</v>
      </c>
      <c r="CJ249" s="207">
        <v>-522463</v>
      </c>
      <c r="CK249" s="207">
        <v>0</v>
      </c>
      <c r="CL249" s="207">
        <v>0</v>
      </c>
      <c r="CM249" s="207">
        <v>-91412.35450000004</v>
      </c>
      <c r="CN249" s="207">
        <v>13218363.438272752</v>
      </c>
      <c r="CO249" s="207">
        <v>13126951.083772752</v>
      </c>
      <c r="CP249" s="207">
        <v>3953</v>
      </c>
    </row>
    <row r="250" spans="1:94" ht="9.75">
      <c r="A250" s="175">
        <v>783</v>
      </c>
      <c r="B250" s="175" t="s">
        <v>306</v>
      </c>
      <c r="C250" s="207">
        <v>6903</v>
      </c>
      <c r="D250" s="207">
        <v>24074054.64</v>
      </c>
      <c r="E250" s="207">
        <v>7611197.878443622</v>
      </c>
      <c r="F250" s="207">
        <v>1065193.5179990972</v>
      </c>
      <c r="G250" s="207">
        <v>32750446.03644272</v>
      </c>
      <c r="H250" s="207">
        <v>3524.51</v>
      </c>
      <c r="I250" s="207">
        <v>24329692.53</v>
      </c>
      <c r="J250" s="207">
        <v>8420753.506442718</v>
      </c>
      <c r="K250" s="207">
        <v>335681.8133449465</v>
      </c>
      <c r="L250" s="207">
        <v>2054014.59230571</v>
      </c>
      <c r="M250" s="207">
        <v>0</v>
      </c>
      <c r="N250" s="207">
        <v>10810449.912093375</v>
      </c>
      <c r="O250" s="207">
        <v>1450410.9988834423</v>
      </c>
      <c r="P250" s="207">
        <v>12260860.910976818</v>
      </c>
      <c r="Q250" s="207">
        <v>330</v>
      </c>
      <c r="R250" s="207">
        <v>67</v>
      </c>
      <c r="S250" s="207">
        <v>420</v>
      </c>
      <c r="T250" s="207">
        <v>197</v>
      </c>
      <c r="U250" s="207">
        <v>228</v>
      </c>
      <c r="V250" s="207">
        <v>3651</v>
      </c>
      <c r="W250" s="207">
        <v>1125</v>
      </c>
      <c r="X250" s="207">
        <v>610</v>
      </c>
      <c r="Y250" s="207">
        <v>275</v>
      </c>
      <c r="Z250" s="207">
        <v>11</v>
      </c>
      <c r="AA250" s="207">
        <v>0</v>
      </c>
      <c r="AB250" s="207">
        <v>6756</v>
      </c>
      <c r="AC250" s="207">
        <v>136</v>
      </c>
      <c r="AD250" s="207">
        <v>2010</v>
      </c>
      <c r="AE250" s="207">
        <v>0.9728444975040084</v>
      </c>
      <c r="AF250" s="207">
        <v>7611197.878443622</v>
      </c>
      <c r="AG250" s="207">
        <v>16004914.177775942</v>
      </c>
      <c r="AH250" s="207">
        <v>5129351.438943035</v>
      </c>
      <c r="AI250" s="207">
        <v>1974571.7560758695</v>
      </c>
      <c r="AJ250" s="207">
        <v>217</v>
      </c>
      <c r="AK250" s="207">
        <v>3207</v>
      </c>
      <c r="AL250" s="207">
        <v>0.5847699406676647</v>
      </c>
      <c r="AM250" s="207">
        <v>136</v>
      </c>
      <c r="AN250" s="207">
        <v>0.01970157902361292</v>
      </c>
      <c r="AO250" s="207">
        <v>0.014760867561162329</v>
      </c>
      <c r="AP250" s="207">
        <v>0</v>
      </c>
      <c r="AQ250" s="207">
        <v>11</v>
      </c>
      <c r="AR250" s="207">
        <v>0</v>
      </c>
      <c r="AS250" s="207">
        <v>0</v>
      </c>
      <c r="AT250" s="207">
        <v>0</v>
      </c>
      <c r="AU250" s="207">
        <v>406.75</v>
      </c>
      <c r="AV250" s="207">
        <v>16.971112476951443</v>
      </c>
      <c r="AW250" s="207">
        <v>1.068629528272196</v>
      </c>
      <c r="AX250" s="207">
        <v>286</v>
      </c>
      <c r="AY250" s="207">
        <v>1939</v>
      </c>
      <c r="AZ250" s="207">
        <v>0.147498710675606</v>
      </c>
      <c r="BA250" s="207">
        <v>0.0863148745913715</v>
      </c>
      <c r="BB250" s="207">
        <v>0</v>
      </c>
      <c r="BC250" s="207">
        <v>3304</v>
      </c>
      <c r="BD250" s="207">
        <v>2825</v>
      </c>
      <c r="BE250" s="207">
        <v>1.1695575221238939</v>
      </c>
      <c r="BF250" s="207">
        <v>0.7606506395328008</v>
      </c>
      <c r="BG250" s="207">
        <v>0</v>
      </c>
      <c r="BH250" s="207">
        <v>0</v>
      </c>
      <c r="BI250" s="207">
        <v>0</v>
      </c>
      <c r="BJ250" s="207">
        <v>-1656.72</v>
      </c>
      <c r="BK250" s="207">
        <v>-28302.3</v>
      </c>
      <c r="BL250" s="207">
        <v>-1932.8400000000001</v>
      </c>
      <c r="BM250" s="207">
        <v>-2692.17</v>
      </c>
      <c r="BN250" s="207">
        <v>-138.06</v>
      </c>
      <c r="BO250" s="207">
        <v>47465</v>
      </c>
      <c r="BP250" s="207">
        <v>-39266.54728787934</v>
      </c>
      <c r="BQ250" s="207">
        <v>-626033.07</v>
      </c>
      <c r="BR250" s="207">
        <v>-178525.3878174806</v>
      </c>
      <c r="BS250" s="207">
        <v>571140</v>
      </c>
      <c r="BT250" s="207">
        <v>198708</v>
      </c>
      <c r="BU250" s="207">
        <v>465544.3272727316</v>
      </c>
      <c r="BV250" s="207">
        <v>22979.34661993128</v>
      </c>
      <c r="BW250" s="207">
        <v>42267.12753764469</v>
      </c>
      <c r="BX250" s="207">
        <v>197526.7378012822</v>
      </c>
      <c r="BY250" s="207">
        <v>364442.3635822092</v>
      </c>
      <c r="BZ250" s="207">
        <v>669948.5572310707</v>
      </c>
      <c r="CA250" s="207">
        <v>180015.7879197041</v>
      </c>
      <c r="CB250" s="207">
        <v>299742.67337186687</v>
      </c>
      <c r="CC250" s="207">
        <v>621.27</v>
      </c>
      <c r="CD250" s="207">
        <v>-52941.95392537101</v>
      </c>
      <c r="CE250" s="207">
        <v>298347.66</v>
      </c>
      <c r="CF250" s="207">
        <v>3127281.509593589</v>
      </c>
      <c r="CG250" s="207">
        <v>2054014.59230571</v>
      </c>
      <c r="CH250" s="207">
        <v>0</v>
      </c>
      <c r="CI250" s="207">
        <v>1450410.9988834423</v>
      </c>
      <c r="CJ250" s="207">
        <v>-571984</v>
      </c>
      <c r="CK250" s="207">
        <v>0</v>
      </c>
      <c r="CL250" s="207">
        <v>0</v>
      </c>
      <c r="CM250" s="207">
        <v>-184171.14368</v>
      </c>
      <c r="CN250" s="207">
        <v>11688876.910976818</v>
      </c>
      <c r="CO250" s="207">
        <v>11504705.767296817</v>
      </c>
      <c r="CP250" s="207">
        <v>6988</v>
      </c>
    </row>
    <row r="251" spans="1:94" ht="9.75">
      <c r="A251" s="175">
        <v>831</v>
      </c>
      <c r="B251" s="175" t="s">
        <v>307</v>
      </c>
      <c r="C251" s="207">
        <v>4774</v>
      </c>
      <c r="D251" s="207">
        <v>16135151.329999998</v>
      </c>
      <c r="E251" s="207">
        <v>4222468.656412245</v>
      </c>
      <c r="F251" s="207">
        <v>1520821.951605456</v>
      </c>
      <c r="G251" s="207">
        <v>21878441.938017696</v>
      </c>
      <c r="H251" s="207">
        <v>3524.51</v>
      </c>
      <c r="I251" s="207">
        <v>16826010.740000002</v>
      </c>
      <c r="J251" s="207">
        <v>5052431.198017694</v>
      </c>
      <c r="K251" s="207">
        <v>0</v>
      </c>
      <c r="L251" s="207">
        <v>1029154.9575382795</v>
      </c>
      <c r="M251" s="207">
        <v>0</v>
      </c>
      <c r="N251" s="207">
        <v>6081586.155555974</v>
      </c>
      <c r="O251" s="207">
        <v>850015.0038423323</v>
      </c>
      <c r="P251" s="207">
        <v>6931601.159398306</v>
      </c>
      <c r="Q251" s="207">
        <v>262</v>
      </c>
      <c r="R251" s="207">
        <v>52</v>
      </c>
      <c r="S251" s="207">
        <v>354</v>
      </c>
      <c r="T251" s="207">
        <v>201</v>
      </c>
      <c r="U251" s="207">
        <v>163</v>
      </c>
      <c r="V251" s="207">
        <v>2636</v>
      </c>
      <c r="W251" s="207">
        <v>658</v>
      </c>
      <c r="X251" s="207">
        <v>341</v>
      </c>
      <c r="Y251" s="207">
        <v>107</v>
      </c>
      <c r="Z251" s="207">
        <v>6</v>
      </c>
      <c r="AA251" s="207">
        <v>0</v>
      </c>
      <c r="AB251" s="207">
        <v>4594</v>
      </c>
      <c r="AC251" s="207">
        <v>174</v>
      </c>
      <c r="AD251" s="207">
        <v>1106</v>
      </c>
      <c r="AE251" s="207">
        <v>0.7803910985149498</v>
      </c>
      <c r="AF251" s="207">
        <v>4222468.656412245</v>
      </c>
      <c r="AG251" s="207">
        <v>40769609.22014033</v>
      </c>
      <c r="AH251" s="207">
        <v>10547229.138184061</v>
      </c>
      <c r="AI251" s="207">
        <v>4654985.904595151</v>
      </c>
      <c r="AJ251" s="207">
        <v>220</v>
      </c>
      <c r="AK251" s="207">
        <v>2299</v>
      </c>
      <c r="AL251" s="207">
        <v>0.8270046963690167</v>
      </c>
      <c r="AM251" s="207">
        <v>174</v>
      </c>
      <c r="AN251" s="207">
        <v>0.036447423544197735</v>
      </c>
      <c r="AO251" s="207">
        <v>0.03150671208174714</v>
      </c>
      <c r="AP251" s="207">
        <v>0</v>
      </c>
      <c r="AQ251" s="207">
        <v>6</v>
      </c>
      <c r="AR251" s="207">
        <v>0</v>
      </c>
      <c r="AS251" s="207">
        <v>3</v>
      </c>
      <c r="AT251" s="207">
        <v>2136</v>
      </c>
      <c r="AU251" s="207">
        <v>344.88</v>
      </c>
      <c r="AV251" s="207">
        <v>13.842495940617026</v>
      </c>
      <c r="AW251" s="207">
        <v>1.3101562029203384</v>
      </c>
      <c r="AX251" s="207">
        <v>139</v>
      </c>
      <c r="AY251" s="207">
        <v>1469</v>
      </c>
      <c r="AZ251" s="207">
        <v>0.09462219196732471</v>
      </c>
      <c r="BA251" s="207">
        <v>0.03343835588309022</v>
      </c>
      <c r="BB251" s="207">
        <v>0</v>
      </c>
      <c r="BC251" s="207">
        <v>808</v>
      </c>
      <c r="BD251" s="207">
        <v>1976</v>
      </c>
      <c r="BE251" s="207">
        <v>0.4089068825910931</v>
      </c>
      <c r="BF251" s="207">
        <v>0</v>
      </c>
      <c r="BG251" s="207">
        <v>0</v>
      </c>
      <c r="BH251" s="207">
        <v>0</v>
      </c>
      <c r="BI251" s="207">
        <v>0</v>
      </c>
      <c r="BJ251" s="207">
        <v>-1145.76</v>
      </c>
      <c r="BK251" s="207">
        <v>-19573.399999999998</v>
      </c>
      <c r="BL251" s="207">
        <v>-1336.72</v>
      </c>
      <c r="BM251" s="207">
        <v>-1861.8600000000001</v>
      </c>
      <c r="BN251" s="207">
        <v>-95.48</v>
      </c>
      <c r="BO251" s="207">
        <v>-95390</v>
      </c>
      <c r="BP251" s="207">
        <v>-89243.72577306867</v>
      </c>
      <c r="BQ251" s="207">
        <v>-432954.06</v>
      </c>
      <c r="BR251" s="207">
        <v>49043.06950616464</v>
      </c>
      <c r="BS251" s="207">
        <v>361432</v>
      </c>
      <c r="BT251" s="207">
        <v>117092</v>
      </c>
      <c r="BU251" s="207">
        <v>229111.4160647514</v>
      </c>
      <c r="BV251" s="207">
        <v>6495.438585251213</v>
      </c>
      <c r="BW251" s="207">
        <v>6379.841051341545</v>
      </c>
      <c r="BX251" s="207">
        <v>104989.19278325992</v>
      </c>
      <c r="BY251" s="207">
        <v>209440.9620708233</v>
      </c>
      <c r="BZ251" s="207">
        <v>352663.03044384293</v>
      </c>
      <c r="CA251" s="207">
        <v>97291.30030495934</v>
      </c>
      <c r="CB251" s="207">
        <v>174429.34441103344</v>
      </c>
      <c r="CC251" s="207">
        <v>429.65999999999997</v>
      </c>
      <c r="CD251" s="207">
        <v>13756.608089920519</v>
      </c>
      <c r="CE251" s="207">
        <v>206332.28</v>
      </c>
      <c r="CF251" s="207">
        <v>1833496.143311348</v>
      </c>
      <c r="CG251" s="207">
        <v>1029154.9575382795</v>
      </c>
      <c r="CH251" s="207">
        <v>0</v>
      </c>
      <c r="CI251" s="207">
        <v>850015.0038423323</v>
      </c>
      <c r="CJ251" s="207">
        <v>-889150</v>
      </c>
      <c r="CK251" s="207">
        <v>0</v>
      </c>
      <c r="CL251" s="207">
        <v>0</v>
      </c>
      <c r="CM251" s="207">
        <v>-326008.79698000004</v>
      </c>
      <c r="CN251" s="207">
        <v>6042451.159398306</v>
      </c>
      <c r="CO251" s="207">
        <v>5716442.362418306</v>
      </c>
      <c r="CP251" s="207">
        <v>4832</v>
      </c>
    </row>
    <row r="252" spans="1:94" ht="9.75">
      <c r="A252" s="175">
        <v>832</v>
      </c>
      <c r="B252" s="175" t="s">
        <v>308</v>
      </c>
      <c r="C252" s="207">
        <v>4058</v>
      </c>
      <c r="D252" s="207">
        <v>13910982.6</v>
      </c>
      <c r="E252" s="207">
        <v>6869148.857974789</v>
      </c>
      <c r="F252" s="207">
        <v>2369012.952788229</v>
      </c>
      <c r="G252" s="207">
        <v>23149144.410763018</v>
      </c>
      <c r="H252" s="207">
        <v>3524.51</v>
      </c>
      <c r="I252" s="207">
        <v>14302461.58</v>
      </c>
      <c r="J252" s="207">
        <v>8846682.830763018</v>
      </c>
      <c r="K252" s="207">
        <v>4280337.950523558</v>
      </c>
      <c r="L252" s="207">
        <v>1394564.9809220785</v>
      </c>
      <c r="M252" s="207">
        <v>0</v>
      </c>
      <c r="N252" s="207">
        <v>14521585.762208654</v>
      </c>
      <c r="O252" s="207">
        <v>3736730.783967742</v>
      </c>
      <c r="P252" s="207">
        <v>18258316.546176396</v>
      </c>
      <c r="Q252" s="207">
        <v>195</v>
      </c>
      <c r="R252" s="207">
        <v>29</v>
      </c>
      <c r="S252" s="207">
        <v>298</v>
      </c>
      <c r="T252" s="207">
        <v>136</v>
      </c>
      <c r="U252" s="207">
        <v>148</v>
      </c>
      <c r="V252" s="207">
        <v>2135</v>
      </c>
      <c r="W252" s="207">
        <v>612</v>
      </c>
      <c r="X252" s="207">
        <v>392</v>
      </c>
      <c r="Y252" s="207">
        <v>113</v>
      </c>
      <c r="Z252" s="207">
        <v>1</v>
      </c>
      <c r="AA252" s="207">
        <v>0</v>
      </c>
      <c r="AB252" s="207">
        <v>4007</v>
      </c>
      <c r="AC252" s="207">
        <v>50</v>
      </c>
      <c r="AD252" s="207">
        <v>1117</v>
      </c>
      <c r="AE252" s="207">
        <v>1.4935479578455733</v>
      </c>
      <c r="AF252" s="207">
        <v>6869148.857974789</v>
      </c>
      <c r="AG252" s="207">
        <v>12478796.079218999</v>
      </c>
      <c r="AH252" s="207">
        <v>2951163.9202126926</v>
      </c>
      <c r="AI252" s="207">
        <v>1206186.3668336761</v>
      </c>
      <c r="AJ252" s="207">
        <v>276</v>
      </c>
      <c r="AK252" s="207">
        <v>1701</v>
      </c>
      <c r="AL252" s="207">
        <v>1.4022615786405161</v>
      </c>
      <c r="AM252" s="207">
        <v>50</v>
      </c>
      <c r="AN252" s="207">
        <v>0.01232134056185313</v>
      </c>
      <c r="AO252" s="207">
        <v>0.007380629099402537</v>
      </c>
      <c r="AP252" s="207">
        <v>0</v>
      </c>
      <c r="AQ252" s="207">
        <v>1</v>
      </c>
      <c r="AR252" s="207">
        <v>0</v>
      </c>
      <c r="AS252" s="207">
        <v>0</v>
      </c>
      <c r="AT252" s="207">
        <v>0</v>
      </c>
      <c r="AU252" s="207">
        <v>2438.14</v>
      </c>
      <c r="AV252" s="207">
        <v>1.6643835054590796</v>
      </c>
      <c r="AW252" s="207">
        <v>10.896426130765262</v>
      </c>
      <c r="AX252" s="207">
        <v>129</v>
      </c>
      <c r="AY252" s="207">
        <v>966</v>
      </c>
      <c r="AZ252" s="207">
        <v>0.13354037267080746</v>
      </c>
      <c r="BA252" s="207">
        <v>0.07235653658657296</v>
      </c>
      <c r="BB252" s="207">
        <v>1.613899</v>
      </c>
      <c r="BC252" s="207">
        <v>1327</v>
      </c>
      <c r="BD252" s="207">
        <v>1389</v>
      </c>
      <c r="BE252" s="207">
        <v>0.9553635709143269</v>
      </c>
      <c r="BF252" s="207">
        <v>0.5464566883232338</v>
      </c>
      <c r="BG252" s="207">
        <v>0</v>
      </c>
      <c r="BH252" s="207">
        <v>0</v>
      </c>
      <c r="BI252" s="207">
        <v>0</v>
      </c>
      <c r="BJ252" s="207">
        <v>-973.92</v>
      </c>
      <c r="BK252" s="207">
        <v>-16637.8</v>
      </c>
      <c r="BL252" s="207">
        <v>-1136.24</v>
      </c>
      <c r="BM252" s="207">
        <v>-1582.6200000000001</v>
      </c>
      <c r="BN252" s="207">
        <v>-81.16</v>
      </c>
      <c r="BO252" s="207">
        <v>37331</v>
      </c>
      <c r="BP252" s="207">
        <v>-36483.91882403812</v>
      </c>
      <c r="BQ252" s="207">
        <v>-368020.02</v>
      </c>
      <c r="BR252" s="207">
        <v>-89296.5146976132</v>
      </c>
      <c r="BS252" s="207">
        <v>361995</v>
      </c>
      <c r="BT252" s="207">
        <v>112886</v>
      </c>
      <c r="BU252" s="207">
        <v>324994.3413430885</v>
      </c>
      <c r="BV252" s="207">
        <v>18626.552320533414</v>
      </c>
      <c r="BW252" s="207">
        <v>62107.23800001433</v>
      </c>
      <c r="BX252" s="207">
        <v>165073.91156183698</v>
      </c>
      <c r="BY252" s="207">
        <v>235712.06253475058</v>
      </c>
      <c r="BZ252" s="207">
        <v>331160.83617917163</v>
      </c>
      <c r="CA252" s="207">
        <v>110252.77328683966</v>
      </c>
      <c r="CB252" s="207">
        <v>194718.31910601925</v>
      </c>
      <c r="CC252" s="207">
        <v>365.21999999999997</v>
      </c>
      <c r="CD252" s="207">
        <v>-2416.779888525016</v>
      </c>
      <c r="CE252" s="207">
        <v>175386.76</v>
      </c>
      <c r="CF252" s="207">
        <v>2038896.7197461165</v>
      </c>
      <c r="CG252" s="207">
        <v>1394564.9809220785</v>
      </c>
      <c r="CH252" s="207">
        <v>0</v>
      </c>
      <c r="CI252" s="207">
        <v>3736730.783967742</v>
      </c>
      <c r="CJ252" s="207">
        <v>-218742</v>
      </c>
      <c r="CK252" s="207">
        <v>0</v>
      </c>
      <c r="CL252" s="207">
        <v>0</v>
      </c>
      <c r="CM252" s="207">
        <v>-2640.0679999999993</v>
      </c>
      <c r="CN252" s="207">
        <v>18039574.546176396</v>
      </c>
      <c r="CO252" s="207">
        <v>18036934.478176396</v>
      </c>
      <c r="CP252" s="207">
        <v>4133</v>
      </c>
    </row>
    <row r="253" spans="1:94" ht="9.75">
      <c r="A253" s="175">
        <v>833</v>
      </c>
      <c r="B253" s="175" t="s">
        <v>309</v>
      </c>
      <c r="C253" s="207">
        <v>1654</v>
      </c>
      <c r="D253" s="207">
        <v>6140972.630000001</v>
      </c>
      <c r="E253" s="207">
        <v>2114046.8979919055</v>
      </c>
      <c r="F253" s="207">
        <v>471117.29653553496</v>
      </c>
      <c r="G253" s="207">
        <v>8726136.82452744</v>
      </c>
      <c r="H253" s="207">
        <v>3524.51</v>
      </c>
      <c r="I253" s="207">
        <v>5829539.54</v>
      </c>
      <c r="J253" s="207">
        <v>2896597.2845274406</v>
      </c>
      <c r="K253" s="207">
        <v>34684.7623608821</v>
      </c>
      <c r="L253" s="207">
        <v>652999.4510683388</v>
      </c>
      <c r="M253" s="207">
        <v>0</v>
      </c>
      <c r="N253" s="207">
        <v>3584281.4979566615</v>
      </c>
      <c r="O253" s="207">
        <v>823575.2219320278</v>
      </c>
      <c r="P253" s="207">
        <v>4407856.719888689</v>
      </c>
      <c r="Q253" s="207">
        <v>92</v>
      </c>
      <c r="R253" s="207">
        <v>15</v>
      </c>
      <c r="S253" s="207">
        <v>95</v>
      </c>
      <c r="T253" s="207">
        <v>46</v>
      </c>
      <c r="U253" s="207">
        <v>26</v>
      </c>
      <c r="V253" s="207">
        <v>858</v>
      </c>
      <c r="W253" s="207">
        <v>292</v>
      </c>
      <c r="X253" s="207">
        <v>140</v>
      </c>
      <c r="Y253" s="207">
        <v>90</v>
      </c>
      <c r="Z253" s="207">
        <v>12</v>
      </c>
      <c r="AA253" s="207">
        <v>0</v>
      </c>
      <c r="AB253" s="207">
        <v>1570</v>
      </c>
      <c r="AC253" s="207">
        <v>72</v>
      </c>
      <c r="AD253" s="207">
        <v>522</v>
      </c>
      <c r="AE253" s="207">
        <v>1.1277358833681446</v>
      </c>
      <c r="AF253" s="207">
        <v>2114046.8979919055</v>
      </c>
      <c r="AG253" s="207">
        <v>5599861.733288329</v>
      </c>
      <c r="AH253" s="207">
        <v>1345346.561899145</v>
      </c>
      <c r="AI253" s="207">
        <v>473539.83290507284</v>
      </c>
      <c r="AJ253" s="207">
        <v>63</v>
      </c>
      <c r="AK253" s="207">
        <v>714</v>
      </c>
      <c r="AL253" s="207">
        <v>0.762546977387314</v>
      </c>
      <c r="AM253" s="207">
        <v>72</v>
      </c>
      <c r="AN253" s="207">
        <v>0.04353083434099154</v>
      </c>
      <c r="AO253" s="207">
        <v>0.038590122878540946</v>
      </c>
      <c r="AP253" s="207">
        <v>0</v>
      </c>
      <c r="AQ253" s="207">
        <v>12</v>
      </c>
      <c r="AR253" s="207">
        <v>0</v>
      </c>
      <c r="AS253" s="207">
        <v>3</v>
      </c>
      <c r="AT253" s="207">
        <v>164</v>
      </c>
      <c r="AU253" s="207">
        <v>140.27</v>
      </c>
      <c r="AV253" s="207">
        <v>11.791544877735795</v>
      </c>
      <c r="AW253" s="207">
        <v>1.5380369670425604</v>
      </c>
      <c r="AX253" s="207">
        <v>94</v>
      </c>
      <c r="AY253" s="207">
        <v>448</v>
      </c>
      <c r="AZ253" s="207">
        <v>0.20982142857142858</v>
      </c>
      <c r="BA253" s="207">
        <v>0.14863759248719408</v>
      </c>
      <c r="BB253" s="207">
        <v>0</v>
      </c>
      <c r="BC253" s="207">
        <v>465</v>
      </c>
      <c r="BD253" s="207">
        <v>631</v>
      </c>
      <c r="BE253" s="207">
        <v>0.7369255150554676</v>
      </c>
      <c r="BF253" s="207">
        <v>0.32801863246437446</v>
      </c>
      <c r="BG253" s="207">
        <v>0</v>
      </c>
      <c r="BH253" s="207">
        <v>0</v>
      </c>
      <c r="BI253" s="207">
        <v>0</v>
      </c>
      <c r="BJ253" s="207">
        <v>-396.96</v>
      </c>
      <c r="BK253" s="207">
        <v>-6781.4</v>
      </c>
      <c r="BL253" s="207">
        <v>-463.12000000000006</v>
      </c>
      <c r="BM253" s="207">
        <v>-645.0600000000001</v>
      </c>
      <c r="BN253" s="207">
        <v>-33.08</v>
      </c>
      <c r="BO253" s="207">
        <v>-6620</v>
      </c>
      <c r="BP253" s="207">
        <v>-7036.52711987614</v>
      </c>
      <c r="BQ253" s="207">
        <v>-150001.26</v>
      </c>
      <c r="BR253" s="207">
        <v>52289.58244882431</v>
      </c>
      <c r="BS253" s="207">
        <v>179163</v>
      </c>
      <c r="BT253" s="207">
        <v>58959</v>
      </c>
      <c r="BU253" s="207">
        <v>133706.72651570296</v>
      </c>
      <c r="BV253" s="207">
        <v>7469.867713464751</v>
      </c>
      <c r="BW253" s="207">
        <v>-41419.51178332987</v>
      </c>
      <c r="BX253" s="207">
        <v>51137.76790523142</v>
      </c>
      <c r="BY253" s="207">
        <v>93433.40022518885</v>
      </c>
      <c r="BZ253" s="207">
        <v>177756.64269015155</v>
      </c>
      <c r="CA253" s="207">
        <v>50812.74648137167</v>
      </c>
      <c r="CB253" s="207">
        <v>79672.920883548</v>
      </c>
      <c r="CC253" s="207">
        <v>148.85999999999999</v>
      </c>
      <c r="CD253" s="207">
        <v>-208.244891938617</v>
      </c>
      <c r="CE253" s="207">
        <v>71485.88</v>
      </c>
      <c r="CF253" s="207">
        <v>907788.638188215</v>
      </c>
      <c r="CG253" s="207">
        <v>652999.4510683388</v>
      </c>
      <c r="CH253" s="207">
        <v>0</v>
      </c>
      <c r="CI253" s="207">
        <v>823575.2219320278</v>
      </c>
      <c r="CJ253" s="207">
        <v>-344126</v>
      </c>
      <c r="CK253" s="207">
        <v>0</v>
      </c>
      <c r="CL253" s="207">
        <v>0</v>
      </c>
      <c r="CM253" s="207">
        <v>84482.17599999999</v>
      </c>
      <c r="CN253" s="207">
        <v>4063730.719888689</v>
      </c>
      <c r="CO253" s="207">
        <v>4148212.895888689</v>
      </c>
      <c r="CP253" s="207">
        <v>1622</v>
      </c>
    </row>
    <row r="254" spans="1:94" ht="9.75">
      <c r="A254" s="175">
        <v>834</v>
      </c>
      <c r="B254" s="175" t="s">
        <v>310</v>
      </c>
      <c r="C254" s="207">
        <v>6155</v>
      </c>
      <c r="D254" s="207">
        <v>21932759.400000002</v>
      </c>
      <c r="E254" s="207">
        <v>6877472.968630276</v>
      </c>
      <c r="F254" s="207">
        <v>1151544.6760640177</v>
      </c>
      <c r="G254" s="207">
        <v>29961777.044694297</v>
      </c>
      <c r="H254" s="207">
        <v>3524.51</v>
      </c>
      <c r="I254" s="207">
        <v>21693359.05</v>
      </c>
      <c r="J254" s="207">
        <v>8268417.994694296</v>
      </c>
      <c r="K254" s="207">
        <v>94269.47140321428</v>
      </c>
      <c r="L254" s="207">
        <v>1783894.6556126804</v>
      </c>
      <c r="M254" s="207">
        <v>0</v>
      </c>
      <c r="N254" s="207">
        <v>10146582.12171019</v>
      </c>
      <c r="O254" s="207">
        <v>2959008.225207305</v>
      </c>
      <c r="P254" s="207">
        <v>13105590.346917495</v>
      </c>
      <c r="Q254" s="207">
        <v>294</v>
      </c>
      <c r="R254" s="207">
        <v>70</v>
      </c>
      <c r="S254" s="207">
        <v>450</v>
      </c>
      <c r="T254" s="207">
        <v>237</v>
      </c>
      <c r="U254" s="207">
        <v>220</v>
      </c>
      <c r="V254" s="207">
        <v>3335</v>
      </c>
      <c r="W254" s="207">
        <v>866</v>
      </c>
      <c r="X254" s="207">
        <v>455</v>
      </c>
      <c r="Y254" s="207">
        <v>228</v>
      </c>
      <c r="Z254" s="207">
        <v>14</v>
      </c>
      <c r="AA254" s="207">
        <v>0</v>
      </c>
      <c r="AB254" s="207">
        <v>6052</v>
      </c>
      <c r="AC254" s="207">
        <v>89</v>
      </c>
      <c r="AD254" s="207">
        <v>1549</v>
      </c>
      <c r="AE254" s="207">
        <v>0.98589149940513</v>
      </c>
      <c r="AF254" s="207">
        <v>6877472.968630276</v>
      </c>
      <c r="AG254" s="207">
        <v>8327887.941478748</v>
      </c>
      <c r="AH254" s="207">
        <v>1927545.8089730863</v>
      </c>
      <c r="AI254" s="207">
        <v>1179382.2253484833</v>
      </c>
      <c r="AJ254" s="207">
        <v>264</v>
      </c>
      <c r="AK254" s="207">
        <v>2894</v>
      </c>
      <c r="AL254" s="207">
        <v>0.7883692316319432</v>
      </c>
      <c r="AM254" s="207">
        <v>89</v>
      </c>
      <c r="AN254" s="207">
        <v>0.01445978878960195</v>
      </c>
      <c r="AO254" s="207">
        <v>0.009519077327151355</v>
      </c>
      <c r="AP254" s="207">
        <v>0</v>
      </c>
      <c r="AQ254" s="207">
        <v>14</v>
      </c>
      <c r="AR254" s="207">
        <v>0</v>
      </c>
      <c r="AS254" s="207">
        <v>0</v>
      </c>
      <c r="AT254" s="207">
        <v>0</v>
      </c>
      <c r="AU254" s="207">
        <v>640.53</v>
      </c>
      <c r="AV254" s="207">
        <v>9.609229856525065</v>
      </c>
      <c r="AW254" s="207">
        <v>1.887334593019858</v>
      </c>
      <c r="AX254" s="207">
        <v>233</v>
      </c>
      <c r="AY254" s="207">
        <v>1783</v>
      </c>
      <c r="AZ254" s="207">
        <v>0.13067863151991027</v>
      </c>
      <c r="BA254" s="207">
        <v>0.06949479543567577</v>
      </c>
      <c r="BB254" s="207">
        <v>0</v>
      </c>
      <c r="BC254" s="207">
        <v>1664</v>
      </c>
      <c r="BD254" s="207">
        <v>2566</v>
      </c>
      <c r="BE254" s="207">
        <v>0.6484801247077163</v>
      </c>
      <c r="BF254" s="207">
        <v>0.23957324211662323</v>
      </c>
      <c r="BG254" s="207">
        <v>0</v>
      </c>
      <c r="BH254" s="207">
        <v>0</v>
      </c>
      <c r="BI254" s="207">
        <v>0</v>
      </c>
      <c r="BJ254" s="207">
        <v>-1477.2</v>
      </c>
      <c r="BK254" s="207">
        <v>-25235.499999999996</v>
      </c>
      <c r="BL254" s="207">
        <v>-1723.4</v>
      </c>
      <c r="BM254" s="207">
        <v>-2400.4500000000003</v>
      </c>
      <c r="BN254" s="207">
        <v>-123.10000000000001</v>
      </c>
      <c r="BO254" s="207">
        <v>13353</v>
      </c>
      <c r="BP254" s="207">
        <v>-186618.65810080196</v>
      </c>
      <c r="BQ254" s="207">
        <v>-558196.95</v>
      </c>
      <c r="BR254" s="207">
        <v>-58251.34680543095</v>
      </c>
      <c r="BS254" s="207">
        <v>558257</v>
      </c>
      <c r="BT254" s="207">
        <v>177901</v>
      </c>
      <c r="BU254" s="207">
        <v>413684.24193292833</v>
      </c>
      <c r="BV254" s="207">
        <v>17550.324334889014</v>
      </c>
      <c r="BW254" s="207">
        <v>43093.9583576853</v>
      </c>
      <c r="BX254" s="207">
        <v>174923.7953146916</v>
      </c>
      <c r="BY254" s="207">
        <v>338841.11797299766</v>
      </c>
      <c r="BZ254" s="207">
        <v>514769.599567066</v>
      </c>
      <c r="CA254" s="207">
        <v>156363.00208356997</v>
      </c>
      <c r="CB254" s="207">
        <v>274141.72661984514</v>
      </c>
      <c r="CC254" s="207">
        <v>553.9499999999999</v>
      </c>
      <c r="CD254" s="207">
        <v>1270.2943352398797</v>
      </c>
      <c r="CE254" s="207">
        <v>266019.1</v>
      </c>
      <c r="CF254" s="207">
        <v>2892470.7637134823</v>
      </c>
      <c r="CG254" s="207">
        <v>1783894.6556126804</v>
      </c>
      <c r="CH254" s="207">
        <v>0</v>
      </c>
      <c r="CI254" s="207">
        <v>2959008.225207305</v>
      </c>
      <c r="CJ254" s="207">
        <v>-1310441</v>
      </c>
      <c r="CK254" s="207">
        <v>0</v>
      </c>
      <c r="CL254" s="207">
        <v>0</v>
      </c>
      <c r="CM254" s="207">
        <v>-90382.72798</v>
      </c>
      <c r="CN254" s="207">
        <v>11795149.346917495</v>
      </c>
      <c r="CO254" s="207">
        <v>11704766.618937494</v>
      </c>
      <c r="CP254" s="207">
        <v>6241</v>
      </c>
    </row>
    <row r="255" spans="1:94" ht="9.75">
      <c r="A255" s="175">
        <v>837</v>
      </c>
      <c r="B255" s="175" t="s">
        <v>311</v>
      </c>
      <c r="C255" s="207">
        <v>231853</v>
      </c>
      <c r="D255" s="207">
        <v>689652375.61</v>
      </c>
      <c r="E255" s="207">
        <v>243626721.4367696</v>
      </c>
      <c r="F255" s="207">
        <v>62019600.081540205</v>
      </c>
      <c r="G255" s="207">
        <v>995298697.1283098</v>
      </c>
      <c r="H255" s="207">
        <v>3524.51</v>
      </c>
      <c r="I255" s="207">
        <v>817168217.0300001</v>
      </c>
      <c r="J255" s="207">
        <v>178130480.09830976</v>
      </c>
      <c r="K255" s="207">
        <v>11998552.861082118</v>
      </c>
      <c r="L255" s="207">
        <v>38287810.996540226</v>
      </c>
      <c r="M255" s="207">
        <v>0</v>
      </c>
      <c r="N255" s="207">
        <v>228416843.95593208</v>
      </c>
      <c r="O255" s="207">
        <v>14062626.755377863</v>
      </c>
      <c r="P255" s="207">
        <v>242479470.71130994</v>
      </c>
      <c r="Q255" s="207">
        <v>13642</v>
      </c>
      <c r="R255" s="207">
        <v>2140</v>
      </c>
      <c r="S255" s="207">
        <v>12359</v>
      </c>
      <c r="T255" s="207">
        <v>5393</v>
      </c>
      <c r="U255" s="207">
        <v>6167</v>
      </c>
      <c r="V255" s="207">
        <v>148528</v>
      </c>
      <c r="W255" s="207">
        <v>24451</v>
      </c>
      <c r="X255" s="207">
        <v>13424</v>
      </c>
      <c r="Y255" s="207">
        <v>5749</v>
      </c>
      <c r="Z255" s="207">
        <v>1269</v>
      </c>
      <c r="AA255" s="207">
        <v>18</v>
      </c>
      <c r="AB255" s="207">
        <v>213323</v>
      </c>
      <c r="AC255" s="207">
        <v>17243</v>
      </c>
      <c r="AD255" s="207">
        <v>43624</v>
      </c>
      <c r="AE255" s="207">
        <v>0.9271296886038374</v>
      </c>
      <c r="AF255" s="207">
        <v>243626721.4367696</v>
      </c>
      <c r="AG255" s="207">
        <v>2487170.5116053987</v>
      </c>
      <c r="AH255" s="207">
        <v>836981.5563284996</v>
      </c>
      <c r="AI255" s="207">
        <v>232302.5595383376</v>
      </c>
      <c r="AJ255" s="207">
        <v>16809</v>
      </c>
      <c r="AK255" s="207">
        <v>115251</v>
      </c>
      <c r="AL255" s="207">
        <v>1.2604378641941336</v>
      </c>
      <c r="AM255" s="207">
        <v>17243</v>
      </c>
      <c r="AN255" s="207">
        <v>0.07437039848524712</v>
      </c>
      <c r="AO255" s="207">
        <v>0.06942968702279653</v>
      </c>
      <c r="AP255" s="207">
        <v>0</v>
      </c>
      <c r="AQ255" s="207">
        <v>1269</v>
      </c>
      <c r="AR255" s="207">
        <v>18</v>
      </c>
      <c r="AS255" s="207">
        <v>0</v>
      </c>
      <c r="AT255" s="207">
        <v>0</v>
      </c>
      <c r="AU255" s="207">
        <v>524.93</v>
      </c>
      <c r="AV255" s="207">
        <v>441.68365305850307</v>
      </c>
      <c r="AW255" s="207">
        <v>0.041060681768308106</v>
      </c>
      <c r="AX255" s="207">
        <v>8781</v>
      </c>
      <c r="AY255" s="207">
        <v>73903</v>
      </c>
      <c r="AZ255" s="207">
        <v>0.11881790996305969</v>
      </c>
      <c r="BA255" s="207">
        <v>0.057634073878825194</v>
      </c>
      <c r="BB255" s="207">
        <v>0</v>
      </c>
      <c r="BC255" s="207">
        <v>116748</v>
      </c>
      <c r="BD255" s="207">
        <v>95821</v>
      </c>
      <c r="BE255" s="207">
        <v>1.2183968023710878</v>
      </c>
      <c r="BF255" s="207">
        <v>0.8094899197799947</v>
      </c>
      <c r="BG255" s="207">
        <v>0</v>
      </c>
      <c r="BH255" s="207">
        <v>18</v>
      </c>
      <c r="BI255" s="207">
        <v>0</v>
      </c>
      <c r="BJ255" s="207">
        <v>-55644.72</v>
      </c>
      <c r="BK255" s="207">
        <v>-950597.2999999999</v>
      </c>
      <c r="BL255" s="207">
        <v>-64918.840000000004</v>
      </c>
      <c r="BM255" s="207">
        <v>-90422.67</v>
      </c>
      <c r="BN255" s="207">
        <v>-4637.06</v>
      </c>
      <c r="BO255" s="207">
        <v>4140309</v>
      </c>
      <c r="BP255" s="207">
        <v>-25553076.40960061</v>
      </c>
      <c r="BQ255" s="207">
        <v>-21026748.57</v>
      </c>
      <c r="BR255" s="207">
        <v>-219126.7658828497</v>
      </c>
      <c r="BS255" s="207">
        <v>13723734</v>
      </c>
      <c r="BT255" s="207">
        <v>5251644</v>
      </c>
      <c r="BU255" s="207">
        <v>13128326.768248945</v>
      </c>
      <c r="BV255" s="207">
        <v>597364.1453218474</v>
      </c>
      <c r="BW255" s="207">
        <v>244723.63482833534</v>
      </c>
      <c r="BX255" s="207">
        <v>5254837.725761974</v>
      </c>
      <c r="BY255" s="207">
        <v>11750199.094894685</v>
      </c>
      <c r="BZ255" s="207">
        <v>15523180.842289694</v>
      </c>
      <c r="CA255" s="207">
        <v>6514338.402027659</v>
      </c>
      <c r="CB255" s="207">
        <v>10327022.863926157</v>
      </c>
      <c r="CC255" s="207">
        <v>20866.77</v>
      </c>
      <c r="CD255" s="207">
        <v>2292041.1347244014</v>
      </c>
      <c r="CE255" s="207">
        <v>10020686.66</v>
      </c>
      <c r="CF255" s="207">
        <v>98570148.27614084</v>
      </c>
      <c r="CG255" s="207">
        <v>38287810.996540226</v>
      </c>
      <c r="CH255" s="207">
        <v>0</v>
      </c>
      <c r="CI255" s="207">
        <v>14062626.755377863</v>
      </c>
      <c r="CJ255" s="207">
        <v>59501001</v>
      </c>
      <c r="CK255" s="207">
        <v>0</v>
      </c>
      <c r="CL255" s="207">
        <v>0</v>
      </c>
      <c r="CM255" s="207">
        <v>-9221541.038423996</v>
      </c>
      <c r="CN255" s="207">
        <v>301980471.7113099</v>
      </c>
      <c r="CO255" s="207">
        <v>292758930.67288595</v>
      </c>
      <c r="CP255" s="207">
        <v>228274</v>
      </c>
    </row>
    <row r="256" spans="1:94" ht="9.75">
      <c r="A256" s="175">
        <v>844</v>
      </c>
      <c r="B256" s="175" t="s">
        <v>312</v>
      </c>
      <c r="C256" s="207">
        <v>1585</v>
      </c>
      <c r="D256" s="207">
        <v>5717542.52</v>
      </c>
      <c r="E256" s="207">
        <v>3650506.2237467817</v>
      </c>
      <c r="F256" s="207">
        <v>512411.5493328428</v>
      </c>
      <c r="G256" s="207">
        <v>9880460.293079624</v>
      </c>
      <c r="H256" s="207">
        <v>3524.51</v>
      </c>
      <c r="I256" s="207">
        <v>5586348.350000001</v>
      </c>
      <c r="J256" s="207">
        <v>4294111.943079623</v>
      </c>
      <c r="K256" s="207">
        <v>204373.52286203922</v>
      </c>
      <c r="L256" s="207">
        <v>678497.9862840117</v>
      </c>
      <c r="M256" s="207">
        <v>0</v>
      </c>
      <c r="N256" s="207">
        <v>5176983.452225675</v>
      </c>
      <c r="O256" s="207">
        <v>1732058.411562456</v>
      </c>
      <c r="P256" s="207">
        <v>6909041.863788131</v>
      </c>
      <c r="Q256" s="207">
        <v>55</v>
      </c>
      <c r="R256" s="207">
        <v>12</v>
      </c>
      <c r="S256" s="207">
        <v>50</v>
      </c>
      <c r="T256" s="207">
        <v>43</v>
      </c>
      <c r="U256" s="207">
        <v>40</v>
      </c>
      <c r="V256" s="207">
        <v>820</v>
      </c>
      <c r="W256" s="207">
        <v>295</v>
      </c>
      <c r="X256" s="207">
        <v>178</v>
      </c>
      <c r="Y256" s="207">
        <v>92</v>
      </c>
      <c r="Z256" s="207">
        <v>1</v>
      </c>
      <c r="AA256" s="207">
        <v>0</v>
      </c>
      <c r="AB256" s="207">
        <v>1562</v>
      </c>
      <c r="AC256" s="207">
        <v>22</v>
      </c>
      <c r="AD256" s="207">
        <v>565</v>
      </c>
      <c r="AE256" s="207">
        <v>2.0321329316874572</v>
      </c>
      <c r="AF256" s="207">
        <v>3650506.2237467817</v>
      </c>
      <c r="AG256" s="207">
        <v>8658317.247232243</v>
      </c>
      <c r="AH256" s="207">
        <v>2236620.277991336</v>
      </c>
      <c r="AI256" s="207">
        <v>759450.6754137961</v>
      </c>
      <c r="AJ256" s="207">
        <v>81</v>
      </c>
      <c r="AK256" s="207">
        <v>674</v>
      </c>
      <c r="AL256" s="207">
        <v>1.0386025597055701</v>
      </c>
      <c r="AM256" s="207">
        <v>22</v>
      </c>
      <c r="AN256" s="207">
        <v>0.0138801261829653</v>
      </c>
      <c r="AO256" s="207">
        <v>0.008939414720514707</v>
      </c>
      <c r="AP256" s="207">
        <v>0</v>
      </c>
      <c r="AQ256" s="207">
        <v>1</v>
      </c>
      <c r="AR256" s="207">
        <v>0</v>
      </c>
      <c r="AS256" s="207">
        <v>3</v>
      </c>
      <c r="AT256" s="207">
        <v>170</v>
      </c>
      <c r="AU256" s="207">
        <v>347.75</v>
      </c>
      <c r="AV256" s="207">
        <v>4.5578720345075485</v>
      </c>
      <c r="AW256" s="207">
        <v>3.97901296552273</v>
      </c>
      <c r="AX256" s="207">
        <v>51</v>
      </c>
      <c r="AY256" s="207">
        <v>351</v>
      </c>
      <c r="AZ256" s="207">
        <v>0.1452991452991453</v>
      </c>
      <c r="BA256" s="207">
        <v>0.08411530921491081</v>
      </c>
      <c r="BB256" s="207">
        <v>0.517533</v>
      </c>
      <c r="BC256" s="207">
        <v>405</v>
      </c>
      <c r="BD256" s="207">
        <v>562</v>
      </c>
      <c r="BE256" s="207">
        <v>0.7206405693950177</v>
      </c>
      <c r="BF256" s="207">
        <v>0.31173368680392466</v>
      </c>
      <c r="BG256" s="207">
        <v>0</v>
      </c>
      <c r="BH256" s="207">
        <v>0</v>
      </c>
      <c r="BI256" s="207">
        <v>0</v>
      </c>
      <c r="BJ256" s="207">
        <v>-380.4</v>
      </c>
      <c r="BK256" s="207">
        <v>-6498.499999999999</v>
      </c>
      <c r="BL256" s="207">
        <v>-443.80000000000007</v>
      </c>
      <c r="BM256" s="207">
        <v>-618.15</v>
      </c>
      <c r="BN256" s="207">
        <v>-31.7</v>
      </c>
      <c r="BO256" s="207">
        <v>-222</v>
      </c>
      <c r="BP256" s="207">
        <v>-62607.14680951171</v>
      </c>
      <c r="BQ256" s="207">
        <v>-143743.65</v>
      </c>
      <c r="BR256" s="207">
        <v>18330.843079575337</v>
      </c>
      <c r="BS256" s="207">
        <v>196111</v>
      </c>
      <c r="BT256" s="207">
        <v>61656</v>
      </c>
      <c r="BU256" s="207">
        <v>159282.21211564902</v>
      </c>
      <c r="BV256" s="207">
        <v>9219.493380649346</v>
      </c>
      <c r="BW256" s="207">
        <v>30583.410181686584</v>
      </c>
      <c r="BX256" s="207">
        <v>62866.85584053083</v>
      </c>
      <c r="BY256" s="207">
        <v>102437.71402169217</v>
      </c>
      <c r="BZ256" s="207">
        <v>138290.7594471471</v>
      </c>
      <c r="CA256" s="207">
        <v>50346.87433976962</v>
      </c>
      <c r="CB256" s="207">
        <v>83779.51160038504</v>
      </c>
      <c r="CC256" s="207">
        <v>142.65</v>
      </c>
      <c r="CD256" s="207">
        <v>-2806.740913561651</v>
      </c>
      <c r="CE256" s="207">
        <v>68503.7</v>
      </c>
      <c r="CF256" s="207">
        <v>978522.2830935235</v>
      </c>
      <c r="CG256" s="207">
        <v>678497.9862840117</v>
      </c>
      <c r="CH256" s="207">
        <v>0</v>
      </c>
      <c r="CI256" s="207">
        <v>1732058.411562456</v>
      </c>
      <c r="CJ256" s="207">
        <v>-305428</v>
      </c>
      <c r="CK256" s="207">
        <v>0</v>
      </c>
      <c r="CL256" s="207">
        <v>0</v>
      </c>
      <c r="CM256" s="207">
        <v>-13266.341699999997</v>
      </c>
      <c r="CN256" s="207">
        <v>6603613.863788131</v>
      </c>
      <c r="CO256" s="207">
        <v>6590347.522088131</v>
      </c>
      <c r="CP256" s="207">
        <v>1611</v>
      </c>
    </row>
    <row r="257" spans="1:94" ht="9.75">
      <c r="A257" s="175">
        <v>845</v>
      </c>
      <c r="B257" s="175" t="s">
        <v>313</v>
      </c>
      <c r="C257" s="207">
        <v>3068</v>
      </c>
      <c r="D257" s="207">
        <v>11522573.029999997</v>
      </c>
      <c r="E257" s="207">
        <v>3912087.448417998</v>
      </c>
      <c r="F257" s="207">
        <v>1594688.921172492</v>
      </c>
      <c r="G257" s="207">
        <v>17029349.39959049</v>
      </c>
      <c r="H257" s="207">
        <v>3524.51</v>
      </c>
      <c r="I257" s="207">
        <v>10813196.680000002</v>
      </c>
      <c r="J257" s="207">
        <v>6216152.719590487</v>
      </c>
      <c r="K257" s="207">
        <v>553342.2521537195</v>
      </c>
      <c r="L257" s="207">
        <v>1186219.8577864913</v>
      </c>
      <c r="M257" s="207">
        <v>0</v>
      </c>
      <c r="N257" s="207">
        <v>7955714.829530698</v>
      </c>
      <c r="O257" s="207">
        <v>2229760.8542641317</v>
      </c>
      <c r="P257" s="207">
        <v>10185475.68379483</v>
      </c>
      <c r="Q257" s="207">
        <v>184</v>
      </c>
      <c r="R257" s="207">
        <v>31</v>
      </c>
      <c r="S257" s="207">
        <v>188</v>
      </c>
      <c r="T257" s="207">
        <v>107</v>
      </c>
      <c r="U257" s="207">
        <v>112</v>
      </c>
      <c r="V257" s="207">
        <v>1566</v>
      </c>
      <c r="W257" s="207">
        <v>432</v>
      </c>
      <c r="X257" s="207">
        <v>318</v>
      </c>
      <c r="Y257" s="207">
        <v>130</v>
      </c>
      <c r="Z257" s="207">
        <v>8</v>
      </c>
      <c r="AA257" s="207">
        <v>2</v>
      </c>
      <c r="AB257" s="207">
        <v>3008</v>
      </c>
      <c r="AC257" s="207">
        <v>50</v>
      </c>
      <c r="AD257" s="207">
        <v>880</v>
      </c>
      <c r="AE257" s="207">
        <v>1.1250750301914263</v>
      </c>
      <c r="AF257" s="207">
        <v>3912087.448417998</v>
      </c>
      <c r="AG257" s="207">
        <v>300865663.91484725</v>
      </c>
      <c r="AH257" s="207">
        <v>66054132.44224768</v>
      </c>
      <c r="AI257" s="207">
        <v>33531980.9979762</v>
      </c>
      <c r="AJ257" s="207">
        <v>195</v>
      </c>
      <c r="AK257" s="207">
        <v>1293</v>
      </c>
      <c r="AL257" s="207">
        <v>1.303347888651171</v>
      </c>
      <c r="AM257" s="207">
        <v>50</v>
      </c>
      <c r="AN257" s="207">
        <v>0.016297262059973925</v>
      </c>
      <c r="AO257" s="207">
        <v>0.011356550597523333</v>
      </c>
      <c r="AP257" s="207">
        <v>0</v>
      </c>
      <c r="AQ257" s="207">
        <v>8</v>
      </c>
      <c r="AR257" s="207">
        <v>2</v>
      </c>
      <c r="AS257" s="207">
        <v>0</v>
      </c>
      <c r="AT257" s="207">
        <v>0</v>
      </c>
      <c r="AU257" s="207">
        <v>1559.69</v>
      </c>
      <c r="AV257" s="207">
        <v>1.9670575563092665</v>
      </c>
      <c r="AW257" s="207">
        <v>9.219776951787187</v>
      </c>
      <c r="AX257" s="207">
        <v>101</v>
      </c>
      <c r="AY257" s="207">
        <v>736</v>
      </c>
      <c r="AZ257" s="207">
        <v>0.13722826086956522</v>
      </c>
      <c r="BA257" s="207">
        <v>0.07604442478533072</v>
      </c>
      <c r="BB257" s="207">
        <v>0.705133</v>
      </c>
      <c r="BC257" s="207">
        <v>934</v>
      </c>
      <c r="BD257" s="207">
        <v>1030</v>
      </c>
      <c r="BE257" s="207">
        <v>0.9067961165048544</v>
      </c>
      <c r="BF257" s="207">
        <v>0.4978892339137613</v>
      </c>
      <c r="BG257" s="207">
        <v>0</v>
      </c>
      <c r="BH257" s="207">
        <v>2</v>
      </c>
      <c r="BI257" s="207">
        <v>0</v>
      </c>
      <c r="BJ257" s="207">
        <v>-736.3199999999999</v>
      </c>
      <c r="BK257" s="207">
        <v>-12578.8</v>
      </c>
      <c r="BL257" s="207">
        <v>-859.0400000000001</v>
      </c>
      <c r="BM257" s="207">
        <v>-1196.52</v>
      </c>
      <c r="BN257" s="207">
        <v>-61.36</v>
      </c>
      <c r="BO257" s="207">
        <v>111673</v>
      </c>
      <c r="BP257" s="207">
        <v>-81741.38356776975</v>
      </c>
      <c r="BQ257" s="207">
        <v>-278236.92</v>
      </c>
      <c r="BR257" s="207">
        <v>88313.80101642758</v>
      </c>
      <c r="BS257" s="207">
        <v>301511</v>
      </c>
      <c r="BT257" s="207">
        <v>94788</v>
      </c>
      <c r="BU257" s="207">
        <v>235943.08993165064</v>
      </c>
      <c r="BV257" s="207">
        <v>13005.778783737596</v>
      </c>
      <c r="BW257" s="207">
        <v>42326.72978797646</v>
      </c>
      <c r="BX257" s="207">
        <v>107710.18747200553</v>
      </c>
      <c r="BY257" s="207">
        <v>159813.91595180737</v>
      </c>
      <c r="BZ257" s="207">
        <v>251861.8474837622</v>
      </c>
      <c r="CA257" s="207">
        <v>69629.61609329381</v>
      </c>
      <c r="CB257" s="207">
        <v>122234.69291125509</v>
      </c>
      <c r="CC257" s="207">
        <v>276.12</v>
      </c>
      <c r="CD257" s="207">
        <v>-4169.778077655308</v>
      </c>
      <c r="CE257" s="207">
        <v>132598.96</v>
      </c>
      <c r="CF257" s="207">
        <v>1727516.961354261</v>
      </c>
      <c r="CG257" s="207">
        <v>1186219.8577864913</v>
      </c>
      <c r="CH257" s="207">
        <v>0</v>
      </c>
      <c r="CI257" s="207">
        <v>2229760.8542641317</v>
      </c>
      <c r="CJ257" s="207">
        <v>-98989</v>
      </c>
      <c r="CK257" s="207">
        <v>0</v>
      </c>
      <c r="CL257" s="207">
        <v>0</v>
      </c>
      <c r="CM257" s="207">
        <v>5280.135999999999</v>
      </c>
      <c r="CN257" s="207">
        <v>10086486.68379483</v>
      </c>
      <c r="CO257" s="207">
        <v>10091766.81979483</v>
      </c>
      <c r="CP257" s="207">
        <v>3099</v>
      </c>
    </row>
    <row r="258" spans="1:94" ht="9.75">
      <c r="A258" s="175">
        <v>846</v>
      </c>
      <c r="B258" s="175" t="s">
        <v>314</v>
      </c>
      <c r="C258" s="207">
        <v>5269</v>
      </c>
      <c r="D258" s="207">
        <v>20065583.44</v>
      </c>
      <c r="E258" s="207">
        <v>8499553.549341641</v>
      </c>
      <c r="F258" s="207">
        <v>965227.6270329289</v>
      </c>
      <c r="G258" s="207">
        <v>29530364.61637457</v>
      </c>
      <c r="H258" s="207">
        <v>3524.51</v>
      </c>
      <c r="I258" s="207">
        <v>18570643.19</v>
      </c>
      <c r="J258" s="207">
        <v>10959721.42637457</v>
      </c>
      <c r="K258" s="207">
        <v>181902.0535529034</v>
      </c>
      <c r="L258" s="207">
        <v>2012641.876780232</v>
      </c>
      <c r="M258" s="207">
        <v>0</v>
      </c>
      <c r="N258" s="207">
        <v>13154265.356707705</v>
      </c>
      <c r="O258" s="207">
        <v>5070960.144553859</v>
      </c>
      <c r="P258" s="207">
        <v>18225225.501261562</v>
      </c>
      <c r="Q258" s="207">
        <v>268</v>
      </c>
      <c r="R258" s="207">
        <v>56</v>
      </c>
      <c r="S258" s="207">
        <v>320</v>
      </c>
      <c r="T258" s="207">
        <v>193</v>
      </c>
      <c r="U258" s="207">
        <v>175</v>
      </c>
      <c r="V258" s="207">
        <v>2605</v>
      </c>
      <c r="W258" s="207">
        <v>859</v>
      </c>
      <c r="X258" s="207">
        <v>544</v>
      </c>
      <c r="Y258" s="207">
        <v>249</v>
      </c>
      <c r="Z258" s="207">
        <v>39</v>
      </c>
      <c r="AA258" s="207">
        <v>0</v>
      </c>
      <c r="AB258" s="207">
        <v>5165</v>
      </c>
      <c r="AC258" s="207">
        <v>65</v>
      </c>
      <c r="AD258" s="207">
        <v>1652</v>
      </c>
      <c r="AE258" s="207">
        <v>1.4232991927280438</v>
      </c>
      <c r="AF258" s="207">
        <v>8499553.549341641</v>
      </c>
      <c r="AG258" s="207">
        <v>4150144.2545326618</v>
      </c>
      <c r="AH258" s="207">
        <v>1295388.4875905733</v>
      </c>
      <c r="AI258" s="207">
        <v>294845.5563371208</v>
      </c>
      <c r="AJ258" s="207">
        <v>193</v>
      </c>
      <c r="AK258" s="207">
        <v>2238</v>
      </c>
      <c r="AL258" s="207">
        <v>0.745283477154536</v>
      </c>
      <c r="AM258" s="207">
        <v>65</v>
      </c>
      <c r="AN258" s="207">
        <v>0.012336306699563485</v>
      </c>
      <c r="AO258" s="207">
        <v>0.007395595237112892</v>
      </c>
      <c r="AP258" s="207">
        <v>0</v>
      </c>
      <c r="AQ258" s="207">
        <v>39</v>
      </c>
      <c r="AR258" s="207">
        <v>0</v>
      </c>
      <c r="AS258" s="207">
        <v>0</v>
      </c>
      <c r="AT258" s="207">
        <v>0</v>
      </c>
      <c r="AU258" s="207">
        <v>554.7</v>
      </c>
      <c r="AV258" s="207">
        <v>9.498828195420948</v>
      </c>
      <c r="AW258" s="207">
        <v>1.9092704434049717</v>
      </c>
      <c r="AX258" s="207">
        <v>183</v>
      </c>
      <c r="AY258" s="207">
        <v>1320</v>
      </c>
      <c r="AZ258" s="207">
        <v>0.13863636363636364</v>
      </c>
      <c r="BA258" s="207">
        <v>0.07745252755212914</v>
      </c>
      <c r="BB258" s="207">
        <v>0</v>
      </c>
      <c r="BC258" s="207">
        <v>1802</v>
      </c>
      <c r="BD258" s="207">
        <v>1899</v>
      </c>
      <c r="BE258" s="207">
        <v>0.9489204844655081</v>
      </c>
      <c r="BF258" s="207">
        <v>0.540013601874415</v>
      </c>
      <c r="BG258" s="207">
        <v>0</v>
      </c>
      <c r="BH258" s="207">
        <v>0</v>
      </c>
      <c r="BI258" s="207">
        <v>0</v>
      </c>
      <c r="BJ258" s="207">
        <v>-1264.56</v>
      </c>
      <c r="BK258" s="207">
        <v>-21602.899999999998</v>
      </c>
      <c r="BL258" s="207">
        <v>-1475.3200000000002</v>
      </c>
      <c r="BM258" s="207">
        <v>-2054.91</v>
      </c>
      <c r="BN258" s="207">
        <v>-105.38</v>
      </c>
      <c r="BO258" s="207">
        <v>-115215</v>
      </c>
      <c r="BP258" s="207">
        <v>-150118.76576999287</v>
      </c>
      <c r="BQ258" s="207">
        <v>-477845.61</v>
      </c>
      <c r="BR258" s="207">
        <v>62084.1270564124</v>
      </c>
      <c r="BS258" s="207">
        <v>576996</v>
      </c>
      <c r="BT258" s="207">
        <v>180373</v>
      </c>
      <c r="BU258" s="207">
        <v>473410.9224047523</v>
      </c>
      <c r="BV258" s="207">
        <v>25183.388047769105</v>
      </c>
      <c r="BW258" s="207">
        <v>43857.31872270107</v>
      </c>
      <c r="BX258" s="207">
        <v>222955.8629928093</v>
      </c>
      <c r="BY258" s="207">
        <v>317312.53966913937</v>
      </c>
      <c r="BZ258" s="207">
        <v>515527.2529931522</v>
      </c>
      <c r="CA258" s="207">
        <v>144626.5101105741</v>
      </c>
      <c r="CB258" s="207">
        <v>273798.9291505118</v>
      </c>
      <c r="CC258" s="207">
        <v>474.21</v>
      </c>
      <c r="CD258" s="207">
        <v>2892.911402402562</v>
      </c>
      <c r="CE258" s="207">
        <v>227726.18</v>
      </c>
      <c r="CF258" s="207">
        <v>2952004.1525502247</v>
      </c>
      <c r="CG258" s="207">
        <v>2012641.876780232</v>
      </c>
      <c r="CH258" s="207">
        <v>0</v>
      </c>
      <c r="CI258" s="207">
        <v>5070960.144553859</v>
      </c>
      <c r="CJ258" s="207">
        <v>-464203</v>
      </c>
      <c r="CK258" s="207">
        <v>0</v>
      </c>
      <c r="CL258" s="207">
        <v>0</v>
      </c>
      <c r="CM258" s="207">
        <v>79136.03829999999</v>
      </c>
      <c r="CN258" s="207">
        <v>17761022.501261562</v>
      </c>
      <c r="CO258" s="207">
        <v>17840158.539561562</v>
      </c>
      <c r="CP258" s="207">
        <v>5363</v>
      </c>
    </row>
    <row r="259" spans="1:94" ht="9.75">
      <c r="A259" s="175">
        <v>848</v>
      </c>
      <c r="B259" s="175" t="s">
        <v>315</v>
      </c>
      <c r="C259" s="207">
        <v>4571</v>
      </c>
      <c r="D259" s="207">
        <v>15632154.69</v>
      </c>
      <c r="E259" s="207">
        <v>8216670.003534893</v>
      </c>
      <c r="F259" s="207">
        <v>1735784.400282993</v>
      </c>
      <c r="G259" s="207">
        <v>25584609.093817886</v>
      </c>
      <c r="H259" s="207">
        <v>3524.51</v>
      </c>
      <c r="I259" s="207">
        <v>16110535.21</v>
      </c>
      <c r="J259" s="207">
        <v>9474073.883817885</v>
      </c>
      <c r="K259" s="207">
        <v>307216.6838796503</v>
      </c>
      <c r="L259" s="207">
        <v>2262571.813713158</v>
      </c>
      <c r="M259" s="207">
        <v>0</v>
      </c>
      <c r="N259" s="207">
        <v>12043862.381410694</v>
      </c>
      <c r="O259" s="207">
        <v>4591289.143384093</v>
      </c>
      <c r="P259" s="207">
        <v>16635151.524794787</v>
      </c>
      <c r="Q259" s="207">
        <v>229</v>
      </c>
      <c r="R259" s="207">
        <v>36</v>
      </c>
      <c r="S259" s="207">
        <v>252</v>
      </c>
      <c r="T259" s="207">
        <v>122</v>
      </c>
      <c r="U259" s="207">
        <v>154</v>
      </c>
      <c r="V259" s="207">
        <v>2394</v>
      </c>
      <c r="W259" s="207">
        <v>794</v>
      </c>
      <c r="X259" s="207">
        <v>418</v>
      </c>
      <c r="Y259" s="207">
        <v>172</v>
      </c>
      <c r="Z259" s="207">
        <v>8</v>
      </c>
      <c r="AA259" s="207">
        <v>1</v>
      </c>
      <c r="AB259" s="207">
        <v>4349</v>
      </c>
      <c r="AC259" s="207">
        <v>213</v>
      </c>
      <c r="AD259" s="207">
        <v>1384</v>
      </c>
      <c r="AE259" s="207">
        <v>1.5860355267917596</v>
      </c>
      <c r="AF259" s="207">
        <v>8216670.003534893</v>
      </c>
      <c r="AG259" s="207">
        <v>5204834.478023267</v>
      </c>
      <c r="AH259" s="207">
        <v>1209442.02512788</v>
      </c>
      <c r="AI259" s="207">
        <v>509278.6882186632</v>
      </c>
      <c r="AJ259" s="207">
        <v>347</v>
      </c>
      <c r="AK259" s="207">
        <v>1969</v>
      </c>
      <c r="AL259" s="207">
        <v>1.5230284813298682</v>
      </c>
      <c r="AM259" s="207">
        <v>213</v>
      </c>
      <c r="AN259" s="207">
        <v>0.04659811857361627</v>
      </c>
      <c r="AO259" s="207">
        <v>0.04165740711116568</v>
      </c>
      <c r="AP259" s="207">
        <v>0</v>
      </c>
      <c r="AQ259" s="207">
        <v>8</v>
      </c>
      <c r="AR259" s="207">
        <v>1</v>
      </c>
      <c r="AS259" s="207">
        <v>0</v>
      </c>
      <c r="AT259" s="207">
        <v>0</v>
      </c>
      <c r="AU259" s="207">
        <v>837.76</v>
      </c>
      <c r="AV259" s="207">
        <v>5.456216577540107</v>
      </c>
      <c r="AW259" s="207">
        <v>3.3238841718917618</v>
      </c>
      <c r="AX259" s="207">
        <v>200</v>
      </c>
      <c r="AY259" s="207">
        <v>1248</v>
      </c>
      <c r="AZ259" s="207">
        <v>0.16025641025641027</v>
      </c>
      <c r="BA259" s="207">
        <v>0.09907257417217577</v>
      </c>
      <c r="BB259" s="207">
        <v>0.176333</v>
      </c>
      <c r="BC259" s="207">
        <v>1354</v>
      </c>
      <c r="BD259" s="207">
        <v>1540</v>
      </c>
      <c r="BE259" s="207">
        <v>0.8792207792207792</v>
      </c>
      <c r="BF259" s="207">
        <v>0.47031389662968615</v>
      </c>
      <c r="BG259" s="207">
        <v>0</v>
      </c>
      <c r="BH259" s="207">
        <v>1</v>
      </c>
      <c r="BI259" s="207">
        <v>0</v>
      </c>
      <c r="BJ259" s="207">
        <v>-1097.04</v>
      </c>
      <c r="BK259" s="207">
        <v>-18741.1</v>
      </c>
      <c r="BL259" s="207">
        <v>-1279.88</v>
      </c>
      <c r="BM259" s="207">
        <v>-1782.69</v>
      </c>
      <c r="BN259" s="207">
        <v>-91.42</v>
      </c>
      <c r="BO259" s="207">
        <v>296673</v>
      </c>
      <c r="BP259" s="207">
        <v>-131443.0832716475</v>
      </c>
      <c r="BQ259" s="207">
        <v>-414543.99</v>
      </c>
      <c r="BR259" s="207">
        <v>146059.5290362984</v>
      </c>
      <c r="BS259" s="207">
        <v>488924</v>
      </c>
      <c r="BT259" s="207">
        <v>151458</v>
      </c>
      <c r="BU259" s="207">
        <v>407823.27488089685</v>
      </c>
      <c r="BV259" s="207">
        <v>23600.248029461156</v>
      </c>
      <c r="BW259" s="207">
        <v>70179.89737688669</v>
      </c>
      <c r="BX259" s="207">
        <v>178361.8782136875</v>
      </c>
      <c r="BY259" s="207">
        <v>258633.18425387493</v>
      </c>
      <c r="BZ259" s="207">
        <v>426043.25547438674</v>
      </c>
      <c r="CA259" s="207">
        <v>124023.69196412733</v>
      </c>
      <c r="CB259" s="207">
        <v>230735.16298174483</v>
      </c>
      <c r="CC259" s="207">
        <v>411.39</v>
      </c>
      <c r="CD259" s="207">
        <v>78219.85477344132</v>
      </c>
      <c r="CE259" s="207">
        <v>197558.62</v>
      </c>
      <c r="CF259" s="207">
        <v>3078704.9869848057</v>
      </c>
      <c r="CG259" s="207">
        <v>2262571.813713158</v>
      </c>
      <c r="CH259" s="207">
        <v>0</v>
      </c>
      <c r="CI259" s="207">
        <v>4591289.143384093</v>
      </c>
      <c r="CJ259" s="207">
        <v>316836</v>
      </c>
      <c r="CK259" s="207">
        <v>0</v>
      </c>
      <c r="CL259" s="207">
        <v>0</v>
      </c>
      <c r="CM259" s="207">
        <v>-25080.646000000022</v>
      </c>
      <c r="CN259" s="207">
        <v>16951987.524794787</v>
      </c>
      <c r="CO259" s="207">
        <v>16926906.87879479</v>
      </c>
      <c r="CP259" s="207">
        <v>4653</v>
      </c>
    </row>
    <row r="260" spans="1:94" ht="9.75">
      <c r="A260" s="175">
        <v>849</v>
      </c>
      <c r="B260" s="175" t="s">
        <v>316</v>
      </c>
      <c r="C260" s="207">
        <v>3192</v>
      </c>
      <c r="D260" s="207">
        <v>12236861.770000001</v>
      </c>
      <c r="E260" s="207">
        <v>3903644.02852955</v>
      </c>
      <c r="F260" s="207">
        <v>762487.9091177565</v>
      </c>
      <c r="G260" s="207">
        <v>16902993.70764731</v>
      </c>
      <c r="H260" s="207">
        <v>3524.51</v>
      </c>
      <c r="I260" s="207">
        <v>11250235.92</v>
      </c>
      <c r="J260" s="207">
        <v>5652757.787647309</v>
      </c>
      <c r="K260" s="207">
        <v>165866.46605536283</v>
      </c>
      <c r="L260" s="207">
        <v>1200163.0643736653</v>
      </c>
      <c r="M260" s="207">
        <v>0</v>
      </c>
      <c r="N260" s="207">
        <v>7018787.318076337</v>
      </c>
      <c r="O260" s="207">
        <v>3216197.593566258</v>
      </c>
      <c r="P260" s="207">
        <v>10234984.911642594</v>
      </c>
      <c r="Q260" s="207">
        <v>217</v>
      </c>
      <c r="R260" s="207">
        <v>44</v>
      </c>
      <c r="S260" s="207">
        <v>276</v>
      </c>
      <c r="T260" s="207">
        <v>135</v>
      </c>
      <c r="U260" s="207">
        <v>127</v>
      </c>
      <c r="V260" s="207">
        <v>1583</v>
      </c>
      <c r="W260" s="207">
        <v>449</v>
      </c>
      <c r="X260" s="207">
        <v>253</v>
      </c>
      <c r="Y260" s="207">
        <v>108</v>
      </c>
      <c r="Z260" s="207">
        <v>4</v>
      </c>
      <c r="AA260" s="207">
        <v>0</v>
      </c>
      <c r="AB260" s="207">
        <v>3145</v>
      </c>
      <c r="AC260" s="207">
        <v>43</v>
      </c>
      <c r="AD260" s="207">
        <v>810</v>
      </c>
      <c r="AE260" s="207">
        <v>1.0790351996488787</v>
      </c>
      <c r="AF260" s="207">
        <v>3903644.02852955</v>
      </c>
      <c r="AG260" s="207">
        <v>10185286.566894798</v>
      </c>
      <c r="AH260" s="207">
        <v>3464211.2859625304</v>
      </c>
      <c r="AI260" s="207">
        <v>857732.5275261698</v>
      </c>
      <c r="AJ260" s="207">
        <v>110</v>
      </c>
      <c r="AK260" s="207">
        <v>1361</v>
      </c>
      <c r="AL260" s="207">
        <v>0.6984878019663371</v>
      </c>
      <c r="AM260" s="207">
        <v>43</v>
      </c>
      <c r="AN260" s="207">
        <v>0.013471177944862155</v>
      </c>
      <c r="AO260" s="207">
        <v>0.008530466482411563</v>
      </c>
      <c r="AP260" s="207">
        <v>0</v>
      </c>
      <c r="AQ260" s="207">
        <v>4</v>
      </c>
      <c r="AR260" s="207">
        <v>0</v>
      </c>
      <c r="AS260" s="207">
        <v>0</v>
      </c>
      <c r="AT260" s="207">
        <v>0</v>
      </c>
      <c r="AU260" s="207">
        <v>608.82</v>
      </c>
      <c r="AV260" s="207">
        <v>5.2429289445156195</v>
      </c>
      <c r="AW260" s="207">
        <v>3.45910312964856</v>
      </c>
      <c r="AX260" s="207">
        <v>108</v>
      </c>
      <c r="AY260" s="207">
        <v>806</v>
      </c>
      <c r="AZ260" s="207">
        <v>0.13399503722084366</v>
      </c>
      <c r="BA260" s="207">
        <v>0.07281120113660916</v>
      </c>
      <c r="BB260" s="207">
        <v>0.086933</v>
      </c>
      <c r="BC260" s="207">
        <v>1084</v>
      </c>
      <c r="BD260" s="207">
        <v>1159</v>
      </c>
      <c r="BE260" s="207">
        <v>0.9352890422778257</v>
      </c>
      <c r="BF260" s="207">
        <v>0.5263821596867326</v>
      </c>
      <c r="BG260" s="207">
        <v>0</v>
      </c>
      <c r="BH260" s="207">
        <v>0</v>
      </c>
      <c r="BI260" s="207">
        <v>0</v>
      </c>
      <c r="BJ260" s="207">
        <v>-766.0799999999999</v>
      </c>
      <c r="BK260" s="207">
        <v>-13087.199999999999</v>
      </c>
      <c r="BL260" s="207">
        <v>-893.7600000000001</v>
      </c>
      <c r="BM260" s="207">
        <v>-1244.88</v>
      </c>
      <c r="BN260" s="207">
        <v>-63.84</v>
      </c>
      <c r="BO260" s="207">
        <v>-35286</v>
      </c>
      <c r="BP260" s="207">
        <v>-44956.11815347678</v>
      </c>
      <c r="BQ260" s="207">
        <v>-289482.48</v>
      </c>
      <c r="BR260" s="207">
        <v>23437.54527264461</v>
      </c>
      <c r="BS260" s="207">
        <v>314226</v>
      </c>
      <c r="BT260" s="207">
        <v>100168</v>
      </c>
      <c r="BU260" s="207">
        <v>257451.3146865465</v>
      </c>
      <c r="BV260" s="207">
        <v>12554.810613471816</v>
      </c>
      <c r="BW260" s="207">
        <v>41698.33530034056</v>
      </c>
      <c r="BX260" s="207">
        <v>129523.2545463595</v>
      </c>
      <c r="BY260" s="207">
        <v>173125.70093132294</v>
      </c>
      <c r="BZ260" s="207">
        <v>339131.47494841396</v>
      </c>
      <c r="CA260" s="207">
        <v>83990.13880289915</v>
      </c>
      <c r="CB260" s="207">
        <v>153250.83389795406</v>
      </c>
      <c r="CC260" s="207">
        <v>287.28</v>
      </c>
      <c r="CD260" s="207">
        <v>-8268.06647281082</v>
      </c>
      <c r="CE260" s="207">
        <v>137958.24</v>
      </c>
      <c r="CF260" s="207">
        <v>1723248.862527142</v>
      </c>
      <c r="CG260" s="207">
        <v>1200163.0643736653</v>
      </c>
      <c r="CH260" s="207">
        <v>0</v>
      </c>
      <c r="CI260" s="207">
        <v>3216197.593566258</v>
      </c>
      <c r="CJ260" s="207">
        <v>82135</v>
      </c>
      <c r="CK260" s="207">
        <v>0</v>
      </c>
      <c r="CL260" s="207">
        <v>0</v>
      </c>
      <c r="CM260" s="207">
        <v>192724.964</v>
      </c>
      <c r="CN260" s="207">
        <v>10317119.911642594</v>
      </c>
      <c r="CO260" s="207">
        <v>10509844.875642594</v>
      </c>
      <c r="CP260" s="207">
        <v>3232</v>
      </c>
    </row>
    <row r="261" spans="1:94" ht="9.75">
      <c r="A261" s="175">
        <v>850</v>
      </c>
      <c r="B261" s="175" t="s">
        <v>317</v>
      </c>
      <c r="C261" s="207">
        <v>2384</v>
      </c>
      <c r="D261" s="207">
        <v>8856161.61</v>
      </c>
      <c r="E261" s="207">
        <v>2822181.7965833377</v>
      </c>
      <c r="F261" s="207">
        <v>532830.6168656644</v>
      </c>
      <c r="G261" s="207">
        <v>12211174.023449002</v>
      </c>
      <c r="H261" s="207">
        <v>3524.51</v>
      </c>
      <c r="I261" s="207">
        <v>8402431.84</v>
      </c>
      <c r="J261" s="207">
        <v>3808742.183449002</v>
      </c>
      <c r="K261" s="207">
        <v>32829.306945221106</v>
      </c>
      <c r="L261" s="207">
        <v>955840.9104815538</v>
      </c>
      <c r="M261" s="207">
        <v>0</v>
      </c>
      <c r="N261" s="207">
        <v>4797412.400875777</v>
      </c>
      <c r="O261" s="207">
        <v>1679880.812069365</v>
      </c>
      <c r="P261" s="207">
        <v>6477293.212945142</v>
      </c>
      <c r="Q261" s="207">
        <v>148</v>
      </c>
      <c r="R261" s="207">
        <v>41</v>
      </c>
      <c r="S261" s="207">
        <v>209</v>
      </c>
      <c r="T261" s="207">
        <v>88</v>
      </c>
      <c r="U261" s="207">
        <v>64</v>
      </c>
      <c r="V261" s="207">
        <v>1189</v>
      </c>
      <c r="W261" s="207">
        <v>383</v>
      </c>
      <c r="X261" s="207">
        <v>184</v>
      </c>
      <c r="Y261" s="207">
        <v>78</v>
      </c>
      <c r="Z261" s="207">
        <v>0</v>
      </c>
      <c r="AA261" s="207">
        <v>0</v>
      </c>
      <c r="AB261" s="207">
        <v>2360</v>
      </c>
      <c r="AC261" s="207">
        <v>24</v>
      </c>
      <c r="AD261" s="207">
        <v>645</v>
      </c>
      <c r="AE261" s="207">
        <v>1.0444965802614004</v>
      </c>
      <c r="AF261" s="207">
        <v>2822181.7965833377</v>
      </c>
      <c r="AG261" s="207">
        <v>9877674.120428937</v>
      </c>
      <c r="AH261" s="207">
        <v>3148132.6252712747</v>
      </c>
      <c r="AI261" s="207">
        <v>795189.5307273865</v>
      </c>
      <c r="AJ261" s="207">
        <v>117</v>
      </c>
      <c r="AK261" s="207">
        <v>1081</v>
      </c>
      <c r="AL261" s="207">
        <v>0.9353721480255119</v>
      </c>
      <c r="AM261" s="207">
        <v>24</v>
      </c>
      <c r="AN261" s="207">
        <v>0.010067114093959731</v>
      </c>
      <c r="AO261" s="207">
        <v>0.005126402631509138</v>
      </c>
      <c r="AP261" s="207">
        <v>0</v>
      </c>
      <c r="AQ261" s="207">
        <v>0</v>
      </c>
      <c r="AR261" s="207">
        <v>0</v>
      </c>
      <c r="AS261" s="207">
        <v>0</v>
      </c>
      <c r="AT261" s="207">
        <v>0</v>
      </c>
      <c r="AU261" s="207">
        <v>361.45</v>
      </c>
      <c r="AV261" s="207">
        <v>6.595656384008853</v>
      </c>
      <c r="AW261" s="207">
        <v>2.7496629394565284</v>
      </c>
      <c r="AX261" s="207">
        <v>89</v>
      </c>
      <c r="AY261" s="207">
        <v>698</v>
      </c>
      <c r="AZ261" s="207">
        <v>0.12750716332378223</v>
      </c>
      <c r="BA261" s="207">
        <v>0.06632332723954773</v>
      </c>
      <c r="BB261" s="207">
        <v>0</v>
      </c>
      <c r="BC261" s="207">
        <v>565</v>
      </c>
      <c r="BD261" s="207">
        <v>905</v>
      </c>
      <c r="BE261" s="207">
        <v>0.6243093922651933</v>
      </c>
      <c r="BF261" s="207">
        <v>0.21540250967410024</v>
      </c>
      <c r="BG261" s="207">
        <v>0</v>
      </c>
      <c r="BH261" s="207">
        <v>0</v>
      </c>
      <c r="BI261" s="207">
        <v>0</v>
      </c>
      <c r="BJ261" s="207">
        <v>-572.16</v>
      </c>
      <c r="BK261" s="207">
        <v>-9774.4</v>
      </c>
      <c r="BL261" s="207">
        <v>-667.5200000000001</v>
      </c>
      <c r="BM261" s="207">
        <v>-929.76</v>
      </c>
      <c r="BN261" s="207">
        <v>-47.68</v>
      </c>
      <c r="BO261" s="207">
        <v>37010</v>
      </c>
      <c r="BP261" s="207">
        <v>-1050.532154045257</v>
      </c>
      <c r="BQ261" s="207">
        <v>-216204.96</v>
      </c>
      <c r="BR261" s="207">
        <v>129204.97141114902</v>
      </c>
      <c r="BS261" s="207">
        <v>217595</v>
      </c>
      <c r="BT261" s="207">
        <v>70121</v>
      </c>
      <c r="BU261" s="207">
        <v>157566.65010776315</v>
      </c>
      <c r="BV261" s="207">
        <v>6018.4220331636425</v>
      </c>
      <c r="BW261" s="207">
        <v>16014.904402014883</v>
      </c>
      <c r="BX261" s="207">
        <v>71238.97880583534</v>
      </c>
      <c r="BY261" s="207">
        <v>131906.43722749897</v>
      </c>
      <c r="BZ261" s="207">
        <v>199318.96465986373</v>
      </c>
      <c r="CA261" s="207">
        <v>52076.235371586336</v>
      </c>
      <c r="CB261" s="207">
        <v>106125.74955900428</v>
      </c>
      <c r="CC261" s="207">
        <v>214.56</v>
      </c>
      <c r="CD261" s="207">
        <v>16542.449057719383</v>
      </c>
      <c r="CE261" s="207">
        <v>103036.48</v>
      </c>
      <c r="CF261" s="207">
        <v>1313990.802635599</v>
      </c>
      <c r="CG261" s="207">
        <v>955840.9104815538</v>
      </c>
      <c r="CH261" s="207">
        <v>0</v>
      </c>
      <c r="CI261" s="207">
        <v>1679880.812069365</v>
      </c>
      <c r="CJ261" s="207">
        <v>-524538</v>
      </c>
      <c r="CK261" s="207">
        <v>0</v>
      </c>
      <c r="CL261" s="207">
        <v>0</v>
      </c>
      <c r="CM261" s="207">
        <v>227019.44732000004</v>
      </c>
      <c r="CN261" s="207">
        <v>5952755.212945142</v>
      </c>
      <c r="CO261" s="207">
        <v>6179774.660265142</v>
      </c>
      <c r="CP261" s="207">
        <v>2432</v>
      </c>
    </row>
    <row r="262" spans="1:94" ht="9.75">
      <c r="A262" s="175">
        <v>851</v>
      </c>
      <c r="B262" s="175" t="s">
        <v>318</v>
      </c>
      <c r="C262" s="207">
        <v>21928</v>
      </c>
      <c r="D262" s="207">
        <v>75194642.82000001</v>
      </c>
      <c r="E262" s="207">
        <v>23516890.561208747</v>
      </c>
      <c r="F262" s="207">
        <v>4390505.4837182155</v>
      </c>
      <c r="G262" s="207">
        <v>103102038.86492696</v>
      </c>
      <c r="H262" s="207">
        <v>3524.51</v>
      </c>
      <c r="I262" s="207">
        <v>77285455.28</v>
      </c>
      <c r="J262" s="207">
        <v>25816583.584926963</v>
      </c>
      <c r="K262" s="207">
        <v>1049995.209817089</v>
      </c>
      <c r="L262" s="207">
        <v>4300021.178244583</v>
      </c>
      <c r="M262" s="207">
        <v>0</v>
      </c>
      <c r="N262" s="207">
        <v>31166599.972988635</v>
      </c>
      <c r="O262" s="207">
        <v>7753351.620838088</v>
      </c>
      <c r="P262" s="207">
        <v>38919951.593826726</v>
      </c>
      <c r="Q262" s="207">
        <v>1368</v>
      </c>
      <c r="R262" s="207">
        <v>293</v>
      </c>
      <c r="S262" s="207">
        <v>1645</v>
      </c>
      <c r="T262" s="207">
        <v>834</v>
      </c>
      <c r="U262" s="207">
        <v>833</v>
      </c>
      <c r="V262" s="207">
        <v>12178</v>
      </c>
      <c r="W262" s="207">
        <v>2892</v>
      </c>
      <c r="X262" s="207">
        <v>1315</v>
      </c>
      <c r="Y262" s="207">
        <v>570</v>
      </c>
      <c r="Z262" s="207">
        <v>95</v>
      </c>
      <c r="AA262" s="207">
        <v>14</v>
      </c>
      <c r="AB262" s="207">
        <v>21249</v>
      </c>
      <c r="AC262" s="207">
        <v>570</v>
      </c>
      <c r="AD262" s="207">
        <v>4777</v>
      </c>
      <c r="AE262" s="207">
        <v>0.9462571254015709</v>
      </c>
      <c r="AF262" s="207">
        <v>23516890.561208747</v>
      </c>
      <c r="AG262" s="207">
        <v>5080720.0629462935</v>
      </c>
      <c r="AH262" s="207">
        <v>1177478.1448963697</v>
      </c>
      <c r="AI262" s="207">
        <v>500343.97439026565</v>
      </c>
      <c r="AJ262" s="207">
        <v>1340</v>
      </c>
      <c r="AK262" s="207">
        <v>10191</v>
      </c>
      <c r="AL262" s="207">
        <v>1.1363503839913005</v>
      </c>
      <c r="AM262" s="207">
        <v>570</v>
      </c>
      <c r="AN262" s="207">
        <v>0.025994162714337833</v>
      </c>
      <c r="AO262" s="207">
        <v>0.02105345125188724</v>
      </c>
      <c r="AP262" s="207">
        <v>0</v>
      </c>
      <c r="AQ262" s="207">
        <v>95</v>
      </c>
      <c r="AR262" s="207">
        <v>14</v>
      </c>
      <c r="AS262" s="207">
        <v>0</v>
      </c>
      <c r="AT262" s="207">
        <v>0</v>
      </c>
      <c r="AU262" s="207">
        <v>1188.05</v>
      </c>
      <c r="AV262" s="207">
        <v>18.45713564243929</v>
      </c>
      <c r="AW262" s="207">
        <v>0.9825918968054013</v>
      </c>
      <c r="AX262" s="207">
        <v>746</v>
      </c>
      <c r="AY262" s="207">
        <v>6304</v>
      </c>
      <c r="AZ262" s="207">
        <v>0.11833756345177665</v>
      </c>
      <c r="BA262" s="207">
        <v>0.05715372736754216</v>
      </c>
      <c r="BB262" s="207">
        <v>0.038183</v>
      </c>
      <c r="BC262" s="207">
        <v>8777</v>
      </c>
      <c r="BD262" s="207">
        <v>8504</v>
      </c>
      <c r="BE262" s="207">
        <v>1.0321025399811854</v>
      </c>
      <c r="BF262" s="207">
        <v>0.6231956573900923</v>
      </c>
      <c r="BG262" s="207">
        <v>0</v>
      </c>
      <c r="BH262" s="207">
        <v>14</v>
      </c>
      <c r="BI262" s="207">
        <v>0</v>
      </c>
      <c r="BJ262" s="207">
        <v>-5262.72</v>
      </c>
      <c r="BK262" s="207">
        <v>-89904.79999999999</v>
      </c>
      <c r="BL262" s="207">
        <v>-6139.84</v>
      </c>
      <c r="BM262" s="207">
        <v>-8551.92</v>
      </c>
      <c r="BN262" s="207">
        <v>-438.56</v>
      </c>
      <c r="BO262" s="207">
        <v>-14349</v>
      </c>
      <c r="BP262" s="207">
        <v>-890679.6615598919</v>
      </c>
      <c r="BQ262" s="207">
        <v>-1988650.32</v>
      </c>
      <c r="BR262" s="207">
        <v>-580763.6914084479</v>
      </c>
      <c r="BS262" s="207">
        <v>1689783</v>
      </c>
      <c r="BT262" s="207">
        <v>512361</v>
      </c>
      <c r="BU262" s="207">
        <v>1252194.124183459</v>
      </c>
      <c r="BV262" s="207">
        <v>40707.48580701725</v>
      </c>
      <c r="BW262" s="207">
        <v>63350.42689183841</v>
      </c>
      <c r="BX262" s="207">
        <v>564846.7675050591</v>
      </c>
      <c r="BY262" s="207">
        <v>986831.8784667774</v>
      </c>
      <c r="BZ262" s="207">
        <v>1548331.791137923</v>
      </c>
      <c r="CA262" s="207">
        <v>440767.03542465175</v>
      </c>
      <c r="CB262" s="207">
        <v>832994.803787737</v>
      </c>
      <c r="CC262" s="207">
        <v>1973.52</v>
      </c>
      <c r="CD262" s="207">
        <v>188538.65800846156</v>
      </c>
      <c r="CE262" s="207">
        <v>947728.16</v>
      </c>
      <c r="CF262" s="207">
        <v>8475295.959804475</v>
      </c>
      <c r="CG262" s="207">
        <v>4300021.178244583</v>
      </c>
      <c r="CH262" s="207">
        <v>0</v>
      </c>
      <c r="CI262" s="207">
        <v>7753351.620838088</v>
      </c>
      <c r="CJ262" s="207">
        <v>-574378</v>
      </c>
      <c r="CK262" s="207">
        <v>0</v>
      </c>
      <c r="CL262" s="207">
        <v>0</v>
      </c>
      <c r="CM262" s="207">
        <v>92507.98272000009</v>
      </c>
      <c r="CN262" s="207">
        <v>38345573.593826726</v>
      </c>
      <c r="CO262" s="207">
        <v>38438081.57654673</v>
      </c>
      <c r="CP262" s="207">
        <v>22117</v>
      </c>
    </row>
    <row r="263" spans="1:94" ht="9.75">
      <c r="A263" s="175">
        <v>853</v>
      </c>
      <c r="B263" s="175" t="s">
        <v>319</v>
      </c>
      <c r="C263" s="207">
        <v>189669</v>
      </c>
      <c r="D263" s="207">
        <v>573867778.8499999</v>
      </c>
      <c r="E263" s="207">
        <v>200093948.3626572</v>
      </c>
      <c r="F263" s="207">
        <v>72693794.97524558</v>
      </c>
      <c r="G263" s="207">
        <v>846655522.1879027</v>
      </c>
      <c r="H263" s="207">
        <v>3524.51</v>
      </c>
      <c r="I263" s="207">
        <v>668490287.19</v>
      </c>
      <c r="J263" s="207">
        <v>178165234.99790263</v>
      </c>
      <c r="K263" s="207">
        <v>10122045.061924567</v>
      </c>
      <c r="L263" s="207">
        <v>35702672.91383633</v>
      </c>
      <c r="M263" s="207">
        <v>0</v>
      </c>
      <c r="N263" s="207">
        <v>223989952.97366354</v>
      </c>
      <c r="O263" s="207">
        <v>541192.4381745497</v>
      </c>
      <c r="P263" s="207">
        <v>224531145.41183808</v>
      </c>
      <c r="Q263" s="207">
        <v>10421</v>
      </c>
      <c r="R263" s="207">
        <v>1620</v>
      </c>
      <c r="S263" s="207">
        <v>9378</v>
      </c>
      <c r="T263" s="207">
        <v>4457</v>
      </c>
      <c r="U263" s="207">
        <v>4939</v>
      </c>
      <c r="V263" s="207">
        <v>120012</v>
      </c>
      <c r="W263" s="207">
        <v>21607</v>
      </c>
      <c r="X263" s="207">
        <v>11640</v>
      </c>
      <c r="Y263" s="207">
        <v>5595</v>
      </c>
      <c r="Z263" s="207">
        <v>10310</v>
      </c>
      <c r="AA263" s="207">
        <v>18</v>
      </c>
      <c r="AB263" s="207">
        <v>158343</v>
      </c>
      <c r="AC263" s="207">
        <v>20998</v>
      </c>
      <c r="AD263" s="207">
        <v>38842</v>
      </c>
      <c r="AE263" s="207">
        <v>0.9308203871466648</v>
      </c>
      <c r="AF263" s="207">
        <v>200093948.3626572</v>
      </c>
      <c r="AG263" s="207">
        <v>3440928.514753772</v>
      </c>
      <c r="AH263" s="207">
        <v>807029.9300582947</v>
      </c>
      <c r="AI263" s="207">
        <v>357388.55313590413</v>
      </c>
      <c r="AJ263" s="207">
        <v>13282</v>
      </c>
      <c r="AK263" s="207">
        <v>92660</v>
      </c>
      <c r="AL263" s="207">
        <v>1.238783597468819</v>
      </c>
      <c r="AM263" s="207">
        <v>20998</v>
      </c>
      <c r="AN263" s="207">
        <v>0.11070865560529132</v>
      </c>
      <c r="AO263" s="207">
        <v>0.10576794414284073</v>
      </c>
      <c r="AP263" s="207">
        <v>1</v>
      </c>
      <c r="AQ263" s="207">
        <v>10310</v>
      </c>
      <c r="AR263" s="207">
        <v>18</v>
      </c>
      <c r="AS263" s="207">
        <v>0</v>
      </c>
      <c r="AT263" s="207">
        <v>0</v>
      </c>
      <c r="AU263" s="207">
        <v>245.67</v>
      </c>
      <c r="AV263" s="207">
        <v>772.0478690926853</v>
      </c>
      <c r="AW263" s="207">
        <v>0.02349055369042379</v>
      </c>
      <c r="AX263" s="207">
        <v>9395</v>
      </c>
      <c r="AY263" s="207">
        <v>58486</v>
      </c>
      <c r="AZ263" s="207">
        <v>0.16063673357726635</v>
      </c>
      <c r="BA263" s="207">
        <v>0.09945289749303185</v>
      </c>
      <c r="BB263" s="207">
        <v>0</v>
      </c>
      <c r="BC263" s="207">
        <v>97273</v>
      </c>
      <c r="BD263" s="207">
        <v>78214</v>
      </c>
      <c r="BE263" s="207">
        <v>1.2436776024752603</v>
      </c>
      <c r="BF263" s="207">
        <v>0.8347707198841672</v>
      </c>
      <c r="BG263" s="207">
        <v>0</v>
      </c>
      <c r="BH263" s="207">
        <v>18</v>
      </c>
      <c r="BI263" s="207">
        <v>0</v>
      </c>
      <c r="BJ263" s="207">
        <v>-45520.56</v>
      </c>
      <c r="BK263" s="207">
        <v>-777642.8999999999</v>
      </c>
      <c r="BL263" s="207">
        <v>-53107.32000000001</v>
      </c>
      <c r="BM263" s="207">
        <v>-73970.91</v>
      </c>
      <c r="BN263" s="207">
        <v>-3793.38</v>
      </c>
      <c r="BO263" s="207">
        <v>491739</v>
      </c>
      <c r="BP263" s="207">
        <v>-16932618.421160482</v>
      </c>
      <c r="BQ263" s="207">
        <v>-17201081.61</v>
      </c>
      <c r="BR263" s="207">
        <v>497689.7856930196</v>
      </c>
      <c r="BS263" s="207">
        <v>12023956</v>
      </c>
      <c r="BT263" s="207">
        <v>4740530</v>
      </c>
      <c r="BU263" s="207">
        <v>11427222.350982357</v>
      </c>
      <c r="BV263" s="207">
        <v>564913.7235415687</v>
      </c>
      <c r="BW263" s="207">
        <v>366930.12714489934</v>
      </c>
      <c r="BX263" s="207">
        <v>4587595.647429567</v>
      </c>
      <c r="BY263" s="207">
        <v>9653934.222865572</v>
      </c>
      <c r="BZ263" s="207">
        <v>13341231.3378736</v>
      </c>
      <c r="CA263" s="207">
        <v>5854496.715964283</v>
      </c>
      <c r="CB263" s="207">
        <v>9081982.03379936</v>
      </c>
      <c r="CC263" s="207">
        <v>17070.21</v>
      </c>
      <c r="CD263" s="207">
        <v>199025.50970257632</v>
      </c>
      <c r="CE263" s="207">
        <v>8197494.18</v>
      </c>
      <c r="CF263" s="207">
        <v>81045810.84499681</v>
      </c>
      <c r="CG263" s="207">
        <v>35702672.91383633</v>
      </c>
      <c r="CH263" s="207">
        <v>0</v>
      </c>
      <c r="CI263" s="207">
        <v>541192.4381745497</v>
      </c>
      <c r="CJ263" s="207">
        <v>37189815</v>
      </c>
      <c r="CK263" s="207">
        <v>0</v>
      </c>
      <c r="CL263" s="207">
        <v>0</v>
      </c>
      <c r="CM263" s="207">
        <v>-2805956.672779994</v>
      </c>
      <c r="CN263" s="207">
        <v>261720960.41183808</v>
      </c>
      <c r="CO263" s="207">
        <v>258915003.73905808</v>
      </c>
      <c r="CP263" s="207">
        <v>187604</v>
      </c>
    </row>
    <row r="264" spans="1:94" ht="9.75">
      <c r="A264" s="175">
        <v>857</v>
      </c>
      <c r="B264" s="175" t="s">
        <v>320</v>
      </c>
      <c r="C264" s="207">
        <v>2597</v>
      </c>
      <c r="D264" s="207">
        <v>8655717.33</v>
      </c>
      <c r="E264" s="207">
        <v>5429227.732732311</v>
      </c>
      <c r="F264" s="207">
        <v>843849.61848508</v>
      </c>
      <c r="G264" s="207">
        <v>14928794.681217391</v>
      </c>
      <c r="H264" s="207">
        <v>3524.51</v>
      </c>
      <c r="I264" s="207">
        <v>9153152.47</v>
      </c>
      <c r="J264" s="207">
        <v>5775642.21121739</v>
      </c>
      <c r="K264" s="207">
        <v>237407.31434405706</v>
      </c>
      <c r="L264" s="207">
        <v>1088137.3660821533</v>
      </c>
      <c r="M264" s="207">
        <v>0</v>
      </c>
      <c r="N264" s="207">
        <v>7101186.891643601</v>
      </c>
      <c r="O264" s="207">
        <v>2622160.0680278055</v>
      </c>
      <c r="P264" s="207">
        <v>9723346.959671406</v>
      </c>
      <c r="Q264" s="207">
        <v>101</v>
      </c>
      <c r="R264" s="207">
        <v>18</v>
      </c>
      <c r="S264" s="207">
        <v>126</v>
      </c>
      <c r="T264" s="207">
        <v>62</v>
      </c>
      <c r="U264" s="207">
        <v>60</v>
      </c>
      <c r="V264" s="207">
        <v>1372</v>
      </c>
      <c r="W264" s="207">
        <v>484</v>
      </c>
      <c r="X264" s="207">
        <v>271</v>
      </c>
      <c r="Y264" s="207">
        <v>103</v>
      </c>
      <c r="Z264" s="207">
        <v>2</v>
      </c>
      <c r="AA264" s="207">
        <v>1</v>
      </c>
      <c r="AB264" s="207">
        <v>2556</v>
      </c>
      <c r="AC264" s="207">
        <v>38</v>
      </c>
      <c r="AD264" s="207">
        <v>858</v>
      </c>
      <c r="AE264" s="207">
        <v>1.8445668373902577</v>
      </c>
      <c r="AF264" s="207">
        <v>5429227.732732311</v>
      </c>
      <c r="AG264" s="207">
        <v>240093640.05466324</v>
      </c>
      <c r="AH264" s="207">
        <v>58424091.090083525</v>
      </c>
      <c r="AI264" s="207">
        <v>30118920.315528315</v>
      </c>
      <c r="AJ264" s="207">
        <v>155</v>
      </c>
      <c r="AK264" s="207">
        <v>1025</v>
      </c>
      <c r="AL264" s="207">
        <v>1.3068691287255756</v>
      </c>
      <c r="AM264" s="207">
        <v>38</v>
      </c>
      <c r="AN264" s="207">
        <v>0.014632268001540239</v>
      </c>
      <c r="AO264" s="207">
        <v>0.009691556539089645</v>
      </c>
      <c r="AP264" s="207">
        <v>0</v>
      </c>
      <c r="AQ264" s="207">
        <v>2</v>
      </c>
      <c r="AR264" s="207">
        <v>1</v>
      </c>
      <c r="AS264" s="207">
        <v>0</v>
      </c>
      <c r="AT264" s="207">
        <v>0</v>
      </c>
      <c r="AU264" s="207">
        <v>543.16</v>
      </c>
      <c r="AV264" s="207">
        <v>4.7812799175197</v>
      </c>
      <c r="AW264" s="207">
        <v>3.793091438559198</v>
      </c>
      <c r="AX264" s="207">
        <v>116</v>
      </c>
      <c r="AY264" s="207">
        <v>649</v>
      </c>
      <c r="AZ264" s="207">
        <v>0.17873651771956856</v>
      </c>
      <c r="BA264" s="207">
        <v>0.11755268163533406</v>
      </c>
      <c r="BB264" s="207">
        <v>0.3374</v>
      </c>
      <c r="BC264" s="207">
        <v>597</v>
      </c>
      <c r="BD264" s="207">
        <v>821</v>
      </c>
      <c r="BE264" s="207">
        <v>0.7271619975639464</v>
      </c>
      <c r="BF264" s="207">
        <v>0.3182551149728533</v>
      </c>
      <c r="BG264" s="207">
        <v>0</v>
      </c>
      <c r="BH264" s="207">
        <v>1</v>
      </c>
      <c r="BI264" s="207">
        <v>0</v>
      </c>
      <c r="BJ264" s="207">
        <v>-623.28</v>
      </c>
      <c r="BK264" s="207">
        <v>-10647.699999999999</v>
      </c>
      <c r="BL264" s="207">
        <v>-727.1600000000001</v>
      </c>
      <c r="BM264" s="207">
        <v>-1012.83</v>
      </c>
      <c r="BN264" s="207">
        <v>-51.94</v>
      </c>
      <c r="BO264" s="207">
        <v>106862</v>
      </c>
      <c r="BP264" s="207">
        <v>-83613.46036019691</v>
      </c>
      <c r="BQ264" s="207">
        <v>-235521.93</v>
      </c>
      <c r="BR264" s="207">
        <v>24017.81958437711</v>
      </c>
      <c r="BS264" s="207">
        <v>300356</v>
      </c>
      <c r="BT264" s="207">
        <v>87021</v>
      </c>
      <c r="BU264" s="207">
        <v>228750.0569633556</v>
      </c>
      <c r="BV264" s="207">
        <v>10969.57630153163</v>
      </c>
      <c r="BW264" s="207">
        <v>17385.613345586495</v>
      </c>
      <c r="BX264" s="207">
        <v>111786.84419278541</v>
      </c>
      <c r="BY264" s="207">
        <v>148155.05428529167</v>
      </c>
      <c r="BZ264" s="207">
        <v>234119.64364674693</v>
      </c>
      <c r="CA264" s="207">
        <v>62099.270575895694</v>
      </c>
      <c r="CB264" s="207">
        <v>126183.83449558614</v>
      </c>
      <c r="CC264" s="207">
        <v>233.73</v>
      </c>
      <c r="CD264" s="207">
        <v>-9427.326948806465</v>
      </c>
      <c r="CE264" s="207">
        <v>112242.34</v>
      </c>
      <c r="CF264" s="207">
        <v>1560755.4564423503</v>
      </c>
      <c r="CG264" s="207">
        <v>1088137.3660821533</v>
      </c>
      <c r="CH264" s="207">
        <v>0</v>
      </c>
      <c r="CI264" s="207">
        <v>2622160.0680278055</v>
      </c>
      <c r="CJ264" s="207">
        <v>-65153</v>
      </c>
      <c r="CK264" s="207">
        <v>0</v>
      </c>
      <c r="CL264" s="207">
        <v>0</v>
      </c>
      <c r="CM264" s="207">
        <v>563522.5146000001</v>
      </c>
      <c r="CN264" s="207">
        <v>9658193.959671406</v>
      </c>
      <c r="CO264" s="207">
        <v>10221716.474271405</v>
      </c>
      <c r="CP264" s="207">
        <v>2643</v>
      </c>
    </row>
    <row r="265" spans="1:94" ht="9.75">
      <c r="A265" s="175">
        <v>858</v>
      </c>
      <c r="B265" s="175" t="s">
        <v>321</v>
      </c>
      <c r="C265" s="207">
        <v>38646</v>
      </c>
      <c r="D265" s="207">
        <v>128500027.67</v>
      </c>
      <c r="E265" s="207">
        <v>34824968.4825127</v>
      </c>
      <c r="F265" s="207">
        <v>6485597.03610131</v>
      </c>
      <c r="G265" s="207">
        <v>169810593.188614</v>
      </c>
      <c r="H265" s="207">
        <v>3524.51</v>
      </c>
      <c r="I265" s="207">
        <v>136208213.46</v>
      </c>
      <c r="J265" s="207">
        <v>33602379.728614</v>
      </c>
      <c r="K265" s="207">
        <v>927160.9982548833</v>
      </c>
      <c r="L265" s="207">
        <v>3697819.448494997</v>
      </c>
      <c r="M265" s="207">
        <v>0</v>
      </c>
      <c r="N265" s="207">
        <v>38227360.17536388</v>
      </c>
      <c r="O265" s="207">
        <v>-9543104.532652443</v>
      </c>
      <c r="P265" s="207">
        <v>28684255.64271144</v>
      </c>
      <c r="Q265" s="207">
        <v>2497</v>
      </c>
      <c r="R265" s="207">
        <v>496</v>
      </c>
      <c r="S265" s="207">
        <v>3369</v>
      </c>
      <c r="T265" s="207">
        <v>1791</v>
      </c>
      <c r="U265" s="207">
        <v>1550</v>
      </c>
      <c r="V265" s="207">
        <v>22452</v>
      </c>
      <c r="W265" s="207">
        <v>4153</v>
      </c>
      <c r="X265" s="207">
        <v>1787</v>
      </c>
      <c r="Y265" s="207">
        <v>551</v>
      </c>
      <c r="Z265" s="207">
        <v>591</v>
      </c>
      <c r="AA265" s="207">
        <v>3</v>
      </c>
      <c r="AB265" s="207">
        <v>36309</v>
      </c>
      <c r="AC265" s="207">
        <v>1743</v>
      </c>
      <c r="AD265" s="207">
        <v>6491</v>
      </c>
      <c r="AE265" s="207">
        <v>0.7950866651325259</v>
      </c>
      <c r="AF265" s="207">
        <v>34824968.4825127</v>
      </c>
      <c r="AG265" s="207">
        <v>7643847.135237011</v>
      </c>
      <c r="AH265" s="207">
        <v>1851234.947209722</v>
      </c>
      <c r="AI265" s="207">
        <v>839863.0998693745</v>
      </c>
      <c r="AJ265" s="207">
        <v>1407</v>
      </c>
      <c r="AK265" s="207">
        <v>19582</v>
      </c>
      <c r="AL265" s="207">
        <v>0.6209567001030595</v>
      </c>
      <c r="AM265" s="207">
        <v>1743</v>
      </c>
      <c r="AN265" s="207">
        <v>0.045101692283806866</v>
      </c>
      <c r="AO265" s="207">
        <v>0.040160980821356274</v>
      </c>
      <c r="AP265" s="207">
        <v>0</v>
      </c>
      <c r="AQ265" s="207">
        <v>591</v>
      </c>
      <c r="AR265" s="207">
        <v>3</v>
      </c>
      <c r="AS265" s="207">
        <v>0</v>
      </c>
      <c r="AT265" s="207">
        <v>0</v>
      </c>
      <c r="AU265" s="207">
        <v>219.49</v>
      </c>
      <c r="AV265" s="207">
        <v>176.071802815618</v>
      </c>
      <c r="AW265" s="207">
        <v>0.1030024775715553</v>
      </c>
      <c r="AX265" s="207">
        <v>2015</v>
      </c>
      <c r="AY265" s="207">
        <v>13923</v>
      </c>
      <c r="AZ265" s="207">
        <v>0.14472455648926238</v>
      </c>
      <c r="BA265" s="207">
        <v>0.08354072040502789</v>
      </c>
      <c r="BB265" s="207">
        <v>0</v>
      </c>
      <c r="BC265" s="207">
        <v>14116</v>
      </c>
      <c r="BD265" s="207">
        <v>18001</v>
      </c>
      <c r="BE265" s="207">
        <v>0.7841786567412922</v>
      </c>
      <c r="BF265" s="207">
        <v>0.3752717741501991</v>
      </c>
      <c r="BG265" s="207">
        <v>0</v>
      </c>
      <c r="BH265" s="207">
        <v>3</v>
      </c>
      <c r="BI265" s="207">
        <v>0</v>
      </c>
      <c r="BJ265" s="207">
        <v>-9275.039999999999</v>
      </c>
      <c r="BK265" s="207">
        <v>-158448.59999999998</v>
      </c>
      <c r="BL265" s="207">
        <v>-10820.880000000001</v>
      </c>
      <c r="BM265" s="207">
        <v>-15071.94</v>
      </c>
      <c r="BN265" s="207">
        <v>-772.9200000000001</v>
      </c>
      <c r="BO265" s="207">
        <v>-232623</v>
      </c>
      <c r="BP265" s="207">
        <v>-1466328.8229534056</v>
      </c>
      <c r="BQ265" s="207">
        <v>-3504805.7399999998</v>
      </c>
      <c r="BR265" s="207">
        <v>-666280.6096984223</v>
      </c>
      <c r="BS265" s="207">
        <v>2156396</v>
      </c>
      <c r="BT265" s="207">
        <v>706861</v>
      </c>
      <c r="BU265" s="207">
        <v>1272093.3355424232</v>
      </c>
      <c r="BV265" s="207">
        <v>-2336.5735773642828</v>
      </c>
      <c r="BW265" s="207">
        <v>-229590.6980856142</v>
      </c>
      <c r="BX265" s="207">
        <v>469797.265750496</v>
      </c>
      <c r="BY265" s="207">
        <v>1509083.9554884597</v>
      </c>
      <c r="BZ265" s="207">
        <v>2468625.2045464953</v>
      </c>
      <c r="CA265" s="207">
        <v>720069.4034586762</v>
      </c>
      <c r="CB265" s="207">
        <v>1223552.7957060828</v>
      </c>
      <c r="CC265" s="207">
        <v>3478.14</v>
      </c>
      <c r="CD265" s="207">
        <v>-116473.72768283144</v>
      </c>
      <c r="CE265" s="207">
        <v>1670280.1199999999</v>
      </c>
      <c r="CF265" s="207">
        <v>10952932.611448402</v>
      </c>
      <c r="CG265" s="207">
        <v>3697819.448494997</v>
      </c>
      <c r="CH265" s="207">
        <v>0</v>
      </c>
      <c r="CI265" s="207">
        <v>-9543104.532652443</v>
      </c>
      <c r="CJ265" s="207">
        <v>-3238548</v>
      </c>
      <c r="CK265" s="207">
        <v>0</v>
      </c>
      <c r="CL265" s="207">
        <v>0</v>
      </c>
      <c r="CM265" s="207">
        <v>467520.40188199934</v>
      </c>
      <c r="CN265" s="207">
        <v>25445707.64271144</v>
      </c>
      <c r="CO265" s="207">
        <v>25913228.04459344</v>
      </c>
      <c r="CP265" s="207">
        <v>38588</v>
      </c>
    </row>
    <row r="266" spans="1:94" ht="9.75">
      <c r="A266" s="175">
        <v>859</v>
      </c>
      <c r="B266" s="175" t="s">
        <v>322</v>
      </c>
      <c r="C266" s="207">
        <v>6730</v>
      </c>
      <c r="D266" s="207">
        <v>28102771.49</v>
      </c>
      <c r="E266" s="207">
        <v>6102164.947739387</v>
      </c>
      <c r="F266" s="207">
        <v>972552.143486935</v>
      </c>
      <c r="G266" s="207">
        <v>35177488.58122632</v>
      </c>
      <c r="H266" s="207">
        <v>3524.51</v>
      </c>
      <c r="I266" s="207">
        <v>23719952.3</v>
      </c>
      <c r="J266" s="207">
        <v>11457536.281226318</v>
      </c>
      <c r="K266" s="207">
        <v>59861.19554834152</v>
      </c>
      <c r="L266" s="207">
        <v>1490155.8750790264</v>
      </c>
      <c r="M266" s="207">
        <v>0</v>
      </c>
      <c r="N266" s="207">
        <v>13007553.351853685</v>
      </c>
      <c r="O266" s="207">
        <v>6757086.728340131</v>
      </c>
      <c r="P266" s="207">
        <v>19764640.080193818</v>
      </c>
      <c r="Q266" s="207">
        <v>800</v>
      </c>
      <c r="R266" s="207">
        <v>141</v>
      </c>
      <c r="S266" s="207">
        <v>953</v>
      </c>
      <c r="T266" s="207">
        <v>373</v>
      </c>
      <c r="U266" s="207">
        <v>316</v>
      </c>
      <c r="V266" s="207">
        <v>3324</v>
      </c>
      <c r="W266" s="207">
        <v>468</v>
      </c>
      <c r="X266" s="207">
        <v>257</v>
      </c>
      <c r="Y266" s="207">
        <v>98</v>
      </c>
      <c r="Z266" s="207">
        <v>20</v>
      </c>
      <c r="AA266" s="207">
        <v>1</v>
      </c>
      <c r="AB266" s="207">
        <v>6662</v>
      </c>
      <c r="AC266" s="207">
        <v>47</v>
      </c>
      <c r="AD266" s="207">
        <v>823</v>
      </c>
      <c r="AE266" s="207">
        <v>0.8000132240813029</v>
      </c>
      <c r="AF266" s="207">
        <v>6102164.947739387</v>
      </c>
      <c r="AG266" s="207">
        <v>6932007.622701611</v>
      </c>
      <c r="AH266" s="207">
        <v>1519793.5014677276</v>
      </c>
      <c r="AI266" s="207">
        <v>839863.0998693745</v>
      </c>
      <c r="AJ266" s="207">
        <v>299</v>
      </c>
      <c r="AK266" s="207">
        <v>2842</v>
      </c>
      <c r="AL266" s="207">
        <v>0.9092250260520097</v>
      </c>
      <c r="AM266" s="207">
        <v>47</v>
      </c>
      <c r="AN266" s="207">
        <v>0.006983655274888559</v>
      </c>
      <c r="AO266" s="207">
        <v>0.002042943812437966</v>
      </c>
      <c r="AP266" s="207">
        <v>0</v>
      </c>
      <c r="AQ266" s="207">
        <v>20</v>
      </c>
      <c r="AR266" s="207">
        <v>1</v>
      </c>
      <c r="AS266" s="207">
        <v>0</v>
      </c>
      <c r="AT266" s="207">
        <v>0</v>
      </c>
      <c r="AU266" s="207">
        <v>491.8</v>
      </c>
      <c r="AV266" s="207">
        <v>13.684424562830419</v>
      </c>
      <c r="AW266" s="207">
        <v>1.3252900651562272</v>
      </c>
      <c r="AX266" s="207">
        <v>175</v>
      </c>
      <c r="AY266" s="207">
        <v>2034</v>
      </c>
      <c r="AZ266" s="207">
        <v>0.08603736479842675</v>
      </c>
      <c r="BA266" s="207">
        <v>0.024853528714192254</v>
      </c>
      <c r="BB266" s="207">
        <v>0</v>
      </c>
      <c r="BC266" s="207">
        <v>1369</v>
      </c>
      <c r="BD266" s="207">
        <v>2498</v>
      </c>
      <c r="BE266" s="207">
        <v>0.5480384307445957</v>
      </c>
      <c r="BF266" s="207">
        <v>0.1391315481535026</v>
      </c>
      <c r="BG266" s="207">
        <v>0</v>
      </c>
      <c r="BH266" s="207">
        <v>1</v>
      </c>
      <c r="BI266" s="207">
        <v>0</v>
      </c>
      <c r="BJ266" s="207">
        <v>-1615.2</v>
      </c>
      <c r="BK266" s="207">
        <v>-27592.999999999996</v>
      </c>
      <c r="BL266" s="207">
        <v>-1884.4</v>
      </c>
      <c r="BM266" s="207">
        <v>-2624.7000000000003</v>
      </c>
      <c r="BN266" s="207">
        <v>-134.6</v>
      </c>
      <c r="BO266" s="207">
        <v>-10589</v>
      </c>
      <c r="BP266" s="207">
        <v>-66025.52989465024</v>
      </c>
      <c r="BQ266" s="207">
        <v>-610343.7</v>
      </c>
      <c r="BR266" s="207">
        <v>-6601.024326741695</v>
      </c>
      <c r="BS266" s="207">
        <v>489868</v>
      </c>
      <c r="BT266" s="207">
        <v>141649</v>
      </c>
      <c r="BU266" s="207">
        <v>325883.5747392184</v>
      </c>
      <c r="BV266" s="207">
        <v>7037.667965960214</v>
      </c>
      <c r="BW266" s="207">
        <v>-6387.871083132727</v>
      </c>
      <c r="BX266" s="207">
        <v>174419.49186866794</v>
      </c>
      <c r="BY266" s="207">
        <v>324994.10975018487</v>
      </c>
      <c r="BZ266" s="207">
        <v>462236.31468592345</v>
      </c>
      <c r="CA266" s="207">
        <v>96271.69736819995</v>
      </c>
      <c r="CB266" s="207">
        <v>248500.20910079058</v>
      </c>
      <c r="CC266" s="207">
        <v>605.6999999999999</v>
      </c>
      <c r="CD266" s="207">
        <v>25509.634904605024</v>
      </c>
      <c r="CE266" s="207">
        <v>290870.6</v>
      </c>
      <c r="CF266" s="207">
        <v>2564268.1049736766</v>
      </c>
      <c r="CG266" s="207">
        <v>1490155.8750790264</v>
      </c>
      <c r="CH266" s="207">
        <v>0</v>
      </c>
      <c r="CI266" s="207">
        <v>6757086.728340131</v>
      </c>
      <c r="CJ266" s="207">
        <v>-963191</v>
      </c>
      <c r="CK266" s="207">
        <v>0</v>
      </c>
      <c r="CL266" s="207">
        <v>0</v>
      </c>
      <c r="CM266" s="207">
        <v>-63955.64730000001</v>
      </c>
      <c r="CN266" s="207">
        <v>18801449.080193818</v>
      </c>
      <c r="CO266" s="207">
        <v>18737493.432893816</v>
      </c>
      <c r="CP266" s="207">
        <v>6750</v>
      </c>
    </row>
    <row r="267" spans="1:94" ht="9.75">
      <c r="A267" s="175">
        <v>886</v>
      </c>
      <c r="B267" s="175" t="s">
        <v>323</v>
      </c>
      <c r="C267" s="207">
        <v>13237</v>
      </c>
      <c r="D267" s="207">
        <v>46264472.17</v>
      </c>
      <c r="E267" s="207">
        <v>13204242.930044133</v>
      </c>
      <c r="F267" s="207">
        <v>1874687.7542894862</v>
      </c>
      <c r="G267" s="207">
        <v>61343402.85433362</v>
      </c>
      <c r="H267" s="207">
        <v>3524.51</v>
      </c>
      <c r="I267" s="207">
        <v>46653938.870000005</v>
      </c>
      <c r="J267" s="207">
        <v>14689463.984333612</v>
      </c>
      <c r="K267" s="207">
        <v>239009.5761021328</v>
      </c>
      <c r="L267" s="207">
        <v>3050694.089055941</v>
      </c>
      <c r="M267" s="207">
        <v>0</v>
      </c>
      <c r="N267" s="207">
        <v>17979167.649491686</v>
      </c>
      <c r="O267" s="207">
        <v>4489123.711572398</v>
      </c>
      <c r="P267" s="207">
        <v>22468291.361064084</v>
      </c>
      <c r="Q267" s="207">
        <v>864</v>
      </c>
      <c r="R267" s="207">
        <v>152</v>
      </c>
      <c r="S267" s="207">
        <v>981</v>
      </c>
      <c r="T267" s="207">
        <v>482</v>
      </c>
      <c r="U267" s="207">
        <v>482</v>
      </c>
      <c r="V267" s="207">
        <v>6981</v>
      </c>
      <c r="W267" s="207">
        <v>1907</v>
      </c>
      <c r="X267" s="207">
        <v>1052</v>
      </c>
      <c r="Y267" s="207">
        <v>336</v>
      </c>
      <c r="Z267" s="207">
        <v>35</v>
      </c>
      <c r="AA267" s="207">
        <v>1</v>
      </c>
      <c r="AB267" s="207">
        <v>12993</v>
      </c>
      <c r="AC267" s="207">
        <v>208</v>
      </c>
      <c r="AD267" s="207">
        <v>3295</v>
      </c>
      <c r="AE267" s="207">
        <v>0.88014094279648</v>
      </c>
      <c r="AF267" s="207">
        <v>13204242.930044133</v>
      </c>
      <c r="AG267" s="207">
        <v>43518193.85030899</v>
      </c>
      <c r="AH267" s="207">
        <v>8800167.030663477</v>
      </c>
      <c r="AI267" s="207">
        <v>4824745.4673347045</v>
      </c>
      <c r="AJ267" s="207">
        <v>698</v>
      </c>
      <c r="AK267" s="207">
        <v>6121</v>
      </c>
      <c r="AL267" s="207">
        <v>0.9855015448105287</v>
      </c>
      <c r="AM267" s="207">
        <v>208</v>
      </c>
      <c r="AN267" s="207">
        <v>0.015713530256100325</v>
      </c>
      <c r="AO267" s="207">
        <v>0.010772818793649733</v>
      </c>
      <c r="AP267" s="207">
        <v>0</v>
      </c>
      <c r="AQ267" s="207">
        <v>35</v>
      </c>
      <c r="AR267" s="207">
        <v>1</v>
      </c>
      <c r="AS267" s="207">
        <v>0</v>
      </c>
      <c r="AT267" s="207">
        <v>0</v>
      </c>
      <c r="AU267" s="207">
        <v>400.65</v>
      </c>
      <c r="AV267" s="207">
        <v>33.03881193061276</v>
      </c>
      <c r="AW267" s="207">
        <v>0.5489250630012785</v>
      </c>
      <c r="AX267" s="207">
        <v>377</v>
      </c>
      <c r="AY267" s="207">
        <v>3965</v>
      </c>
      <c r="AZ267" s="207">
        <v>0.09508196721311475</v>
      </c>
      <c r="BA267" s="207">
        <v>0.03389813112888026</v>
      </c>
      <c r="BB267" s="207">
        <v>0</v>
      </c>
      <c r="BC267" s="207">
        <v>3530</v>
      </c>
      <c r="BD267" s="207">
        <v>5106</v>
      </c>
      <c r="BE267" s="207">
        <v>0.691343517430474</v>
      </c>
      <c r="BF267" s="207">
        <v>0.28243663483938086</v>
      </c>
      <c r="BG267" s="207">
        <v>0</v>
      </c>
      <c r="BH267" s="207">
        <v>1</v>
      </c>
      <c r="BI267" s="207">
        <v>0</v>
      </c>
      <c r="BJ267" s="207">
        <v>-3176.88</v>
      </c>
      <c r="BK267" s="207">
        <v>-54271.7</v>
      </c>
      <c r="BL267" s="207">
        <v>-3706.36</v>
      </c>
      <c r="BM267" s="207">
        <v>-5162.43</v>
      </c>
      <c r="BN267" s="207">
        <v>-264.74</v>
      </c>
      <c r="BO267" s="207">
        <v>74126</v>
      </c>
      <c r="BP267" s="207">
        <v>-319072.19912871777</v>
      </c>
      <c r="BQ267" s="207">
        <v>-1200463.53</v>
      </c>
      <c r="BR267" s="207">
        <v>-4173.156892091036</v>
      </c>
      <c r="BS267" s="207">
        <v>922593</v>
      </c>
      <c r="BT267" s="207">
        <v>300996</v>
      </c>
      <c r="BU267" s="207">
        <v>649118.2912190023</v>
      </c>
      <c r="BV267" s="207">
        <v>22538.759750654543</v>
      </c>
      <c r="BW267" s="207">
        <v>21797.099511807362</v>
      </c>
      <c r="BX267" s="207">
        <v>348972.57152508094</v>
      </c>
      <c r="BY267" s="207">
        <v>597647.8459807622</v>
      </c>
      <c r="BZ267" s="207">
        <v>1026851.5923281434</v>
      </c>
      <c r="CA267" s="207">
        <v>254610.187741525</v>
      </c>
      <c r="CB267" s="207">
        <v>505369.26222574525</v>
      </c>
      <c r="CC267" s="207">
        <v>1191.33</v>
      </c>
      <c r="CD267" s="207">
        <v>58794.594794029035</v>
      </c>
      <c r="CE267" s="207">
        <v>572103.14</v>
      </c>
      <c r="CF267" s="207">
        <v>5352536.518184659</v>
      </c>
      <c r="CG267" s="207">
        <v>3050694.089055941</v>
      </c>
      <c r="CH267" s="207">
        <v>0</v>
      </c>
      <c r="CI267" s="207">
        <v>4489123.711572398</v>
      </c>
      <c r="CJ267" s="207">
        <v>-817965</v>
      </c>
      <c r="CK267" s="207">
        <v>0</v>
      </c>
      <c r="CL267" s="207">
        <v>0</v>
      </c>
      <c r="CM267" s="207">
        <v>142000.01748199994</v>
      </c>
      <c r="CN267" s="207">
        <v>21650326.361064084</v>
      </c>
      <c r="CO267" s="207">
        <v>21792326.378546085</v>
      </c>
      <c r="CP267" s="207">
        <v>13312</v>
      </c>
    </row>
    <row r="268" spans="1:94" ht="9.75">
      <c r="A268" s="175">
        <v>887</v>
      </c>
      <c r="B268" s="175" t="s">
        <v>324</v>
      </c>
      <c r="C268" s="207">
        <v>4829</v>
      </c>
      <c r="D268" s="207">
        <v>17313737.31</v>
      </c>
      <c r="E268" s="207">
        <v>6468506.0064066285</v>
      </c>
      <c r="F268" s="207">
        <v>1247312.8225721894</v>
      </c>
      <c r="G268" s="207">
        <v>25029556.138978817</v>
      </c>
      <c r="H268" s="207">
        <v>3524.51</v>
      </c>
      <c r="I268" s="207">
        <v>17019858.790000003</v>
      </c>
      <c r="J268" s="207">
        <v>8009697.348978814</v>
      </c>
      <c r="K268" s="207">
        <v>140115.2360821988</v>
      </c>
      <c r="L268" s="207">
        <v>1810370.4962828015</v>
      </c>
      <c r="M268" s="207">
        <v>0</v>
      </c>
      <c r="N268" s="207">
        <v>9960183.081343815</v>
      </c>
      <c r="O268" s="207">
        <v>4004926.6606414258</v>
      </c>
      <c r="P268" s="207">
        <v>13965109.741985241</v>
      </c>
      <c r="Q268" s="207">
        <v>232</v>
      </c>
      <c r="R268" s="207">
        <v>35</v>
      </c>
      <c r="S268" s="207">
        <v>294</v>
      </c>
      <c r="T268" s="207">
        <v>125</v>
      </c>
      <c r="U268" s="207">
        <v>160</v>
      </c>
      <c r="V268" s="207">
        <v>2478</v>
      </c>
      <c r="W268" s="207">
        <v>811</v>
      </c>
      <c r="X268" s="207">
        <v>476</v>
      </c>
      <c r="Y268" s="207">
        <v>218</v>
      </c>
      <c r="Z268" s="207">
        <v>13</v>
      </c>
      <c r="AA268" s="207">
        <v>0</v>
      </c>
      <c r="AB268" s="207">
        <v>4691</v>
      </c>
      <c r="AC268" s="207">
        <v>125</v>
      </c>
      <c r="AD268" s="207">
        <v>1505</v>
      </c>
      <c r="AE268" s="207">
        <v>1.1818845829698184</v>
      </c>
      <c r="AF268" s="207">
        <v>6468506.0064066285</v>
      </c>
      <c r="AG268" s="207">
        <v>7947839.439545159</v>
      </c>
      <c r="AH268" s="207">
        <v>1474092.1182311492</v>
      </c>
      <c r="AI268" s="207">
        <v>777320.1030705913</v>
      </c>
      <c r="AJ268" s="207">
        <v>271</v>
      </c>
      <c r="AK268" s="207">
        <v>2055</v>
      </c>
      <c r="AL268" s="207">
        <v>1.139676861256563</v>
      </c>
      <c r="AM268" s="207">
        <v>125</v>
      </c>
      <c r="AN268" s="207">
        <v>0.025885276454752536</v>
      </c>
      <c r="AO268" s="207">
        <v>0.020944564992301944</v>
      </c>
      <c r="AP268" s="207">
        <v>0</v>
      </c>
      <c r="AQ268" s="207">
        <v>13</v>
      </c>
      <c r="AR268" s="207">
        <v>0</v>
      </c>
      <c r="AS268" s="207">
        <v>0</v>
      </c>
      <c r="AT268" s="207">
        <v>0</v>
      </c>
      <c r="AU268" s="207">
        <v>475.24</v>
      </c>
      <c r="AV268" s="207">
        <v>10.161181718710546</v>
      </c>
      <c r="AW268" s="207">
        <v>1.7848152333605187</v>
      </c>
      <c r="AX268" s="207">
        <v>260</v>
      </c>
      <c r="AY268" s="207">
        <v>1382</v>
      </c>
      <c r="AZ268" s="207">
        <v>0.18813314037626627</v>
      </c>
      <c r="BA268" s="207">
        <v>0.12694930429203177</v>
      </c>
      <c r="BB268" s="207">
        <v>0</v>
      </c>
      <c r="BC268" s="207">
        <v>1446</v>
      </c>
      <c r="BD268" s="207">
        <v>1676</v>
      </c>
      <c r="BE268" s="207">
        <v>0.8627684964200477</v>
      </c>
      <c r="BF268" s="207">
        <v>0.4538616138289546</v>
      </c>
      <c r="BG268" s="207">
        <v>0</v>
      </c>
      <c r="BH268" s="207">
        <v>0</v>
      </c>
      <c r="BI268" s="207">
        <v>0</v>
      </c>
      <c r="BJ268" s="207">
        <v>-1158.96</v>
      </c>
      <c r="BK268" s="207">
        <v>-19798.899999999998</v>
      </c>
      <c r="BL268" s="207">
        <v>-1352.1200000000001</v>
      </c>
      <c r="BM268" s="207">
        <v>-1883.3100000000002</v>
      </c>
      <c r="BN268" s="207">
        <v>-96.58</v>
      </c>
      <c r="BO268" s="207">
        <v>52063</v>
      </c>
      <c r="BP268" s="207">
        <v>-279707.5980452847</v>
      </c>
      <c r="BQ268" s="207">
        <v>-437942.01</v>
      </c>
      <c r="BR268" s="207">
        <v>15813.88045085594</v>
      </c>
      <c r="BS268" s="207">
        <v>549175</v>
      </c>
      <c r="BT268" s="207">
        <v>163385</v>
      </c>
      <c r="BU268" s="207">
        <v>401924.0422769373</v>
      </c>
      <c r="BV268" s="207">
        <v>19645.457703307464</v>
      </c>
      <c r="BW268" s="207">
        <v>75344.32793068762</v>
      </c>
      <c r="BX268" s="207">
        <v>180286.47575446786</v>
      </c>
      <c r="BY268" s="207">
        <v>280776.1027136017</v>
      </c>
      <c r="BZ268" s="207">
        <v>474953.86153675884</v>
      </c>
      <c r="CA268" s="207">
        <v>133064.05355624924</v>
      </c>
      <c r="CB268" s="207">
        <v>233376.78067092708</v>
      </c>
      <c r="CC268" s="207">
        <v>434.60999999999996</v>
      </c>
      <c r="CD268" s="207">
        <v>24462.031734294018</v>
      </c>
      <c r="CE268" s="207">
        <v>208709.38</v>
      </c>
      <c r="CF268" s="207">
        <v>2813414.004328086</v>
      </c>
      <c r="CG268" s="207">
        <v>1810370.4962828015</v>
      </c>
      <c r="CH268" s="207">
        <v>0</v>
      </c>
      <c r="CI268" s="207">
        <v>4004926.6606414258</v>
      </c>
      <c r="CJ268" s="207">
        <v>-371352</v>
      </c>
      <c r="CK268" s="207">
        <v>0</v>
      </c>
      <c r="CL268" s="207">
        <v>0</v>
      </c>
      <c r="CM268" s="207">
        <v>348449.37498000014</v>
      </c>
      <c r="CN268" s="207">
        <v>13593757.741985241</v>
      </c>
      <c r="CO268" s="207">
        <v>13942207.116965242</v>
      </c>
      <c r="CP268" s="207">
        <v>4858</v>
      </c>
    </row>
    <row r="269" spans="1:94" ht="9.75">
      <c r="A269" s="175">
        <v>889</v>
      </c>
      <c r="B269" s="175" t="s">
        <v>325</v>
      </c>
      <c r="C269" s="207">
        <v>2768</v>
      </c>
      <c r="D269" s="207">
        <v>10561116.81</v>
      </c>
      <c r="E269" s="207">
        <v>4907197.278187186</v>
      </c>
      <c r="F269" s="207">
        <v>1612077.5283192003</v>
      </c>
      <c r="G269" s="207">
        <v>17080391.616506387</v>
      </c>
      <c r="H269" s="207">
        <v>3524.51</v>
      </c>
      <c r="I269" s="207">
        <v>9755843.68</v>
      </c>
      <c r="J269" s="207">
        <v>7324547.936506387</v>
      </c>
      <c r="K269" s="207">
        <v>399019.3338025708</v>
      </c>
      <c r="L269" s="207">
        <v>981636.4230710398</v>
      </c>
      <c r="M269" s="207">
        <v>0</v>
      </c>
      <c r="N269" s="207">
        <v>8705203.693379998</v>
      </c>
      <c r="O269" s="207">
        <v>2551206.6778559</v>
      </c>
      <c r="P269" s="207">
        <v>11256410.371235898</v>
      </c>
      <c r="Q269" s="207">
        <v>142</v>
      </c>
      <c r="R269" s="207">
        <v>30</v>
      </c>
      <c r="S269" s="207">
        <v>195</v>
      </c>
      <c r="T269" s="207">
        <v>124</v>
      </c>
      <c r="U269" s="207">
        <v>92</v>
      </c>
      <c r="V269" s="207">
        <v>1399</v>
      </c>
      <c r="W269" s="207">
        <v>426</v>
      </c>
      <c r="X269" s="207">
        <v>240</v>
      </c>
      <c r="Y269" s="207">
        <v>120</v>
      </c>
      <c r="Z269" s="207">
        <v>0</v>
      </c>
      <c r="AA269" s="207">
        <v>0</v>
      </c>
      <c r="AB269" s="207">
        <v>2713</v>
      </c>
      <c r="AC269" s="207">
        <v>55</v>
      </c>
      <c r="AD269" s="207">
        <v>786</v>
      </c>
      <c r="AE269" s="207">
        <v>1.5642123813302973</v>
      </c>
      <c r="AF269" s="207">
        <v>4907197.278187186</v>
      </c>
      <c r="AG269" s="207">
        <v>17396211.197307527</v>
      </c>
      <c r="AH269" s="207">
        <v>3349280.6270187227</v>
      </c>
      <c r="AI269" s="207">
        <v>1903094.0454486893</v>
      </c>
      <c r="AJ269" s="207">
        <v>152</v>
      </c>
      <c r="AK269" s="207">
        <v>1148</v>
      </c>
      <c r="AL269" s="207">
        <v>1.1442632924325316</v>
      </c>
      <c r="AM269" s="207">
        <v>55</v>
      </c>
      <c r="AN269" s="207">
        <v>0.019869942196531792</v>
      </c>
      <c r="AO269" s="207">
        <v>0.0149292307340812</v>
      </c>
      <c r="AP269" s="207">
        <v>0</v>
      </c>
      <c r="AQ269" s="207">
        <v>0</v>
      </c>
      <c r="AR269" s="207">
        <v>0</v>
      </c>
      <c r="AS269" s="207">
        <v>0</v>
      </c>
      <c r="AT269" s="207">
        <v>0</v>
      </c>
      <c r="AU269" s="207">
        <v>1671.09</v>
      </c>
      <c r="AV269" s="207">
        <v>1.6564039040386813</v>
      </c>
      <c r="AW269" s="207">
        <v>10.948918845385359</v>
      </c>
      <c r="AX269" s="207">
        <v>101</v>
      </c>
      <c r="AY269" s="207">
        <v>691</v>
      </c>
      <c r="AZ269" s="207">
        <v>0.14616497829232997</v>
      </c>
      <c r="BA269" s="207">
        <v>0.08498114220809547</v>
      </c>
      <c r="BB269" s="207">
        <v>0.511199</v>
      </c>
      <c r="BC269" s="207">
        <v>906</v>
      </c>
      <c r="BD269" s="207">
        <v>925</v>
      </c>
      <c r="BE269" s="207">
        <v>0.9794594594594594</v>
      </c>
      <c r="BF269" s="207">
        <v>0.5705525768683664</v>
      </c>
      <c r="BG269" s="207">
        <v>0</v>
      </c>
      <c r="BH269" s="207">
        <v>0</v>
      </c>
      <c r="BI269" s="207">
        <v>0</v>
      </c>
      <c r="BJ269" s="207">
        <v>-664.3199999999999</v>
      </c>
      <c r="BK269" s="207">
        <v>-11348.8</v>
      </c>
      <c r="BL269" s="207">
        <v>-775.0400000000001</v>
      </c>
      <c r="BM269" s="207">
        <v>-1079.52</v>
      </c>
      <c r="BN269" s="207">
        <v>-55.36</v>
      </c>
      <c r="BO269" s="207">
        <v>-7310</v>
      </c>
      <c r="BP269" s="207">
        <v>-23191.810791574433</v>
      </c>
      <c r="BQ269" s="207">
        <v>-251029.91999999998</v>
      </c>
      <c r="BR269" s="207">
        <v>-2570.9969102814794</v>
      </c>
      <c r="BS269" s="207">
        <v>304094</v>
      </c>
      <c r="BT269" s="207">
        <v>86201</v>
      </c>
      <c r="BU269" s="207">
        <v>209049.50168991182</v>
      </c>
      <c r="BV269" s="207">
        <v>11733.723567627167</v>
      </c>
      <c r="BW269" s="207">
        <v>30010.95659348567</v>
      </c>
      <c r="BX269" s="207">
        <v>107001.43628257842</v>
      </c>
      <c r="BY269" s="207">
        <v>164155.83698869185</v>
      </c>
      <c r="BZ269" s="207">
        <v>240348.33304669717</v>
      </c>
      <c r="CA269" s="207">
        <v>59483.150294640654</v>
      </c>
      <c r="CB269" s="207">
        <v>130808.43734629493</v>
      </c>
      <c r="CC269" s="207">
        <v>249.12</v>
      </c>
      <c r="CD269" s="207">
        <v>-33440.505037031864</v>
      </c>
      <c r="CE269" s="207">
        <v>119632.95999999999</v>
      </c>
      <c r="CF269" s="207">
        <v>1419446.9538626142</v>
      </c>
      <c r="CG269" s="207">
        <v>981636.4230710398</v>
      </c>
      <c r="CH269" s="207">
        <v>0</v>
      </c>
      <c r="CI269" s="207">
        <v>2551206.6778559</v>
      </c>
      <c r="CJ269" s="207">
        <v>298942</v>
      </c>
      <c r="CK269" s="207">
        <v>0</v>
      </c>
      <c r="CL269" s="207">
        <v>0</v>
      </c>
      <c r="CM269" s="207">
        <v>96428.48369999998</v>
      </c>
      <c r="CN269" s="207">
        <v>11555352.371235898</v>
      </c>
      <c r="CO269" s="207">
        <v>11651780.854935898</v>
      </c>
      <c r="CP269" s="207">
        <v>2824</v>
      </c>
    </row>
    <row r="270" spans="1:94" ht="9.75">
      <c r="A270" s="175">
        <v>890</v>
      </c>
      <c r="B270" s="175" t="s">
        <v>326</v>
      </c>
      <c r="C270" s="207">
        <v>1242</v>
      </c>
      <c r="D270" s="207">
        <v>4302774.79</v>
      </c>
      <c r="E270" s="207">
        <v>1393921.2574799454</v>
      </c>
      <c r="F270" s="207">
        <v>1191557.223443838</v>
      </c>
      <c r="G270" s="207">
        <v>6888253.270923783</v>
      </c>
      <c r="H270" s="207">
        <v>3524.51</v>
      </c>
      <c r="I270" s="207">
        <v>4377441.42</v>
      </c>
      <c r="J270" s="207">
        <v>2510811.850923783</v>
      </c>
      <c r="K270" s="207">
        <v>3029758.4700069595</v>
      </c>
      <c r="L270" s="207">
        <v>800961.3543910645</v>
      </c>
      <c r="M270" s="207">
        <v>0</v>
      </c>
      <c r="N270" s="207">
        <v>6341531.675321807</v>
      </c>
      <c r="O270" s="207">
        <v>690772.292161174</v>
      </c>
      <c r="P270" s="207">
        <v>7032303.967482981</v>
      </c>
      <c r="Q270" s="207">
        <v>60</v>
      </c>
      <c r="R270" s="207">
        <v>10</v>
      </c>
      <c r="S270" s="207">
        <v>93</v>
      </c>
      <c r="T270" s="207">
        <v>37</v>
      </c>
      <c r="U270" s="207">
        <v>34</v>
      </c>
      <c r="V270" s="207">
        <v>656</v>
      </c>
      <c r="W270" s="207">
        <v>197</v>
      </c>
      <c r="X270" s="207">
        <v>113</v>
      </c>
      <c r="Y270" s="207">
        <v>42</v>
      </c>
      <c r="Z270" s="207">
        <v>2</v>
      </c>
      <c r="AA270" s="207">
        <v>545</v>
      </c>
      <c r="AB270" s="207">
        <v>651</v>
      </c>
      <c r="AC270" s="207">
        <v>44</v>
      </c>
      <c r="AD270" s="207">
        <v>352</v>
      </c>
      <c r="AE270" s="207">
        <v>0.9902501857676086</v>
      </c>
      <c r="AF270" s="207">
        <v>1393921.2574799454</v>
      </c>
      <c r="AG270" s="207">
        <v>7988225.6126074</v>
      </c>
      <c r="AH270" s="207">
        <v>2127648.9865483167</v>
      </c>
      <c r="AI270" s="207">
        <v>661168.8233014224</v>
      </c>
      <c r="AJ270" s="207">
        <v>56</v>
      </c>
      <c r="AK270" s="207">
        <v>574</v>
      </c>
      <c r="AL270" s="207">
        <v>0.8431413733713391</v>
      </c>
      <c r="AM270" s="207">
        <v>44</v>
      </c>
      <c r="AN270" s="207">
        <v>0.03542673107890499</v>
      </c>
      <c r="AO270" s="207">
        <v>0.030486019616454398</v>
      </c>
      <c r="AP270" s="207">
        <v>0</v>
      </c>
      <c r="AQ270" s="207">
        <v>2</v>
      </c>
      <c r="AR270" s="207">
        <v>545</v>
      </c>
      <c r="AS270" s="207">
        <v>0</v>
      </c>
      <c r="AT270" s="207">
        <v>0</v>
      </c>
      <c r="AU270" s="207">
        <v>5145.98</v>
      </c>
      <c r="AV270" s="207">
        <v>0.24135344482489246</v>
      </c>
      <c r="AW270" s="207">
        <v>75.14221283917024</v>
      </c>
      <c r="AX270" s="207">
        <v>77</v>
      </c>
      <c r="AY270" s="207">
        <v>359</v>
      </c>
      <c r="AZ270" s="207">
        <v>0.21448467966573817</v>
      </c>
      <c r="BA270" s="207">
        <v>0.15330084358150367</v>
      </c>
      <c r="BB270" s="207">
        <v>1.94675</v>
      </c>
      <c r="BC270" s="207">
        <v>481</v>
      </c>
      <c r="BD270" s="207">
        <v>501</v>
      </c>
      <c r="BE270" s="207">
        <v>0.9600798403193613</v>
      </c>
      <c r="BF270" s="207">
        <v>0.5511729577282682</v>
      </c>
      <c r="BG270" s="207">
        <v>1</v>
      </c>
      <c r="BH270" s="207">
        <v>545</v>
      </c>
      <c r="BI270" s="207">
        <v>0</v>
      </c>
      <c r="BJ270" s="207">
        <v>-298.08</v>
      </c>
      <c r="BK270" s="207">
        <v>-5092.2</v>
      </c>
      <c r="BL270" s="207">
        <v>-347.76000000000005</v>
      </c>
      <c r="BM270" s="207">
        <v>-484.38</v>
      </c>
      <c r="BN270" s="207">
        <v>-24.84</v>
      </c>
      <c r="BO270" s="207">
        <v>32233</v>
      </c>
      <c r="BP270" s="207">
        <v>13821.662104212786</v>
      </c>
      <c r="BQ270" s="207">
        <v>-112636.98</v>
      </c>
      <c r="BR270" s="207">
        <v>295977.30180672323</v>
      </c>
      <c r="BS270" s="207">
        <v>114134</v>
      </c>
      <c r="BT270" s="207">
        <v>37115</v>
      </c>
      <c r="BU270" s="207">
        <v>107131.66346656052</v>
      </c>
      <c r="BV270" s="207">
        <v>5615.056836758378</v>
      </c>
      <c r="BW270" s="207">
        <v>13408.48778940565</v>
      </c>
      <c r="BX270" s="207">
        <v>38983.78110031201</v>
      </c>
      <c r="BY270" s="207">
        <v>70506.5568337633</v>
      </c>
      <c r="BZ270" s="207">
        <v>98486.0367708824</v>
      </c>
      <c r="CA270" s="207">
        <v>37722.66417145874</v>
      </c>
      <c r="CB270" s="207">
        <v>57139.295304500825</v>
      </c>
      <c r="CC270" s="207">
        <v>111.78</v>
      </c>
      <c r="CD270" s="207">
        <v>10935.00820648672</v>
      </c>
      <c r="CE270" s="207">
        <v>53679.24</v>
      </c>
      <c r="CF270" s="207">
        <v>973178.8722868518</v>
      </c>
      <c r="CG270" s="207">
        <v>800961.3543910645</v>
      </c>
      <c r="CH270" s="207">
        <v>0</v>
      </c>
      <c r="CI270" s="207">
        <v>690772.292161174</v>
      </c>
      <c r="CJ270" s="207">
        <v>244082</v>
      </c>
      <c r="CK270" s="207">
        <v>0</v>
      </c>
      <c r="CL270" s="207">
        <v>0</v>
      </c>
      <c r="CM270" s="207">
        <v>2640.0679999999993</v>
      </c>
      <c r="CN270" s="207">
        <v>7276385.967482981</v>
      </c>
      <c r="CO270" s="207">
        <v>7279026.035482981</v>
      </c>
      <c r="CP270" s="207">
        <v>1241</v>
      </c>
    </row>
    <row r="271" spans="1:94" ht="9.75">
      <c r="A271" s="175">
        <v>892</v>
      </c>
      <c r="B271" s="175" t="s">
        <v>327</v>
      </c>
      <c r="C271" s="207">
        <v>3747</v>
      </c>
      <c r="D271" s="207">
        <v>14301380.27</v>
      </c>
      <c r="E271" s="207">
        <v>3664149.6852529873</v>
      </c>
      <c r="F271" s="207">
        <v>655461.144745289</v>
      </c>
      <c r="G271" s="207">
        <v>18620991.099998277</v>
      </c>
      <c r="H271" s="207">
        <v>3524.51</v>
      </c>
      <c r="I271" s="207">
        <v>13206338.97</v>
      </c>
      <c r="J271" s="207">
        <v>5414652.129998276</v>
      </c>
      <c r="K271" s="207">
        <v>45707.04593257765</v>
      </c>
      <c r="L271" s="207">
        <v>1073968.5375969778</v>
      </c>
      <c r="M271" s="207">
        <v>0</v>
      </c>
      <c r="N271" s="207">
        <v>6534327.713527832</v>
      </c>
      <c r="O271" s="207">
        <v>3279967.056171167</v>
      </c>
      <c r="P271" s="207">
        <v>9814294.769699</v>
      </c>
      <c r="Q271" s="207">
        <v>368</v>
      </c>
      <c r="R271" s="207">
        <v>82</v>
      </c>
      <c r="S271" s="207">
        <v>410</v>
      </c>
      <c r="T271" s="207">
        <v>153</v>
      </c>
      <c r="U271" s="207">
        <v>140</v>
      </c>
      <c r="V271" s="207">
        <v>1899</v>
      </c>
      <c r="W271" s="207">
        <v>429</v>
      </c>
      <c r="X271" s="207">
        <v>196</v>
      </c>
      <c r="Y271" s="207">
        <v>70</v>
      </c>
      <c r="Z271" s="207">
        <v>5</v>
      </c>
      <c r="AA271" s="207">
        <v>0</v>
      </c>
      <c r="AB271" s="207">
        <v>3697</v>
      </c>
      <c r="AC271" s="207">
        <v>45</v>
      </c>
      <c r="AD271" s="207">
        <v>695</v>
      </c>
      <c r="AE271" s="207">
        <v>0.8628152270213694</v>
      </c>
      <c r="AF271" s="207">
        <v>3664149.6852529873</v>
      </c>
      <c r="AG271" s="207">
        <v>6489619.608565861</v>
      </c>
      <c r="AH271" s="207">
        <v>1621799.2984293038</v>
      </c>
      <c r="AI271" s="207">
        <v>750515.9615853985</v>
      </c>
      <c r="AJ271" s="207">
        <v>171</v>
      </c>
      <c r="AK271" s="207">
        <v>1599</v>
      </c>
      <c r="AL271" s="207">
        <v>0.9242126592724293</v>
      </c>
      <c r="AM271" s="207">
        <v>45</v>
      </c>
      <c r="AN271" s="207">
        <v>0.01200960768614892</v>
      </c>
      <c r="AO271" s="207">
        <v>0.007068896223698326</v>
      </c>
      <c r="AP271" s="207">
        <v>0</v>
      </c>
      <c r="AQ271" s="207">
        <v>5</v>
      </c>
      <c r="AR271" s="207">
        <v>0</v>
      </c>
      <c r="AS271" s="207">
        <v>0</v>
      </c>
      <c r="AT271" s="207">
        <v>0</v>
      </c>
      <c r="AU271" s="207">
        <v>347.99</v>
      </c>
      <c r="AV271" s="207">
        <v>10.767550791689416</v>
      </c>
      <c r="AW271" s="207">
        <v>1.6843042834305972</v>
      </c>
      <c r="AX271" s="207">
        <v>119</v>
      </c>
      <c r="AY271" s="207">
        <v>1181</v>
      </c>
      <c r="AZ271" s="207">
        <v>0.10076206604572396</v>
      </c>
      <c r="BA271" s="207">
        <v>0.03957822996148947</v>
      </c>
      <c r="BB271" s="207">
        <v>0</v>
      </c>
      <c r="BC271" s="207">
        <v>839</v>
      </c>
      <c r="BD271" s="207">
        <v>1399</v>
      </c>
      <c r="BE271" s="207">
        <v>0.5997140814867763</v>
      </c>
      <c r="BF271" s="207">
        <v>0.1908071988956832</v>
      </c>
      <c r="BG271" s="207">
        <v>0</v>
      </c>
      <c r="BH271" s="207">
        <v>0</v>
      </c>
      <c r="BI271" s="207">
        <v>0</v>
      </c>
      <c r="BJ271" s="207">
        <v>-899.28</v>
      </c>
      <c r="BK271" s="207">
        <v>-15362.699999999999</v>
      </c>
      <c r="BL271" s="207">
        <v>-1049.16</v>
      </c>
      <c r="BM271" s="207">
        <v>-1461.3300000000002</v>
      </c>
      <c r="BN271" s="207">
        <v>-74.94</v>
      </c>
      <c r="BO271" s="207">
        <v>67444</v>
      </c>
      <c r="BP271" s="207">
        <v>-78971.57787728147</v>
      </c>
      <c r="BQ271" s="207">
        <v>-339815.43</v>
      </c>
      <c r="BR271" s="207">
        <v>63468.46938453615</v>
      </c>
      <c r="BS271" s="207">
        <v>285316</v>
      </c>
      <c r="BT271" s="207">
        <v>92849</v>
      </c>
      <c r="BU271" s="207">
        <v>221767.09672598483</v>
      </c>
      <c r="BV271" s="207">
        <v>8071.591759540226</v>
      </c>
      <c r="BW271" s="207">
        <v>27328.93024877923</v>
      </c>
      <c r="BX271" s="207">
        <v>100574.92665356949</v>
      </c>
      <c r="BY271" s="207">
        <v>184187.12894500932</v>
      </c>
      <c r="BZ271" s="207">
        <v>273073.42582165677</v>
      </c>
      <c r="CA271" s="207">
        <v>69107.0166599702</v>
      </c>
      <c r="CB271" s="207">
        <v>146158.3446623623</v>
      </c>
      <c r="CC271" s="207">
        <v>337.22999999999996</v>
      </c>
      <c r="CD271" s="207">
        <v>12574.74461285055</v>
      </c>
      <c r="CE271" s="207">
        <v>161945.34</v>
      </c>
      <c r="CF271" s="207">
        <v>1714203.2454742591</v>
      </c>
      <c r="CG271" s="207">
        <v>1073968.5375969778</v>
      </c>
      <c r="CH271" s="207">
        <v>0</v>
      </c>
      <c r="CI271" s="207">
        <v>3279967.056171167</v>
      </c>
      <c r="CJ271" s="207">
        <v>-519373</v>
      </c>
      <c r="CK271" s="207">
        <v>0</v>
      </c>
      <c r="CL271" s="207">
        <v>0</v>
      </c>
      <c r="CM271" s="207">
        <v>73565.49482000002</v>
      </c>
      <c r="CN271" s="207">
        <v>9294921.769699</v>
      </c>
      <c r="CO271" s="207">
        <v>9368487.264519</v>
      </c>
      <c r="CP271" s="207">
        <v>3717</v>
      </c>
    </row>
    <row r="272" spans="1:94" ht="9.75">
      <c r="A272" s="175">
        <v>893</v>
      </c>
      <c r="B272" s="175" t="s">
        <v>328</v>
      </c>
      <c r="C272" s="207">
        <v>7521</v>
      </c>
      <c r="D272" s="207">
        <v>27824979.24</v>
      </c>
      <c r="E272" s="207">
        <v>7268072.856014338</v>
      </c>
      <c r="F272" s="207">
        <v>3737267.1058763526</v>
      </c>
      <c r="G272" s="207">
        <v>38830319.20189069</v>
      </c>
      <c r="H272" s="207">
        <v>3524.51</v>
      </c>
      <c r="I272" s="207">
        <v>26507839.71</v>
      </c>
      <c r="J272" s="207">
        <v>12322479.491890691</v>
      </c>
      <c r="K272" s="207">
        <v>282325.2134685747</v>
      </c>
      <c r="L272" s="207">
        <v>2601907.978223636</v>
      </c>
      <c r="M272" s="207">
        <v>0</v>
      </c>
      <c r="N272" s="207">
        <v>15206712.683582902</v>
      </c>
      <c r="O272" s="207">
        <v>4019209.530019302</v>
      </c>
      <c r="P272" s="207">
        <v>19225922.213602204</v>
      </c>
      <c r="Q272" s="207">
        <v>535</v>
      </c>
      <c r="R272" s="207">
        <v>97</v>
      </c>
      <c r="S272" s="207">
        <v>580</v>
      </c>
      <c r="T272" s="207">
        <v>249</v>
      </c>
      <c r="U272" s="207">
        <v>238</v>
      </c>
      <c r="V272" s="207">
        <v>3985</v>
      </c>
      <c r="W272" s="207">
        <v>979</v>
      </c>
      <c r="X272" s="207">
        <v>578</v>
      </c>
      <c r="Y272" s="207">
        <v>280</v>
      </c>
      <c r="Z272" s="207">
        <v>6518</v>
      </c>
      <c r="AA272" s="207">
        <v>0</v>
      </c>
      <c r="AB272" s="207">
        <v>517</v>
      </c>
      <c r="AC272" s="207">
        <v>486</v>
      </c>
      <c r="AD272" s="207">
        <v>1837</v>
      </c>
      <c r="AE272" s="207">
        <v>0.8526523053201742</v>
      </c>
      <c r="AF272" s="207">
        <v>7268072.856014338</v>
      </c>
      <c r="AG272" s="207">
        <v>1825880.1400245484</v>
      </c>
      <c r="AH272" s="207">
        <v>429229.24882314086</v>
      </c>
      <c r="AI272" s="207">
        <v>178694.276567952</v>
      </c>
      <c r="AJ272" s="207">
        <v>163</v>
      </c>
      <c r="AK272" s="207">
        <v>3569</v>
      </c>
      <c r="AL272" s="207">
        <v>0.39469836076216436</v>
      </c>
      <c r="AM272" s="207">
        <v>486</v>
      </c>
      <c r="AN272" s="207">
        <v>0.06461906661348225</v>
      </c>
      <c r="AO272" s="207">
        <v>0.05967835515103166</v>
      </c>
      <c r="AP272" s="207">
        <v>3</v>
      </c>
      <c r="AQ272" s="207">
        <v>6518</v>
      </c>
      <c r="AR272" s="207">
        <v>0</v>
      </c>
      <c r="AS272" s="207">
        <v>0</v>
      </c>
      <c r="AT272" s="207">
        <v>0</v>
      </c>
      <c r="AU272" s="207">
        <v>732.66</v>
      </c>
      <c r="AV272" s="207">
        <v>10.265334534436164</v>
      </c>
      <c r="AW272" s="207">
        <v>1.7667063708114343</v>
      </c>
      <c r="AX272" s="207">
        <v>373</v>
      </c>
      <c r="AY272" s="207">
        <v>2186</v>
      </c>
      <c r="AZ272" s="207">
        <v>0.1706312900274474</v>
      </c>
      <c r="BA272" s="207">
        <v>0.1094474539432129</v>
      </c>
      <c r="BB272" s="207">
        <v>0</v>
      </c>
      <c r="BC272" s="207">
        <v>3307</v>
      </c>
      <c r="BD272" s="207">
        <v>3320</v>
      </c>
      <c r="BE272" s="207">
        <v>0.9960843373493976</v>
      </c>
      <c r="BF272" s="207">
        <v>0.5871774547583045</v>
      </c>
      <c r="BG272" s="207">
        <v>0</v>
      </c>
      <c r="BH272" s="207">
        <v>0</v>
      </c>
      <c r="BI272" s="207">
        <v>0</v>
      </c>
      <c r="BJ272" s="207">
        <v>-1805.04</v>
      </c>
      <c r="BK272" s="207">
        <v>-30836.1</v>
      </c>
      <c r="BL272" s="207">
        <v>-2105.88</v>
      </c>
      <c r="BM272" s="207">
        <v>-2933.19</v>
      </c>
      <c r="BN272" s="207">
        <v>-150.42000000000002</v>
      </c>
      <c r="BO272" s="207">
        <v>-69710</v>
      </c>
      <c r="BP272" s="207">
        <v>-85292.94071537913</v>
      </c>
      <c r="BQ272" s="207">
        <v>-682079.49</v>
      </c>
      <c r="BR272" s="207">
        <v>113972.07233760692</v>
      </c>
      <c r="BS272" s="207">
        <v>659086</v>
      </c>
      <c r="BT272" s="207">
        <v>245210</v>
      </c>
      <c r="BU272" s="207">
        <v>624224.0978398636</v>
      </c>
      <c r="BV272" s="207">
        <v>31886.17452603681</v>
      </c>
      <c r="BW272" s="207">
        <v>51936.5584288604</v>
      </c>
      <c r="BX272" s="207">
        <v>220299.48727579231</v>
      </c>
      <c r="BY272" s="207">
        <v>462578.72966419393</v>
      </c>
      <c r="BZ272" s="207">
        <v>711571.955157124</v>
      </c>
      <c r="CA272" s="207">
        <v>227956.0897390783</v>
      </c>
      <c r="CB272" s="207">
        <v>371049.7601439036</v>
      </c>
      <c r="CC272" s="207">
        <v>676.89</v>
      </c>
      <c r="CD272" s="207">
        <v>-162023.92617344484</v>
      </c>
      <c r="CE272" s="207">
        <v>325057.62</v>
      </c>
      <c r="CF272" s="207">
        <v>3813771.5089390147</v>
      </c>
      <c r="CG272" s="207">
        <v>2601907.978223636</v>
      </c>
      <c r="CH272" s="207">
        <v>0</v>
      </c>
      <c r="CI272" s="207">
        <v>4019209.530019302</v>
      </c>
      <c r="CJ272" s="207">
        <v>-344753</v>
      </c>
      <c r="CK272" s="207">
        <v>0</v>
      </c>
      <c r="CL272" s="207">
        <v>0</v>
      </c>
      <c r="CM272" s="207">
        <v>-124835.61538</v>
      </c>
      <c r="CN272" s="207">
        <v>18881169.213602204</v>
      </c>
      <c r="CO272" s="207">
        <v>18756333.598222204</v>
      </c>
      <c r="CP272" s="207">
        <v>7516</v>
      </c>
    </row>
    <row r="273" spans="1:94" ht="9.75">
      <c r="A273" s="175">
        <v>895</v>
      </c>
      <c r="B273" s="175" t="s">
        <v>329</v>
      </c>
      <c r="C273" s="207">
        <v>15752</v>
      </c>
      <c r="D273" s="207">
        <v>51154403.32999999</v>
      </c>
      <c r="E273" s="207">
        <v>20839990.42710402</v>
      </c>
      <c r="F273" s="207">
        <v>2775709.4786039153</v>
      </c>
      <c r="G273" s="207">
        <v>74770103.23570792</v>
      </c>
      <c r="H273" s="207">
        <v>3524.51</v>
      </c>
      <c r="I273" s="207">
        <v>55518081.52</v>
      </c>
      <c r="J273" s="207">
        <v>19252021.71570792</v>
      </c>
      <c r="K273" s="207">
        <v>690416.5904302701</v>
      </c>
      <c r="L273" s="207">
        <v>3738414.066872712</v>
      </c>
      <c r="M273" s="207">
        <v>0</v>
      </c>
      <c r="N273" s="207">
        <v>23680852.373010904</v>
      </c>
      <c r="O273" s="207">
        <v>1662379.1711787684</v>
      </c>
      <c r="P273" s="207">
        <v>25343231.544189673</v>
      </c>
      <c r="Q273" s="207">
        <v>820</v>
      </c>
      <c r="R273" s="207">
        <v>154</v>
      </c>
      <c r="S273" s="207">
        <v>897</v>
      </c>
      <c r="T273" s="207">
        <v>426</v>
      </c>
      <c r="U273" s="207">
        <v>430</v>
      </c>
      <c r="V273" s="207">
        <v>8762</v>
      </c>
      <c r="W273" s="207">
        <v>2505</v>
      </c>
      <c r="X273" s="207">
        <v>1289</v>
      </c>
      <c r="Y273" s="207">
        <v>469</v>
      </c>
      <c r="Z273" s="207">
        <v>65</v>
      </c>
      <c r="AA273" s="207">
        <v>1</v>
      </c>
      <c r="AB273" s="207">
        <v>15148</v>
      </c>
      <c r="AC273" s="207">
        <v>538</v>
      </c>
      <c r="AD273" s="207">
        <v>4263</v>
      </c>
      <c r="AE273" s="207">
        <v>1.167320464288329</v>
      </c>
      <c r="AF273" s="207">
        <v>20839990.42710402</v>
      </c>
      <c r="AG273" s="207">
        <v>4504386.788974997</v>
      </c>
      <c r="AH273" s="207">
        <v>1064211.465189794</v>
      </c>
      <c r="AI273" s="207">
        <v>500343.9743902656</v>
      </c>
      <c r="AJ273" s="207">
        <v>498</v>
      </c>
      <c r="AK273" s="207">
        <v>7171</v>
      </c>
      <c r="AL273" s="207">
        <v>0.600169452011435</v>
      </c>
      <c r="AM273" s="207">
        <v>538</v>
      </c>
      <c r="AN273" s="207">
        <v>0.03415439309294058</v>
      </c>
      <c r="AO273" s="207">
        <v>0.029213681630489985</v>
      </c>
      <c r="AP273" s="207">
        <v>0</v>
      </c>
      <c r="AQ273" s="207">
        <v>65</v>
      </c>
      <c r="AR273" s="207">
        <v>1</v>
      </c>
      <c r="AS273" s="207">
        <v>3</v>
      </c>
      <c r="AT273" s="207">
        <v>692</v>
      </c>
      <c r="AU273" s="207">
        <v>502.73</v>
      </c>
      <c r="AV273" s="207">
        <v>31.332922244544783</v>
      </c>
      <c r="AW273" s="207">
        <v>0.5788107403118629</v>
      </c>
      <c r="AX273" s="207">
        <v>657</v>
      </c>
      <c r="AY273" s="207">
        <v>4473</v>
      </c>
      <c r="AZ273" s="207">
        <v>0.14688128772635814</v>
      </c>
      <c r="BA273" s="207">
        <v>0.08569745164212364</v>
      </c>
      <c r="BB273" s="207">
        <v>0</v>
      </c>
      <c r="BC273" s="207">
        <v>6914</v>
      </c>
      <c r="BD273" s="207">
        <v>6317</v>
      </c>
      <c r="BE273" s="207">
        <v>1.0945068861801488</v>
      </c>
      <c r="BF273" s="207">
        <v>0.6856000035890557</v>
      </c>
      <c r="BG273" s="207">
        <v>0</v>
      </c>
      <c r="BH273" s="207">
        <v>1</v>
      </c>
      <c r="BI273" s="207">
        <v>0</v>
      </c>
      <c r="BJ273" s="207">
        <v>-3780.48</v>
      </c>
      <c r="BK273" s="207">
        <v>-64583.2</v>
      </c>
      <c r="BL273" s="207">
        <v>-4410.56</v>
      </c>
      <c r="BM273" s="207">
        <v>-6143.280000000001</v>
      </c>
      <c r="BN273" s="207">
        <v>-315.04</v>
      </c>
      <c r="BO273" s="207">
        <v>166575</v>
      </c>
      <c r="BP273" s="207">
        <v>-604004.9256608972</v>
      </c>
      <c r="BQ273" s="207">
        <v>-1428548.88</v>
      </c>
      <c r="BR273" s="207">
        <v>-127042.48566932231</v>
      </c>
      <c r="BS273" s="207">
        <v>1109415</v>
      </c>
      <c r="BT273" s="207">
        <v>399076</v>
      </c>
      <c r="BU273" s="207">
        <v>905475.307138261</v>
      </c>
      <c r="BV273" s="207">
        <v>41384.80129070485</v>
      </c>
      <c r="BW273" s="207">
        <v>80168.54506648163</v>
      </c>
      <c r="BX273" s="207">
        <v>432683.95358545834</v>
      </c>
      <c r="BY273" s="207">
        <v>714318.2047305912</v>
      </c>
      <c r="BZ273" s="207">
        <v>1333112.8678891251</v>
      </c>
      <c r="CA273" s="207">
        <v>405710.0888038961</v>
      </c>
      <c r="CB273" s="207">
        <v>650287.3567031103</v>
      </c>
      <c r="CC273" s="207">
        <v>1417.6799999999998</v>
      </c>
      <c r="CD273" s="207">
        <v>-91472.68700469522</v>
      </c>
      <c r="CE273" s="207">
        <v>680801.44</v>
      </c>
      <c r="CF273" s="207">
        <v>6701911.072533609</v>
      </c>
      <c r="CG273" s="207">
        <v>3738414.066872712</v>
      </c>
      <c r="CH273" s="207">
        <v>0</v>
      </c>
      <c r="CI273" s="207">
        <v>1662379.1711787684</v>
      </c>
      <c r="CJ273" s="207">
        <v>-1548965</v>
      </c>
      <c r="CK273" s="207">
        <v>0</v>
      </c>
      <c r="CL273" s="207">
        <v>0</v>
      </c>
      <c r="CM273" s="207">
        <v>84416.1743</v>
      </c>
      <c r="CN273" s="207">
        <v>23794266.544189673</v>
      </c>
      <c r="CO273" s="207">
        <v>23878682.718489673</v>
      </c>
      <c r="CP273" s="207">
        <v>15404</v>
      </c>
    </row>
    <row r="274" spans="1:94" ht="9.75">
      <c r="A274" s="175">
        <v>785</v>
      </c>
      <c r="B274" s="175" t="s">
        <v>330</v>
      </c>
      <c r="C274" s="207">
        <v>2941</v>
      </c>
      <c r="D274" s="207">
        <v>10722960.049999999</v>
      </c>
      <c r="E274" s="207">
        <v>5642489.592400286</v>
      </c>
      <c r="F274" s="207">
        <v>1379845.8207599875</v>
      </c>
      <c r="G274" s="207">
        <v>17745295.463160273</v>
      </c>
      <c r="H274" s="207">
        <v>3524.51</v>
      </c>
      <c r="I274" s="207">
        <v>10365583.91</v>
      </c>
      <c r="J274" s="207">
        <v>7379711.553160273</v>
      </c>
      <c r="K274" s="207">
        <v>1445851.6697678624</v>
      </c>
      <c r="L274" s="207">
        <v>1086875.374639435</v>
      </c>
      <c r="M274" s="207">
        <v>0</v>
      </c>
      <c r="N274" s="207">
        <v>9912438.59756757</v>
      </c>
      <c r="O274" s="207">
        <v>2741247.0920230197</v>
      </c>
      <c r="P274" s="207">
        <v>12653685.689590588</v>
      </c>
      <c r="Q274" s="207">
        <v>114</v>
      </c>
      <c r="R274" s="207">
        <v>24</v>
      </c>
      <c r="S274" s="207">
        <v>155</v>
      </c>
      <c r="T274" s="207">
        <v>98</v>
      </c>
      <c r="U274" s="207">
        <v>95</v>
      </c>
      <c r="V274" s="207">
        <v>1464</v>
      </c>
      <c r="W274" s="207">
        <v>531</v>
      </c>
      <c r="X274" s="207">
        <v>323</v>
      </c>
      <c r="Y274" s="207">
        <v>137</v>
      </c>
      <c r="Z274" s="207">
        <v>3</v>
      </c>
      <c r="AA274" s="207">
        <v>0</v>
      </c>
      <c r="AB274" s="207">
        <v>2913</v>
      </c>
      <c r="AC274" s="207">
        <v>25</v>
      </c>
      <c r="AD274" s="207">
        <v>991</v>
      </c>
      <c r="AE274" s="207">
        <v>1.6927936817725935</v>
      </c>
      <c r="AF274" s="207">
        <v>5642489.592400286</v>
      </c>
      <c r="AG274" s="207">
        <v>8208456.462587446</v>
      </c>
      <c r="AH274" s="207">
        <v>2239677.356124858</v>
      </c>
      <c r="AI274" s="207">
        <v>679038.2509582178</v>
      </c>
      <c r="AJ274" s="207">
        <v>191</v>
      </c>
      <c r="AK274" s="207">
        <v>1181</v>
      </c>
      <c r="AL274" s="207">
        <v>1.3976799523435555</v>
      </c>
      <c r="AM274" s="207">
        <v>25</v>
      </c>
      <c r="AN274" s="207">
        <v>0.008500510030601836</v>
      </c>
      <c r="AO274" s="207">
        <v>0.0035597985681512434</v>
      </c>
      <c r="AP274" s="207">
        <v>0</v>
      </c>
      <c r="AQ274" s="207">
        <v>3</v>
      </c>
      <c r="AR274" s="207">
        <v>0</v>
      </c>
      <c r="AS274" s="207">
        <v>3</v>
      </c>
      <c r="AT274" s="207">
        <v>89</v>
      </c>
      <c r="AU274" s="207">
        <v>1302.65</v>
      </c>
      <c r="AV274" s="207">
        <v>2.257705446589644</v>
      </c>
      <c r="AW274" s="207">
        <v>8.03286006502483</v>
      </c>
      <c r="AX274" s="207">
        <v>81</v>
      </c>
      <c r="AY274" s="207">
        <v>676</v>
      </c>
      <c r="AZ274" s="207">
        <v>0.11982248520710059</v>
      </c>
      <c r="BA274" s="207">
        <v>0.0586386491228661</v>
      </c>
      <c r="BB274" s="207">
        <v>1.445366</v>
      </c>
      <c r="BC274" s="207">
        <v>901</v>
      </c>
      <c r="BD274" s="207">
        <v>943</v>
      </c>
      <c r="BE274" s="207">
        <v>0.9554612937433722</v>
      </c>
      <c r="BF274" s="207">
        <v>0.5465544111522791</v>
      </c>
      <c r="BG274" s="207">
        <v>0</v>
      </c>
      <c r="BH274" s="207">
        <v>0</v>
      </c>
      <c r="BI274" s="207">
        <v>0</v>
      </c>
      <c r="BJ274" s="207">
        <v>-705.8399999999999</v>
      </c>
      <c r="BK274" s="207">
        <v>-12058.099999999999</v>
      </c>
      <c r="BL274" s="207">
        <v>-823.4800000000001</v>
      </c>
      <c r="BM274" s="207">
        <v>-1146.99</v>
      </c>
      <c r="BN274" s="207">
        <v>-58.82</v>
      </c>
      <c r="BO274" s="207">
        <v>87467</v>
      </c>
      <c r="BP274" s="207">
        <v>-102872.11121788647</v>
      </c>
      <c r="BQ274" s="207">
        <v>-266719.29</v>
      </c>
      <c r="BR274" s="207">
        <v>-70951.2395362258</v>
      </c>
      <c r="BS274" s="207">
        <v>310888</v>
      </c>
      <c r="BT274" s="207">
        <v>92189</v>
      </c>
      <c r="BU274" s="207">
        <v>250966.4378107918</v>
      </c>
      <c r="BV274" s="207">
        <v>15001.394378429974</v>
      </c>
      <c r="BW274" s="207">
        <v>44539.947269726195</v>
      </c>
      <c r="BX274" s="207">
        <v>126757.85397782503</v>
      </c>
      <c r="BY274" s="207">
        <v>154052.91971320764</v>
      </c>
      <c r="BZ274" s="207">
        <v>270595.83848855575</v>
      </c>
      <c r="CA274" s="207">
        <v>75512.61194520385</v>
      </c>
      <c r="CB274" s="207">
        <v>145181.5206986564</v>
      </c>
      <c r="CC274" s="207">
        <v>264.69</v>
      </c>
      <c r="CD274" s="207">
        <v>703.881111150291</v>
      </c>
      <c r="CE274" s="207">
        <v>127110.01999999999</v>
      </c>
      <c r="CF274" s="207">
        <v>1630279.8758573213</v>
      </c>
      <c r="CG274" s="207">
        <v>1086875.374639435</v>
      </c>
      <c r="CH274" s="207">
        <v>0</v>
      </c>
      <c r="CI274" s="207">
        <v>2741247.0920230197</v>
      </c>
      <c r="CJ274" s="207">
        <v>158125</v>
      </c>
      <c r="CK274" s="207">
        <v>0</v>
      </c>
      <c r="CL274" s="207">
        <v>0</v>
      </c>
      <c r="CM274" s="207">
        <v>7920.204000000005</v>
      </c>
      <c r="CN274" s="207">
        <v>12811810.689590588</v>
      </c>
      <c r="CO274" s="207">
        <v>12819730.893590588</v>
      </c>
      <c r="CP274" s="207">
        <v>3040</v>
      </c>
    </row>
    <row r="275" spans="1:94" ht="9.75">
      <c r="A275" s="175">
        <v>905</v>
      </c>
      <c r="B275" s="175" t="s">
        <v>331</v>
      </c>
      <c r="C275" s="207">
        <v>67392</v>
      </c>
      <c r="D275" s="207">
        <v>218317020.17</v>
      </c>
      <c r="E275" s="207">
        <v>68671254.99254674</v>
      </c>
      <c r="F275" s="207">
        <v>22973875.246886905</v>
      </c>
      <c r="G275" s="207">
        <v>309962150.40943366</v>
      </c>
      <c r="H275" s="207">
        <v>3524.51</v>
      </c>
      <c r="I275" s="207">
        <v>237523777.92000002</v>
      </c>
      <c r="J275" s="207">
        <v>72438372.48943365</v>
      </c>
      <c r="K275" s="207">
        <v>3633722.1816780954</v>
      </c>
      <c r="L275" s="207">
        <v>11234529.154384792</v>
      </c>
      <c r="M275" s="207">
        <v>0</v>
      </c>
      <c r="N275" s="207">
        <v>87306623.82549654</v>
      </c>
      <c r="O275" s="207">
        <v>-444544.0232675889</v>
      </c>
      <c r="P275" s="207">
        <v>86862079.80222896</v>
      </c>
      <c r="Q275" s="207">
        <v>4199</v>
      </c>
      <c r="R275" s="207">
        <v>701</v>
      </c>
      <c r="S275" s="207">
        <v>4416</v>
      </c>
      <c r="T275" s="207">
        <v>2127</v>
      </c>
      <c r="U275" s="207">
        <v>2090</v>
      </c>
      <c r="V275" s="207">
        <v>40726</v>
      </c>
      <c r="W275" s="207">
        <v>7184</v>
      </c>
      <c r="X275" s="207">
        <v>4180</v>
      </c>
      <c r="Y275" s="207">
        <v>1769</v>
      </c>
      <c r="Z275" s="207">
        <v>15395</v>
      </c>
      <c r="AA275" s="207">
        <v>7</v>
      </c>
      <c r="AB275" s="207">
        <v>46237</v>
      </c>
      <c r="AC275" s="207">
        <v>5753</v>
      </c>
      <c r="AD275" s="207">
        <v>13133</v>
      </c>
      <c r="AE275" s="207">
        <v>0.8990729395444504</v>
      </c>
      <c r="AF275" s="207">
        <v>68671254.99254674</v>
      </c>
      <c r="AG275" s="207">
        <v>9121462.957226465</v>
      </c>
      <c r="AH275" s="207">
        <v>2224314.5710741202</v>
      </c>
      <c r="AI275" s="207">
        <v>1036426.8040941218</v>
      </c>
      <c r="AJ275" s="207">
        <v>3456</v>
      </c>
      <c r="AK275" s="207">
        <v>32988</v>
      </c>
      <c r="AL275" s="207">
        <v>0.905403177225243</v>
      </c>
      <c r="AM275" s="207">
        <v>5753</v>
      </c>
      <c r="AN275" s="207">
        <v>0.0853662155745489</v>
      </c>
      <c r="AO275" s="207">
        <v>0.08042550411209831</v>
      </c>
      <c r="AP275" s="207">
        <v>1</v>
      </c>
      <c r="AQ275" s="207">
        <v>15395</v>
      </c>
      <c r="AR275" s="207">
        <v>7</v>
      </c>
      <c r="AS275" s="207">
        <v>0</v>
      </c>
      <c r="AT275" s="207">
        <v>0</v>
      </c>
      <c r="AU275" s="207">
        <v>364.67</v>
      </c>
      <c r="AV275" s="207">
        <v>184.80269832999699</v>
      </c>
      <c r="AW275" s="207">
        <v>0.09813618569634928</v>
      </c>
      <c r="AX275" s="207">
        <v>2700</v>
      </c>
      <c r="AY275" s="207">
        <v>20585</v>
      </c>
      <c r="AZ275" s="207">
        <v>0.1311634685450571</v>
      </c>
      <c r="BA275" s="207">
        <v>0.06997963246082259</v>
      </c>
      <c r="BB275" s="207">
        <v>0</v>
      </c>
      <c r="BC275" s="207">
        <v>36217</v>
      </c>
      <c r="BD275" s="207">
        <v>28920</v>
      </c>
      <c r="BE275" s="207">
        <v>1.2523167358229599</v>
      </c>
      <c r="BF275" s="207">
        <v>0.8434098532318668</v>
      </c>
      <c r="BG275" s="207">
        <v>0</v>
      </c>
      <c r="BH275" s="207">
        <v>7</v>
      </c>
      <c r="BI275" s="207">
        <v>0</v>
      </c>
      <c r="BJ275" s="207">
        <v>-16174.08</v>
      </c>
      <c r="BK275" s="207">
        <v>-276307.19999999995</v>
      </c>
      <c r="BL275" s="207">
        <v>-18869.760000000002</v>
      </c>
      <c r="BM275" s="207">
        <v>-26282.88</v>
      </c>
      <c r="BN275" s="207">
        <v>-1347.84</v>
      </c>
      <c r="BO275" s="207">
        <v>-766334</v>
      </c>
      <c r="BP275" s="207">
        <v>-4468660.059613642</v>
      </c>
      <c r="BQ275" s="207">
        <v>-6111780.4799999995</v>
      </c>
      <c r="BR275" s="207">
        <v>274345.0710465126</v>
      </c>
      <c r="BS275" s="207">
        <v>4274447</v>
      </c>
      <c r="BT275" s="207">
        <v>1565331</v>
      </c>
      <c r="BU275" s="207">
        <v>3626619.6572058755</v>
      </c>
      <c r="BV275" s="207">
        <v>138381.79957621533</v>
      </c>
      <c r="BW275" s="207">
        <v>123045.09646081526</v>
      </c>
      <c r="BX275" s="207">
        <v>1613817.4548447337</v>
      </c>
      <c r="BY275" s="207">
        <v>3371237.1497896183</v>
      </c>
      <c r="BZ275" s="207">
        <v>4725068.448890915</v>
      </c>
      <c r="CA275" s="207">
        <v>1837727.4642141988</v>
      </c>
      <c r="CB275" s="207">
        <v>2936288.512976931</v>
      </c>
      <c r="CC275" s="207">
        <v>6065.28</v>
      </c>
      <c r="CD275" s="207">
        <v>-840885.2810073787</v>
      </c>
      <c r="CE275" s="207">
        <v>2912682.2399999998</v>
      </c>
      <c r="CF275" s="207">
        <v>25797836.893998433</v>
      </c>
      <c r="CG275" s="207">
        <v>11234529.154384792</v>
      </c>
      <c r="CH275" s="207">
        <v>0</v>
      </c>
      <c r="CI275" s="207">
        <v>-444544.0232675889</v>
      </c>
      <c r="CJ275" s="207">
        <v>24788153</v>
      </c>
      <c r="CK275" s="207">
        <v>0</v>
      </c>
      <c r="CL275" s="207">
        <v>0</v>
      </c>
      <c r="CM275" s="207">
        <v>-4422410.907649999</v>
      </c>
      <c r="CN275" s="207">
        <v>111650232.80222896</v>
      </c>
      <c r="CO275" s="207">
        <v>107227821.89457896</v>
      </c>
      <c r="CP275" s="207">
        <v>67620</v>
      </c>
    </row>
    <row r="276" spans="1:94" ht="9.75">
      <c r="A276" s="175">
        <v>908</v>
      </c>
      <c r="B276" s="175" t="s">
        <v>332</v>
      </c>
      <c r="C276" s="207">
        <v>21136</v>
      </c>
      <c r="D276" s="207">
        <v>74001389.08</v>
      </c>
      <c r="E276" s="207">
        <v>25265960.198753305</v>
      </c>
      <c r="F276" s="207">
        <v>3530789.1404574886</v>
      </c>
      <c r="G276" s="207">
        <v>102798138.41921079</v>
      </c>
      <c r="H276" s="207">
        <v>3524.51</v>
      </c>
      <c r="I276" s="207">
        <v>74494043.36</v>
      </c>
      <c r="J276" s="207">
        <v>28304095.059210792</v>
      </c>
      <c r="K276" s="207">
        <v>607355.962798778</v>
      </c>
      <c r="L276" s="207">
        <v>4607955.794710097</v>
      </c>
      <c r="M276" s="207">
        <v>0</v>
      </c>
      <c r="N276" s="207">
        <v>33519406.816719666</v>
      </c>
      <c r="O276" s="207">
        <v>4198758.471232979</v>
      </c>
      <c r="P276" s="207">
        <v>37718165.28795265</v>
      </c>
      <c r="Q276" s="207">
        <v>1215</v>
      </c>
      <c r="R276" s="207">
        <v>229</v>
      </c>
      <c r="S276" s="207">
        <v>1510</v>
      </c>
      <c r="T276" s="207">
        <v>706</v>
      </c>
      <c r="U276" s="207">
        <v>725</v>
      </c>
      <c r="V276" s="207">
        <v>11298</v>
      </c>
      <c r="W276" s="207">
        <v>3166</v>
      </c>
      <c r="X276" s="207">
        <v>1585</v>
      </c>
      <c r="Y276" s="207">
        <v>702</v>
      </c>
      <c r="Z276" s="207">
        <v>44</v>
      </c>
      <c r="AA276" s="207">
        <v>2</v>
      </c>
      <c r="AB276" s="207">
        <v>20377</v>
      </c>
      <c r="AC276" s="207">
        <v>713</v>
      </c>
      <c r="AD276" s="207">
        <v>5453</v>
      </c>
      <c r="AE276" s="207">
        <v>1.054729989413431</v>
      </c>
      <c r="AF276" s="207">
        <v>25265960.198753305</v>
      </c>
      <c r="AG276" s="207">
        <v>24832713.860153433</v>
      </c>
      <c r="AH276" s="207">
        <v>6679328.7498303475</v>
      </c>
      <c r="AI276" s="207">
        <v>2626805.8655488947</v>
      </c>
      <c r="AJ276" s="207">
        <v>1084</v>
      </c>
      <c r="AK276" s="207">
        <v>9348</v>
      </c>
      <c r="AL276" s="207">
        <v>1.0021548779983898</v>
      </c>
      <c r="AM276" s="207">
        <v>713</v>
      </c>
      <c r="AN276" s="207">
        <v>0.03373391370174111</v>
      </c>
      <c r="AO276" s="207">
        <v>0.028793202239290515</v>
      </c>
      <c r="AP276" s="207">
        <v>0</v>
      </c>
      <c r="AQ276" s="207">
        <v>44</v>
      </c>
      <c r="AR276" s="207">
        <v>2</v>
      </c>
      <c r="AS276" s="207">
        <v>0</v>
      </c>
      <c r="AT276" s="207">
        <v>0</v>
      </c>
      <c r="AU276" s="207">
        <v>271.94</v>
      </c>
      <c r="AV276" s="207">
        <v>77.72302713833935</v>
      </c>
      <c r="AW276" s="207">
        <v>0.23333923790975103</v>
      </c>
      <c r="AX276" s="207">
        <v>640</v>
      </c>
      <c r="AY276" s="207">
        <v>6437</v>
      </c>
      <c r="AZ276" s="207">
        <v>0.09942519807363678</v>
      </c>
      <c r="BA276" s="207">
        <v>0.03824136198940229</v>
      </c>
      <c r="BB276" s="207">
        <v>0</v>
      </c>
      <c r="BC276" s="207">
        <v>6771</v>
      </c>
      <c r="BD276" s="207">
        <v>7888</v>
      </c>
      <c r="BE276" s="207">
        <v>0.858392494929006</v>
      </c>
      <c r="BF276" s="207">
        <v>0.44948561233791295</v>
      </c>
      <c r="BG276" s="207">
        <v>0</v>
      </c>
      <c r="BH276" s="207">
        <v>2</v>
      </c>
      <c r="BI276" s="207">
        <v>0</v>
      </c>
      <c r="BJ276" s="207">
        <v>-5072.639999999999</v>
      </c>
      <c r="BK276" s="207">
        <v>-86657.59999999999</v>
      </c>
      <c r="BL276" s="207">
        <v>-5918.080000000001</v>
      </c>
      <c r="BM276" s="207">
        <v>-8243.04</v>
      </c>
      <c r="BN276" s="207">
        <v>-422.72</v>
      </c>
      <c r="BO276" s="207">
        <v>606941</v>
      </c>
      <c r="BP276" s="207">
        <v>-669851.9679774942</v>
      </c>
      <c r="BQ276" s="207">
        <v>-1916823.8399999999</v>
      </c>
      <c r="BR276" s="207">
        <v>29654.960622604936</v>
      </c>
      <c r="BS276" s="207">
        <v>1300662</v>
      </c>
      <c r="BT276" s="207">
        <v>441444</v>
      </c>
      <c r="BU276" s="207">
        <v>804355.6399916415</v>
      </c>
      <c r="BV276" s="207">
        <v>27221.020783908443</v>
      </c>
      <c r="BW276" s="207">
        <v>143785.4359805037</v>
      </c>
      <c r="BX276" s="207">
        <v>492082.1333048082</v>
      </c>
      <c r="BY276" s="207">
        <v>907246.1630341989</v>
      </c>
      <c r="BZ276" s="207">
        <v>1486362.2494838221</v>
      </c>
      <c r="CA276" s="207">
        <v>409666.72623455676</v>
      </c>
      <c r="CB276" s="207">
        <v>765592.4018031876</v>
      </c>
      <c r="CC276" s="207">
        <v>1902.24</v>
      </c>
      <c r="CD276" s="207">
        <v>113355.31144835742</v>
      </c>
      <c r="CE276" s="207">
        <v>913497.9199999999</v>
      </c>
      <c r="CF276" s="207">
        <v>8443769.202687591</v>
      </c>
      <c r="CG276" s="207">
        <v>4607955.794710097</v>
      </c>
      <c r="CH276" s="207">
        <v>0</v>
      </c>
      <c r="CI276" s="207">
        <v>4198758.471232979</v>
      </c>
      <c r="CJ276" s="207">
        <v>430542</v>
      </c>
      <c r="CK276" s="207">
        <v>0</v>
      </c>
      <c r="CL276" s="207">
        <v>0</v>
      </c>
      <c r="CM276" s="207">
        <v>-70225.80880000006</v>
      </c>
      <c r="CN276" s="207">
        <v>38148707.28795265</v>
      </c>
      <c r="CO276" s="207">
        <v>38078481.47915265</v>
      </c>
      <c r="CP276" s="207">
        <v>21346</v>
      </c>
    </row>
    <row r="277" spans="1:94" ht="9.75">
      <c r="A277" s="175">
        <v>911</v>
      </c>
      <c r="B277" s="175" t="s">
        <v>333</v>
      </c>
      <c r="C277" s="207">
        <v>2218</v>
      </c>
      <c r="D277" s="207">
        <v>8169581.78</v>
      </c>
      <c r="E277" s="207">
        <v>4697814.115914742</v>
      </c>
      <c r="F277" s="207">
        <v>872196.6199967046</v>
      </c>
      <c r="G277" s="207">
        <v>13739592.515911447</v>
      </c>
      <c r="H277" s="207">
        <v>3524.51</v>
      </c>
      <c r="I277" s="207">
        <v>7817363.180000001</v>
      </c>
      <c r="J277" s="207">
        <v>5922229.335911446</v>
      </c>
      <c r="K277" s="207">
        <v>834722.9447379108</v>
      </c>
      <c r="L277" s="207">
        <v>1161004.9365810705</v>
      </c>
      <c r="M277" s="207">
        <v>0</v>
      </c>
      <c r="N277" s="207">
        <v>7917957.217230427</v>
      </c>
      <c r="O277" s="207">
        <v>2018790.4231715167</v>
      </c>
      <c r="P277" s="207">
        <v>9936747.640401945</v>
      </c>
      <c r="Q277" s="207">
        <v>87</v>
      </c>
      <c r="R277" s="207">
        <v>20</v>
      </c>
      <c r="S277" s="207">
        <v>124</v>
      </c>
      <c r="T277" s="207">
        <v>57</v>
      </c>
      <c r="U277" s="207">
        <v>66</v>
      </c>
      <c r="V277" s="207">
        <v>1113</v>
      </c>
      <c r="W277" s="207">
        <v>411</v>
      </c>
      <c r="X277" s="207">
        <v>218</v>
      </c>
      <c r="Y277" s="207">
        <v>122</v>
      </c>
      <c r="Z277" s="207">
        <v>2</v>
      </c>
      <c r="AA277" s="207">
        <v>0</v>
      </c>
      <c r="AB277" s="207">
        <v>2197</v>
      </c>
      <c r="AC277" s="207">
        <v>19</v>
      </c>
      <c r="AD277" s="207">
        <v>751</v>
      </c>
      <c r="AE277" s="207">
        <v>1.8687989177033213</v>
      </c>
      <c r="AF277" s="207">
        <v>4697814.115914742</v>
      </c>
      <c r="AG277" s="207">
        <v>89384664.31769514</v>
      </c>
      <c r="AH277" s="207">
        <v>19837457.40280862</v>
      </c>
      <c r="AI277" s="207">
        <v>8434369.854007335</v>
      </c>
      <c r="AJ277" s="207">
        <v>131</v>
      </c>
      <c r="AK277" s="207">
        <v>927</v>
      </c>
      <c r="AL277" s="207">
        <v>1.2212816387209984</v>
      </c>
      <c r="AM277" s="207">
        <v>19</v>
      </c>
      <c r="AN277" s="207">
        <v>0.008566275924256087</v>
      </c>
      <c r="AO277" s="207">
        <v>0.0036255644618054935</v>
      </c>
      <c r="AP277" s="207">
        <v>0</v>
      </c>
      <c r="AQ277" s="207">
        <v>2</v>
      </c>
      <c r="AR277" s="207">
        <v>0</v>
      </c>
      <c r="AS277" s="207">
        <v>0</v>
      </c>
      <c r="AT277" s="207">
        <v>0</v>
      </c>
      <c r="AU277" s="207">
        <v>800.31</v>
      </c>
      <c r="AV277" s="207">
        <v>2.771426072396946</v>
      </c>
      <c r="AW277" s="207">
        <v>6.543862779213055</v>
      </c>
      <c r="AX277" s="207">
        <v>68</v>
      </c>
      <c r="AY277" s="207">
        <v>514</v>
      </c>
      <c r="AZ277" s="207">
        <v>0.13229571984435798</v>
      </c>
      <c r="BA277" s="207">
        <v>0.07111188376012348</v>
      </c>
      <c r="BB277" s="207">
        <v>1.102483</v>
      </c>
      <c r="BC277" s="207">
        <v>625</v>
      </c>
      <c r="BD277" s="207">
        <v>738</v>
      </c>
      <c r="BE277" s="207">
        <v>0.8468834688346883</v>
      </c>
      <c r="BF277" s="207">
        <v>0.43797658624359526</v>
      </c>
      <c r="BG277" s="207">
        <v>0</v>
      </c>
      <c r="BH277" s="207">
        <v>0</v>
      </c>
      <c r="BI277" s="207">
        <v>0</v>
      </c>
      <c r="BJ277" s="207">
        <v>-532.3199999999999</v>
      </c>
      <c r="BK277" s="207">
        <v>-9093.8</v>
      </c>
      <c r="BL277" s="207">
        <v>-621.0400000000001</v>
      </c>
      <c r="BM277" s="207">
        <v>-865.02</v>
      </c>
      <c r="BN277" s="207">
        <v>-44.36</v>
      </c>
      <c r="BO277" s="207">
        <v>189818</v>
      </c>
      <c r="BP277" s="207">
        <v>-43399.10820615166</v>
      </c>
      <c r="BQ277" s="207">
        <v>-201150.41999999998</v>
      </c>
      <c r="BR277" s="207">
        <v>96380.14033571817</v>
      </c>
      <c r="BS277" s="207">
        <v>238421</v>
      </c>
      <c r="BT277" s="207">
        <v>73261</v>
      </c>
      <c r="BU277" s="207">
        <v>199069.2625320524</v>
      </c>
      <c r="BV277" s="207">
        <v>12189.992792026218</v>
      </c>
      <c r="BW277" s="207">
        <v>21380.662376640852</v>
      </c>
      <c r="BX277" s="207">
        <v>101836.40632784022</v>
      </c>
      <c r="BY277" s="207">
        <v>121481.66735531342</v>
      </c>
      <c r="BZ277" s="207">
        <v>216660.2640097254</v>
      </c>
      <c r="CA277" s="207">
        <v>68195.66622583904</v>
      </c>
      <c r="CB277" s="207">
        <v>113362.08532331562</v>
      </c>
      <c r="CC277" s="207">
        <v>199.62</v>
      </c>
      <c r="CD277" s="207">
        <v>-11479.462491248822</v>
      </c>
      <c r="CE277" s="207">
        <v>95861.95999999999</v>
      </c>
      <c r="CF277" s="207">
        <v>1536638.2647872223</v>
      </c>
      <c r="CG277" s="207">
        <v>1161004.9365810705</v>
      </c>
      <c r="CH277" s="207">
        <v>0</v>
      </c>
      <c r="CI277" s="207">
        <v>2018790.4231715167</v>
      </c>
      <c r="CJ277" s="207">
        <v>-484174</v>
      </c>
      <c r="CK277" s="207">
        <v>0</v>
      </c>
      <c r="CL277" s="207">
        <v>0</v>
      </c>
      <c r="CM277" s="207">
        <v>38280.986000000004</v>
      </c>
      <c r="CN277" s="207">
        <v>9452573.640401945</v>
      </c>
      <c r="CO277" s="207">
        <v>9490854.626401944</v>
      </c>
      <c r="CP277" s="207">
        <v>2245</v>
      </c>
    </row>
    <row r="278" spans="1:94" ht="9.75">
      <c r="A278" s="175">
        <v>92</v>
      </c>
      <c r="B278" s="175" t="s">
        <v>334</v>
      </c>
      <c r="C278" s="207">
        <v>223027</v>
      </c>
      <c r="D278" s="207">
        <v>681251968.4099998</v>
      </c>
      <c r="E278" s="207">
        <v>182993727.0685796</v>
      </c>
      <c r="F278" s="207">
        <v>111138659.992608</v>
      </c>
      <c r="G278" s="207">
        <v>975384355.4711875</v>
      </c>
      <c r="H278" s="207">
        <v>3524.51</v>
      </c>
      <c r="I278" s="207">
        <v>786060891.7700001</v>
      </c>
      <c r="J278" s="207">
        <v>189323463.70118737</v>
      </c>
      <c r="K278" s="207">
        <v>9517171.595559336</v>
      </c>
      <c r="L278" s="207">
        <v>8345730.6604811475</v>
      </c>
      <c r="M278" s="207">
        <v>0</v>
      </c>
      <c r="N278" s="207">
        <v>207186365.95722786</v>
      </c>
      <c r="O278" s="207">
        <v>-40394621.1510775</v>
      </c>
      <c r="P278" s="207">
        <v>166791744.80615035</v>
      </c>
      <c r="Q278" s="207">
        <v>15864</v>
      </c>
      <c r="R278" s="207">
        <v>2708</v>
      </c>
      <c r="S278" s="207">
        <v>16000</v>
      </c>
      <c r="T278" s="207">
        <v>7452</v>
      </c>
      <c r="U278" s="207">
        <v>7308</v>
      </c>
      <c r="V278" s="207">
        <v>139775</v>
      </c>
      <c r="W278" s="207">
        <v>21189</v>
      </c>
      <c r="X278" s="207">
        <v>9827</v>
      </c>
      <c r="Y278" s="207">
        <v>2904</v>
      </c>
      <c r="Z278" s="207">
        <v>5594</v>
      </c>
      <c r="AA278" s="207">
        <v>21</v>
      </c>
      <c r="AB278" s="207">
        <v>178024</v>
      </c>
      <c r="AC278" s="207">
        <v>39388</v>
      </c>
      <c r="AD278" s="207">
        <v>33920</v>
      </c>
      <c r="AE278" s="207">
        <v>0.7239474574622637</v>
      </c>
      <c r="AF278" s="207">
        <v>182993727.0685796</v>
      </c>
      <c r="AG278" s="207">
        <v>234841245.54388905</v>
      </c>
      <c r="AH278" s="207">
        <v>45996991.08293268</v>
      </c>
      <c r="AI278" s="207">
        <v>26178711.517204974</v>
      </c>
      <c r="AJ278" s="207">
        <v>12108</v>
      </c>
      <c r="AK278" s="207">
        <v>114381</v>
      </c>
      <c r="AL278" s="207">
        <v>0.914835037506201</v>
      </c>
      <c r="AM278" s="207">
        <v>39388</v>
      </c>
      <c r="AN278" s="207">
        <v>0.17660641985051137</v>
      </c>
      <c r="AO278" s="207">
        <v>0.17166570838806078</v>
      </c>
      <c r="AP278" s="207">
        <v>1</v>
      </c>
      <c r="AQ278" s="207">
        <v>5594</v>
      </c>
      <c r="AR278" s="207">
        <v>21</v>
      </c>
      <c r="AS278" s="207">
        <v>0</v>
      </c>
      <c r="AT278" s="207">
        <v>0</v>
      </c>
      <c r="AU278" s="207">
        <v>238.37</v>
      </c>
      <c r="AV278" s="207">
        <v>935.6336787347401</v>
      </c>
      <c r="AW278" s="207">
        <v>0.019383474892678228</v>
      </c>
      <c r="AX278" s="207">
        <v>18171</v>
      </c>
      <c r="AY278" s="207">
        <v>80440</v>
      </c>
      <c r="AZ278" s="207">
        <v>0.22589507707608156</v>
      </c>
      <c r="BA278" s="207">
        <v>0.16471124099184706</v>
      </c>
      <c r="BB278" s="207">
        <v>0</v>
      </c>
      <c r="BC278" s="207">
        <v>110784</v>
      </c>
      <c r="BD278" s="207">
        <v>102921</v>
      </c>
      <c r="BE278" s="207">
        <v>1.0763984026583495</v>
      </c>
      <c r="BF278" s="207">
        <v>0.6674915200672564</v>
      </c>
      <c r="BG278" s="207">
        <v>0</v>
      </c>
      <c r="BH278" s="207">
        <v>21</v>
      </c>
      <c r="BI278" s="207">
        <v>0</v>
      </c>
      <c r="BJ278" s="207">
        <v>-53526.479999999996</v>
      </c>
      <c r="BK278" s="207">
        <v>-914410.7</v>
      </c>
      <c r="BL278" s="207">
        <v>-62447.560000000005</v>
      </c>
      <c r="BM278" s="207">
        <v>-86980.53</v>
      </c>
      <c r="BN278" s="207">
        <v>-4460.54</v>
      </c>
      <c r="BO278" s="207">
        <v>-3024032</v>
      </c>
      <c r="BP278" s="207">
        <v>-29062505.4717659</v>
      </c>
      <c r="BQ278" s="207">
        <v>-20226318.63</v>
      </c>
      <c r="BR278" s="207">
        <v>-133128.08959154785</v>
      </c>
      <c r="BS278" s="207">
        <v>10598953</v>
      </c>
      <c r="BT278" s="207">
        <v>4100799</v>
      </c>
      <c r="BU278" s="207">
        <v>9211292.593758624</v>
      </c>
      <c r="BV278" s="207">
        <v>227178.49044565213</v>
      </c>
      <c r="BW278" s="207">
        <v>82298.47186307986</v>
      </c>
      <c r="BX278" s="207">
        <v>3932399.72004996</v>
      </c>
      <c r="BY278" s="207">
        <v>9755745.8127085</v>
      </c>
      <c r="BZ278" s="207">
        <v>13693210.390970083</v>
      </c>
      <c r="CA278" s="207">
        <v>4847253.448079878</v>
      </c>
      <c r="CB278" s="207">
        <v>8400914.958768297</v>
      </c>
      <c r="CC278" s="207">
        <v>20072.43</v>
      </c>
      <c r="CD278" s="207">
        <v>-536734.7048054747</v>
      </c>
      <c r="CE278" s="207">
        <v>9639226.94</v>
      </c>
      <c r="CF278" s="207">
        <v>70815450.46224704</v>
      </c>
      <c r="CG278" s="207">
        <v>8345730.6604811475</v>
      </c>
      <c r="CH278" s="207">
        <v>0</v>
      </c>
      <c r="CI278" s="207">
        <v>-40394621.1510775</v>
      </c>
      <c r="CJ278" s="207">
        <v>17540314</v>
      </c>
      <c r="CK278" s="207">
        <v>0</v>
      </c>
      <c r="CL278" s="207">
        <v>0</v>
      </c>
      <c r="CM278" s="207">
        <v>-6255568.524129991</v>
      </c>
      <c r="CN278" s="207">
        <v>184332058.80615035</v>
      </c>
      <c r="CO278" s="207">
        <v>178076490.28202036</v>
      </c>
      <c r="CP278" s="207">
        <v>219341</v>
      </c>
    </row>
    <row r="279" spans="1:94" ht="9.75">
      <c r="A279" s="175">
        <v>915</v>
      </c>
      <c r="B279" s="175" t="s">
        <v>335</v>
      </c>
      <c r="C279" s="207">
        <v>21155</v>
      </c>
      <c r="D279" s="207">
        <v>71804296.21000001</v>
      </c>
      <c r="E279" s="207">
        <v>36158580.70246127</v>
      </c>
      <c r="F279" s="207">
        <v>4392429.433887517</v>
      </c>
      <c r="G279" s="207">
        <v>112355306.34634879</v>
      </c>
      <c r="H279" s="207">
        <v>3524.51</v>
      </c>
      <c r="I279" s="207">
        <v>74561009.05000001</v>
      </c>
      <c r="J279" s="207">
        <v>37794297.29634878</v>
      </c>
      <c r="K279" s="207">
        <v>964193.6486630355</v>
      </c>
      <c r="L279" s="207">
        <v>5053921.093921897</v>
      </c>
      <c r="M279" s="207">
        <v>0</v>
      </c>
      <c r="N279" s="207">
        <v>43812412.03893372</v>
      </c>
      <c r="O279" s="207">
        <v>8119226.355431535</v>
      </c>
      <c r="P279" s="207">
        <v>51931638.39436525</v>
      </c>
      <c r="Q279" s="207">
        <v>920</v>
      </c>
      <c r="R279" s="207">
        <v>153</v>
      </c>
      <c r="S279" s="207">
        <v>1189</v>
      </c>
      <c r="T279" s="207">
        <v>608</v>
      </c>
      <c r="U279" s="207">
        <v>692</v>
      </c>
      <c r="V279" s="207">
        <v>11569</v>
      </c>
      <c r="W279" s="207">
        <v>3330</v>
      </c>
      <c r="X279" s="207">
        <v>1861</v>
      </c>
      <c r="Y279" s="207">
        <v>833</v>
      </c>
      <c r="Z279" s="207">
        <v>44</v>
      </c>
      <c r="AA279" s="207">
        <v>0</v>
      </c>
      <c r="AB279" s="207">
        <v>20436</v>
      </c>
      <c r="AC279" s="207">
        <v>675</v>
      </c>
      <c r="AD279" s="207">
        <v>6024</v>
      </c>
      <c r="AE279" s="207">
        <v>1.508087821146713</v>
      </c>
      <c r="AF279" s="207">
        <v>36158580.70246127</v>
      </c>
      <c r="AG279" s="207">
        <v>30034891.35310682</v>
      </c>
      <c r="AH279" s="207">
        <v>8718786.836805286</v>
      </c>
      <c r="AI279" s="207">
        <v>2680414.148519281</v>
      </c>
      <c r="AJ279" s="207">
        <v>1383</v>
      </c>
      <c r="AK279" s="207">
        <v>9211</v>
      </c>
      <c r="AL279" s="207">
        <v>1.2975964958819628</v>
      </c>
      <c r="AM279" s="207">
        <v>675</v>
      </c>
      <c r="AN279" s="207">
        <v>0.0319073505081541</v>
      </c>
      <c r="AO279" s="207">
        <v>0.02696663904570351</v>
      </c>
      <c r="AP279" s="207">
        <v>0</v>
      </c>
      <c r="AQ279" s="207">
        <v>44</v>
      </c>
      <c r="AR279" s="207">
        <v>0</v>
      </c>
      <c r="AS279" s="207">
        <v>0</v>
      </c>
      <c r="AT279" s="207">
        <v>0</v>
      </c>
      <c r="AU279" s="207">
        <v>385.63</v>
      </c>
      <c r="AV279" s="207">
        <v>54.858283847211055</v>
      </c>
      <c r="AW279" s="207">
        <v>0.33059422658955473</v>
      </c>
      <c r="AX279" s="207">
        <v>786</v>
      </c>
      <c r="AY279" s="207">
        <v>5774</v>
      </c>
      <c r="AZ279" s="207">
        <v>0.1361274679598199</v>
      </c>
      <c r="BA279" s="207">
        <v>0.07494363187558539</v>
      </c>
      <c r="BB279" s="207">
        <v>0</v>
      </c>
      <c r="BC279" s="207">
        <v>8333</v>
      </c>
      <c r="BD279" s="207">
        <v>7428</v>
      </c>
      <c r="BE279" s="207">
        <v>1.121836295099623</v>
      </c>
      <c r="BF279" s="207">
        <v>0.7129294125085299</v>
      </c>
      <c r="BG279" s="207">
        <v>0</v>
      </c>
      <c r="BH279" s="207">
        <v>0</v>
      </c>
      <c r="BI279" s="207">
        <v>0</v>
      </c>
      <c r="BJ279" s="207">
        <v>-5077.2</v>
      </c>
      <c r="BK279" s="207">
        <v>-86735.49999999999</v>
      </c>
      <c r="BL279" s="207">
        <v>-5923.400000000001</v>
      </c>
      <c r="BM279" s="207">
        <v>-8250.45</v>
      </c>
      <c r="BN279" s="207">
        <v>-423.1</v>
      </c>
      <c r="BO279" s="207">
        <v>496889</v>
      </c>
      <c r="BP279" s="207">
        <v>-1500002.2118209417</v>
      </c>
      <c r="BQ279" s="207">
        <v>-1918546.95</v>
      </c>
      <c r="BR279" s="207">
        <v>-27351.97135592252</v>
      </c>
      <c r="BS279" s="207">
        <v>1653793</v>
      </c>
      <c r="BT279" s="207">
        <v>512148</v>
      </c>
      <c r="BU279" s="207">
        <v>1193037.444890245</v>
      </c>
      <c r="BV279" s="207">
        <v>56295.40430510851</v>
      </c>
      <c r="BW279" s="207">
        <v>159674.2018735389</v>
      </c>
      <c r="BX279" s="207">
        <v>682568.9884026675</v>
      </c>
      <c r="BY279" s="207">
        <v>970869.2276908858</v>
      </c>
      <c r="BZ279" s="207">
        <v>1570206.396035505</v>
      </c>
      <c r="CA279" s="207">
        <v>455376.49303466274</v>
      </c>
      <c r="CB279" s="207">
        <v>874237.1679686434</v>
      </c>
      <c r="CC279" s="207">
        <v>1903.9499999999998</v>
      </c>
      <c r="CD279" s="207">
        <v>208764.35289750661</v>
      </c>
      <c r="CE279" s="207">
        <v>914319.1</v>
      </c>
      <c r="CF279" s="207">
        <v>9722730.755742839</v>
      </c>
      <c r="CG279" s="207">
        <v>5053921.093921897</v>
      </c>
      <c r="CH279" s="207">
        <v>0</v>
      </c>
      <c r="CI279" s="207">
        <v>8119226.355431535</v>
      </c>
      <c r="CJ279" s="207">
        <v>-2426866</v>
      </c>
      <c r="CK279" s="207">
        <v>0</v>
      </c>
      <c r="CL279" s="207">
        <v>0</v>
      </c>
      <c r="CM279" s="207">
        <v>38399.78905999992</v>
      </c>
      <c r="CN279" s="207">
        <v>49504772.39436525</v>
      </c>
      <c r="CO279" s="207">
        <v>49543172.18342525</v>
      </c>
      <c r="CP279" s="207">
        <v>21468</v>
      </c>
    </row>
    <row r="280" spans="1:94" ht="9.75">
      <c r="A280" s="175">
        <v>918</v>
      </c>
      <c r="B280" s="175" t="s">
        <v>336</v>
      </c>
      <c r="C280" s="207">
        <v>2316</v>
      </c>
      <c r="D280" s="207">
        <v>8312696.34</v>
      </c>
      <c r="E280" s="207">
        <v>3032367.6616763505</v>
      </c>
      <c r="F280" s="207">
        <v>453162.6920428856</v>
      </c>
      <c r="G280" s="207">
        <v>11798226.693719236</v>
      </c>
      <c r="H280" s="207">
        <v>3524.51</v>
      </c>
      <c r="I280" s="207">
        <v>8162765.16</v>
      </c>
      <c r="J280" s="207">
        <v>3635461.533719236</v>
      </c>
      <c r="K280" s="207">
        <v>55001.57007363415</v>
      </c>
      <c r="L280" s="207">
        <v>922399.5254810671</v>
      </c>
      <c r="M280" s="207">
        <v>0</v>
      </c>
      <c r="N280" s="207">
        <v>4612862.629273938</v>
      </c>
      <c r="O280" s="207">
        <v>1502329.30207146</v>
      </c>
      <c r="P280" s="207">
        <v>6115191.931345398</v>
      </c>
      <c r="Q280" s="207">
        <v>118</v>
      </c>
      <c r="R280" s="207">
        <v>18</v>
      </c>
      <c r="S280" s="207">
        <v>135</v>
      </c>
      <c r="T280" s="207">
        <v>69</v>
      </c>
      <c r="U280" s="207">
        <v>69</v>
      </c>
      <c r="V280" s="207">
        <v>1269</v>
      </c>
      <c r="W280" s="207">
        <v>336</v>
      </c>
      <c r="X280" s="207">
        <v>190</v>
      </c>
      <c r="Y280" s="207">
        <v>112</v>
      </c>
      <c r="Z280" s="207">
        <v>15</v>
      </c>
      <c r="AA280" s="207">
        <v>0</v>
      </c>
      <c r="AB280" s="207">
        <v>2253</v>
      </c>
      <c r="AC280" s="207">
        <v>48</v>
      </c>
      <c r="AD280" s="207">
        <v>638</v>
      </c>
      <c r="AE280" s="207">
        <v>1.1552383262868342</v>
      </c>
      <c r="AF280" s="207">
        <v>3032367.6616763505</v>
      </c>
      <c r="AG280" s="207">
        <v>5911824.992806128</v>
      </c>
      <c r="AH280" s="207">
        <v>1908700.2766816267</v>
      </c>
      <c r="AI280" s="207">
        <v>536082.829703856</v>
      </c>
      <c r="AJ280" s="207">
        <v>91</v>
      </c>
      <c r="AK280" s="207">
        <v>1049</v>
      </c>
      <c r="AL280" s="207">
        <v>0.7497045910506354</v>
      </c>
      <c r="AM280" s="207">
        <v>48</v>
      </c>
      <c r="AN280" s="207">
        <v>0.02072538860103627</v>
      </c>
      <c r="AO280" s="207">
        <v>0.015784677138585678</v>
      </c>
      <c r="AP280" s="207">
        <v>0</v>
      </c>
      <c r="AQ280" s="207">
        <v>15</v>
      </c>
      <c r="AR280" s="207">
        <v>0</v>
      </c>
      <c r="AS280" s="207">
        <v>0</v>
      </c>
      <c r="AT280" s="207">
        <v>0</v>
      </c>
      <c r="AU280" s="207">
        <v>188.84</v>
      </c>
      <c r="AV280" s="207">
        <v>12.264350773141283</v>
      </c>
      <c r="AW280" s="207">
        <v>1.4787437391481137</v>
      </c>
      <c r="AX280" s="207">
        <v>113</v>
      </c>
      <c r="AY280" s="207">
        <v>661</v>
      </c>
      <c r="AZ280" s="207">
        <v>0.17095310136157338</v>
      </c>
      <c r="BA280" s="207">
        <v>0.10976926527733888</v>
      </c>
      <c r="BB280" s="207">
        <v>0</v>
      </c>
      <c r="BC280" s="207">
        <v>732</v>
      </c>
      <c r="BD280" s="207">
        <v>938</v>
      </c>
      <c r="BE280" s="207">
        <v>0.7803837953091685</v>
      </c>
      <c r="BF280" s="207">
        <v>0.37147691271807537</v>
      </c>
      <c r="BG280" s="207">
        <v>0</v>
      </c>
      <c r="BH280" s="207">
        <v>0</v>
      </c>
      <c r="BI280" s="207">
        <v>0</v>
      </c>
      <c r="BJ280" s="207">
        <v>-555.84</v>
      </c>
      <c r="BK280" s="207">
        <v>-9495.599999999999</v>
      </c>
      <c r="BL280" s="207">
        <v>-648.48</v>
      </c>
      <c r="BM280" s="207">
        <v>-903.24</v>
      </c>
      <c r="BN280" s="207">
        <v>-46.32</v>
      </c>
      <c r="BO280" s="207">
        <v>-27273</v>
      </c>
      <c r="BP280" s="207">
        <v>-6770.466015094891</v>
      </c>
      <c r="BQ280" s="207">
        <v>-210038.04</v>
      </c>
      <c r="BR280" s="207">
        <v>4954.212569518015</v>
      </c>
      <c r="BS280" s="207">
        <v>248075</v>
      </c>
      <c r="BT280" s="207">
        <v>85184</v>
      </c>
      <c r="BU280" s="207">
        <v>189146.4491313759</v>
      </c>
      <c r="BV280" s="207">
        <v>8965.572928964224</v>
      </c>
      <c r="BW280" s="207">
        <v>6698.7777193360425</v>
      </c>
      <c r="BX280" s="207">
        <v>69879.02413088459</v>
      </c>
      <c r="BY280" s="207">
        <v>152070.0449183733</v>
      </c>
      <c r="BZ280" s="207">
        <v>249805.59383009965</v>
      </c>
      <c r="CA280" s="207">
        <v>73752.9668179956</v>
      </c>
      <c r="CB280" s="207">
        <v>117200.99420505411</v>
      </c>
      <c r="CC280" s="207">
        <v>208.44</v>
      </c>
      <c r="CD280" s="207">
        <v>-2681.9647554392523</v>
      </c>
      <c r="CE280" s="207">
        <v>100097.52</v>
      </c>
      <c r="CF280" s="207">
        <v>1276083.6314961622</v>
      </c>
      <c r="CG280" s="207">
        <v>922399.5254810671</v>
      </c>
      <c r="CH280" s="207">
        <v>0</v>
      </c>
      <c r="CI280" s="207">
        <v>1502329.30207146</v>
      </c>
      <c r="CJ280" s="207">
        <v>-465214</v>
      </c>
      <c r="CK280" s="207">
        <v>0</v>
      </c>
      <c r="CL280" s="207">
        <v>0</v>
      </c>
      <c r="CM280" s="207">
        <v>-23760.612</v>
      </c>
      <c r="CN280" s="207">
        <v>5649977.931345398</v>
      </c>
      <c r="CO280" s="207">
        <v>5626217.319345398</v>
      </c>
      <c r="CP280" s="207">
        <v>2277</v>
      </c>
    </row>
    <row r="281" spans="1:94" ht="9.75">
      <c r="A281" s="175">
        <v>921</v>
      </c>
      <c r="B281" s="175" t="s">
        <v>337</v>
      </c>
      <c r="C281" s="207">
        <v>2094</v>
      </c>
      <c r="D281" s="207">
        <v>7792671.040000001</v>
      </c>
      <c r="E281" s="207">
        <v>4727623.202232221</v>
      </c>
      <c r="F281" s="207">
        <v>628753.4396878553</v>
      </c>
      <c r="G281" s="207">
        <v>13149047.681920078</v>
      </c>
      <c r="H281" s="207">
        <v>3524.51</v>
      </c>
      <c r="I281" s="207">
        <v>7380323.94</v>
      </c>
      <c r="J281" s="207">
        <v>5768723.741920077</v>
      </c>
      <c r="K281" s="207">
        <v>414479.557213421</v>
      </c>
      <c r="L281" s="207">
        <v>1058367.1239107342</v>
      </c>
      <c r="M281" s="207">
        <v>0</v>
      </c>
      <c r="N281" s="207">
        <v>7241570.423044233</v>
      </c>
      <c r="O281" s="207">
        <v>2270454.918873535</v>
      </c>
      <c r="P281" s="207">
        <v>9512025.341917768</v>
      </c>
      <c r="Q281" s="207">
        <v>68</v>
      </c>
      <c r="R281" s="207">
        <v>18</v>
      </c>
      <c r="S281" s="207">
        <v>96</v>
      </c>
      <c r="T281" s="207">
        <v>59</v>
      </c>
      <c r="U281" s="207">
        <v>44</v>
      </c>
      <c r="V281" s="207">
        <v>997</v>
      </c>
      <c r="W281" s="207">
        <v>433</v>
      </c>
      <c r="X281" s="207">
        <v>263</v>
      </c>
      <c r="Y281" s="207">
        <v>116</v>
      </c>
      <c r="Z281" s="207">
        <v>4</v>
      </c>
      <c r="AA281" s="207">
        <v>0</v>
      </c>
      <c r="AB281" s="207">
        <v>2054</v>
      </c>
      <c r="AC281" s="207">
        <v>36</v>
      </c>
      <c r="AD281" s="207">
        <v>812</v>
      </c>
      <c r="AE281" s="207">
        <v>1.9920235355912517</v>
      </c>
      <c r="AF281" s="207">
        <v>4727623.202232221</v>
      </c>
      <c r="AG281" s="207">
        <v>44434289.09009174</v>
      </c>
      <c r="AH281" s="207">
        <v>10162772.539999975</v>
      </c>
      <c r="AI281" s="207">
        <v>4887288.464133488</v>
      </c>
      <c r="AJ281" s="207">
        <v>102</v>
      </c>
      <c r="AK281" s="207">
        <v>822</v>
      </c>
      <c r="AL281" s="207">
        <v>1.072389666496028</v>
      </c>
      <c r="AM281" s="207">
        <v>36</v>
      </c>
      <c r="AN281" s="207">
        <v>0.017191977077363897</v>
      </c>
      <c r="AO281" s="207">
        <v>0.012251265614913305</v>
      </c>
      <c r="AP281" s="207">
        <v>0</v>
      </c>
      <c r="AQ281" s="207">
        <v>4</v>
      </c>
      <c r="AR281" s="207">
        <v>0</v>
      </c>
      <c r="AS281" s="207">
        <v>0</v>
      </c>
      <c r="AT281" s="207">
        <v>0</v>
      </c>
      <c r="AU281" s="207">
        <v>422.62</v>
      </c>
      <c r="AV281" s="207">
        <v>4.954805735649046</v>
      </c>
      <c r="AW281" s="207">
        <v>3.6602508530283133</v>
      </c>
      <c r="AX281" s="207">
        <v>85</v>
      </c>
      <c r="AY281" s="207">
        <v>503</v>
      </c>
      <c r="AZ281" s="207">
        <v>0.16898608349900596</v>
      </c>
      <c r="BA281" s="207">
        <v>0.10780224741477146</v>
      </c>
      <c r="BB281" s="207">
        <v>0.806583</v>
      </c>
      <c r="BC281" s="207">
        <v>589</v>
      </c>
      <c r="BD281" s="207">
        <v>695</v>
      </c>
      <c r="BE281" s="207">
        <v>0.8474820143884892</v>
      </c>
      <c r="BF281" s="207">
        <v>0.43857513179739616</v>
      </c>
      <c r="BG281" s="207">
        <v>0</v>
      </c>
      <c r="BH281" s="207">
        <v>0</v>
      </c>
      <c r="BI281" s="207">
        <v>0</v>
      </c>
      <c r="BJ281" s="207">
        <v>-502.56</v>
      </c>
      <c r="BK281" s="207">
        <v>-8585.4</v>
      </c>
      <c r="BL281" s="207">
        <v>-586.32</v>
      </c>
      <c r="BM281" s="207">
        <v>-816.6600000000001</v>
      </c>
      <c r="BN281" s="207">
        <v>-41.88</v>
      </c>
      <c r="BO281" s="207">
        <v>-66078</v>
      </c>
      <c r="BP281" s="207">
        <v>-50589.74936076539</v>
      </c>
      <c r="BQ281" s="207">
        <v>-189904.86</v>
      </c>
      <c r="BR281" s="207">
        <v>186918.53762630746</v>
      </c>
      <c r="BS281" s="207">
        <v>272212</v>
      </c>
      <c r="BT281" s="207">
        <v>80979</v>
      </c>
      <c r="BU281" s="207">
        <v>222117.1668681534</v>
      </c>
      <c r="BV281" s="207">
        <v>13393.678597821072</v>
      </c>
      <c r="BW281" s="207">
        <v>24441.04425130178</v>
      </c>
      <c r="BX281" s="207">
        <v>105814.7538803817</v>
      </c>
      <c r="BY281" s="207">
        <v>121929.47807716508</v>
      </c>
      <c r="BZ281" s="207">
        <v>201205.73777891742</v>
      </c>
      <c r="CA281" s="207">
        <v>64741.53751084909</v>
      </c>
      <c r="CB281" s="207">
        <v>110994.11100456932</v>
      </c>
      <c r="CC281" s="207">
        <v>188.45999999999998</v>
      </c>
      <c r="CD281" s="207">
        <v>-6743.0523239666945</v>
      </c>
      <c r="CE281" s="207">
        <v>90502.68</v>
      </c>
      <c r="CF281" s="207">
        <v>1422617.1332714995</v>
      </c>
      <c r="CG281" s="207">
        <v>1058367.1239107342</v>
      </c>
      <c r="CH281" s="207">
        <v>0</v>
      </c>
      <c r="CI281" s="207">
        <v>2270454.918873535</v>
      </c>
      <c r="CJ281" s="207">
        <v>118337</v>
      </c>
      <c r="CK281" s="207">
        <v>0</v>
      </c>
      <c r="CL281" s="207">
        <v>0</v>
      </c>
      <c r="CM281" s="207">
        <v>102170.6316</v>
      </c>
      <c r="CN281" s="207">
        <v>9630362.341917768</v>
      </c>
      <c r="CO281" s="207">
        <v>9732532.973517768</v>
      </c>
      <c r="CP281" s="207">
        <v>2148</v>
      </c>
    </row>
    <row r="282" spans="1:94" ht="9.75">
      <c r="A282" s="175">
        <v>922</v>
      </c>
      <c r="B282" s="175" t="s">
        <v>338</v>
      </c>
      <c r="C282" s="207">
        <v>4460</v>
      </c>
      <c r="D282" s="207">
        <v>16818818.32</v>
      </c>
      <c r="E282" s="207">
        <v>3834656.48811162</v>
      </c>
      <c r="F282" s="207">
        <v>661638.9587330401</v>
      </c>
      <c r="G282" s="207">
        <v>21315113.76684466</v>
      </c>
      <c r="H282" s="207">
        <v>3524.51</v>
      </c>
      <c r="I282" s="207">
        <v>15719314.600000001</v>
      </c>
      <c r="J282" s="207">
        <v>5595799.166844659</v>
      </c>
      <c r="K282" s="207">
        <v>11469.926265839424</v>
      </c>
      <c r="L282" s="207">
        <v>1128070.2836376368</v>
      </c>
      <c r="M282" s="207">
        <v>0</v>
      </c>
      <c r="N282" s="207">
        <v>6735339.376748135</v>
      </c>
      <c r="O282" s="207">
        <v>2091715.9061465685</v>
      </c>
      <c r="P282" s="207">
        <v>8827055.282894704</v>
      </c>
      <c r="Q282" s="207">
        <v>319</v>
      </c>
      <c r="R282" s="207">
        <v>63</v>
      </c>
      <c r="S282" s="207">
        <v>435</v>
      </c>
      <c r="T282" s="207">
        <v>239</v>
      </c>
      <c r="U282" s="207">
        <v>194</v>
      </c>
      <c r="V282" s="207">
        <v>2418</v>
      </c>
      <c r="W282" s="207">
        <v>443</v>
      </c>
      <c r="X282" s="207">
        <v>233</v>
      </c>
      <c r="Y282" s="207">
        <v>116</v>
      </c>
      <c r="Z282" s="207">
        <v>15</v>
      </c>
      <c r="AA282" s="207">
        <v>0</v>
      </c>
      <c r="AB282" s="207">
        <v>4368</v>
      </c>
      <c r="AC282" s="207">
        <v>77</v>
      </c>
      <c r="AD282" s="207">
        <v>792</v>
      </c>
      <c r="AE282" s="207">
        <v>0.7586123245270673</v>
      </c>
      <c r="AF282" s="207">
        <v>3834656.48811162</v>
      </c>
      <c r="AG282" s="207">
        <v>3531332.431756588</v>
      </c>
      <c r="AH282" s="207">
        <v>817516.8689720224</v>
      </c>
      <c r="AI282" s="207">
        <v>402062.12227789214</v>
      </c>
      <c r="AJ282" s="207">
        <v>191</v>
      </c>
      <c r="AK282" s="207">
        <v>2124</v>
      </c>
      <c r="AL282" s="207">
        <v>0.777146903821911</v>
      </c>
      <c r="AM282" s="207">
        <v>77</v>
      </c>
      <c r="AN282" s="207">
        <v>0.01726457399103139</v>
      </c>
      <c r="AO282" s="207">
        <v>0.012323862528580799</v>
      </c>
      <c r="AP282" s="207">
        <v>0</v>
      </c>
      <c r="AQ282" s="207">
        <v>15</v>
      </c>
      <c r="AR282" s="207">
        <v>0</v>
      </c>
      <c r="AS282" s="207">
        <v>0</v>
      </c>
      <c r="AT282" s="207">
        <v>0</v>
      </c>
      <c r="AU282" s="207">
        <v>300.98</v>
      </c>
      <c r="AV282" s="207">
        <v>14.818260349524884</v>
      </c>
      <c r="AW282" s="207">
        <v>1.2238840115317915</v>
      </c>
      <c r="AX282" s="207">
        <v>134</v>
      </c>
      <c r="AY282" s="207">
        <v>1569</v>
      </c>
      <c r="AZ282" s="207">
        <v>0.08540471637985979</v>
      </c>
      <c r="BA282" s="207">
        <v>0.024220880295625295</v>
      </c>
      <c r="BB282" s="207">
        <v>0</v>
      </c>
      <c r="BC282" s="207">
        <v>830</v>
      </c>
      <c r="BD282" s="207">
        <v>1848</v>
      </c>
      <c r="BE282" s="207">
        <v>0.4491341991341991</v>
      </c>
      <c r="BF282" s="207">
        <v>0.04022731654310602</v>
      </c>
      <c r="BG282" s="207">
        <v>0</v>
      </c>
      <c r="BH282" s="207">
        <v>0</v>
      </c>
      <c r="BI282" s="207">
        <v>0</v>
      </c>
      <c r="BJ282" s="207">
        <v>-1070.3999999999999</v>
      </c>
      <c r="BK282" s="207">
        <v>-18286</v>
      </c>
      <c r="BL282" s="207">
        <v>-1248.8000000000002</v>
      </c>
      <c r="BM282" s="207">
        <v>-1739.4</v>
      </c>
      <c r="BN282" s="207">
        <v>-89.2</v>
      </c>
      <c r="BO282" s="207">
        <v>7844</v>
      </c>
      <c r="BP282" s="207">
        <v>-75542.81672266773</v>
      </c>
      <c r="BQ282" s="207">
        <v>-404477.39999999997</v>
      </c>
      <c r="BR282" s="207">
        <v>-17408.788966968656</v>
      </c>
      <c r="BS282" s="207">
        <v>372593</v>
      </c>
      <c r="BT282" s="207">
        <v>113630</v>
      </c>
      <c r="BU282" s="207">
        <v>247453.05399288182</v>
      </c>
      <c r="BV282" s="207">
        <v>4791.849889109826</v>
      </c>
      <c r="BW282" s="207">
        <v>24729.80966282126</v>
      </c>
      <c r="BX282" s="207">
        <v>87174.84135904237</v>
      </c>
      <c r="BY282" s="207">
        <v>227204.16309526682</v>
      </c>
      <c r="BZ282" s="207">
        <v>331634.24889975326</v>
      </c>
      <c r="CA282" s="207">
        <v>90740.24528226476</v>
      </c>
      <c r="CB282" s="207">
        <v>175356.23759167743</v>
      </c>
      <c r="CC282" s="207">
        <v>401.4</v>
      </c>
      <c r="CD282" s="207">
        <v>12771.239554456046</v>
      </c>
      <c r="CE282" s="207">
        <v>192761.19999999998</v>
      </c>
      <c r="CF282" s="207">
        <v>1871676.5003603045</v>
      </c>
      <c r="CG282" s="207">
        <v>1128070.2836376368</v>
      </c>
      <c r="CH282" s="207">
        <v>0</v>
      </c>
      <c r="CI282" s="207">
        <v>2091715.9061465685</v>
      </c>
      <c r="CJ282" s="207">
        <v>-911816</v>
      </c>
      <c r="CK282" s="207">
        <v>0</v>
      </c>
      <c r="CL282" s="207">
        <v>0</v>
      </c>
      <c r="CM282" s="207">
        <v>-15536.80018000002</v>
      </c>
      <c r="CN282" s="207">
        <v>7915239.2828947045</v>
      </c>
      <c r="CO282" s="207">
        <v>7899702.482714705</v>
      </c>
      <c r="CP282" s="207">
        <v>4462</v>
      </c>
    </row>
    <row r="283" spans="1:94" ht="9.75">
      <c r="A283" s="175">
        <v>924</v>
      </c>
      <c r="B283" s="175" t="s">
        <v>339</v>
      </c>
      <c r="C283" s="207">
        <v>3216</v>
      </c>
      <c r="D283" s="207">
        <v>11758879.11</v>
      </c>
      <c r="E283" s="207">
        <v>4778874.974069331</v>
      </c>
      <c r="F283" s="207">
        <v>697144.7815979628</v>
      </c>
      <c r="G283" s="207">
        <v>17234898.865667295</v>
      </c>
      <c r="H283" s="207">
        <v>3524.51</v>
      </c>
      <c r="I283" s="207">
        <v>11334824.16</v>
      </c>
      <c r="J283" s="207">
        <v>5900074.705667295</v>
      </c>
      <c r="K283" s="207">
        <v>227544.38146834835</v>
      </c>
      <c r="L283" s="207">
        <v>1406161.5408555628</v>
      </c>
      <c r="M283" s="207">
        <v>0</v>
      </c>
      <c r="N283" s="207">
        <v>7533780.627991205</v>
      </c>
      <c r="O283" s="207">
        <v>2601858.934543182</v>
      </c>
      <c r="P283" s="207">
        <v>10135639.562534388</v>
      </c>
      <c r="Q283" s="207">
        <v>182</v>
      </c>
      <c r="R283" s="207">
        <v>36</v>
      </c>
      <c r="S283" s="207">
        <v>235</v>
      </c>
      <c r="T283" s="207">
        <v>104</v>
      </c>
      <c r="U283" s="207">
        <v>96</v>
      </c>
      <c r="V283" s="207">
        <v>1654</v>
      </c>
      <c r="W283" s="207">
        <v>481</v>
      </c>
      <c r="X283" s="207">
        <v>306</v>
      </c>
      <c r="Y283" s="207">
        <v>122</v>
      </c>
      <c r="Z283" s="207">
        <v>50</v>
      </c>
      <c r="AA283" s="207">
        <v>0</v>
      </c>
      <c r="AB283" s="207">
        <v>3101</v>
      </c>
      <c r="AC283" s="207">
        <v>65</v>
      </c>
      <c r="AD283" s="207">
        <v>909</v>
      </c>
      <c r="AE283" s="207">
        <v>1.3111063346165368</v>
      </c>
      <c r="AF283" s="207">
        <v>4778874.974069331</v>
      </c>
      <c r="AG283" s="207">
        <v>5537489.008772791</v>
      </c>
      <c r="AH283" s="207">
        <v>1926539.6819924335</v>
      </c>
      <c r="AI283" s="207">
        <v>500343.9743902656</v>
      </c>
      <c r="AJ283" s="207">
        <v>115</v>
      </c>
      <c r="AK283" s="207">
        <v>1455</v>
      </c>
      <c r="AL283" s="207">
        <v>0.6830604081522103</v>
      </c>
      <c r="AM283" s="207">
        <v>65</v>
      </c>
      <c r="AN283" s="207">
        <v>0.020211442786069653</v>
      </c>
      <c r="AO283" s="207">
        <v>0.015270731323619061</v>
      </c>
      <c r="AP283" s="207">
        <v>0</v>
      </c>
      <c r="AQ283" s="207">
        <v>50</v>
      </c>
      <c r="AR283" s="207">
        <v>0</v>
      </c>
      <c r="AS283" s="207">
        <v>0</v>
      </c>
      <c r="AT283" s="207">
        <v>0</v>
      </c>
      <c r="AU283" s="207">
        <v>502.13</v>
      </c>
      <c r="AV283" s="207">
        <v>6.4047159102224525</v>
      </c>
      <c r="AW283" s="207">
        <v>2.8316372146269164</v>
      </c>
      <c r="AX283" s="207">
        <v>94</v>
      </c>
      <c r="AY283" s="207">
        <v>858</v>
      </c>
      <c r="AZ283" s="207">
        <v>0.10955710955710955</v>
      </c>
      <c r="BA283" s="207">
        <v>0.04837327347287506</v>
      </c>
      <c r="BB283" s="207">
        <v>0.198866</v>
      </c>
      <c r="BC283" s="207">
        <v>1128</v>
      </c>
      <c r="BD283" s="207">
        <v>1311</v>
      </c>
      <c r="BE283" s="207">
        <v>0.8604118993135011</v>
      </c>
      <c r="BF283" s="207">
        <v>0.45150501672240806</v>
      </c>
      <c r="BG283" s="207">
        <v>0</v>
      </c>
      <c r="BH283" s="207">
        <v>0</v>
      </c>
      <c r="BI283" s="207">
        <v>0</v>
      </c>
      <c r="BJ283" s="207">
        <v>-771.8399999999999</v>
      </c>
      <c r="BK283" s="207">
        <v>-13185.599999999999</v>
      </c>
      <c r="BL283" s="207">
        <v>-900.4800000000001</v>
      </c>
      <c r="BM283" s="207">
        <v>-1254.24</v>
      </c>
      <c r="BN283" s="207">
        <v>-64.32000000000001</v>
      </c>
      <c r="BO283" s="207">
        <v>-2352</v>
      </c>
      <c r="BP283" s="207">
        <v>-34954.657267769755</v>
      </c>
      <c r="BQ283" s="207">
        <v>-291659.04</v>
      </c>
      <c r="BR283" s="207">
        <v>96922.8365674261</v>
      </c>
      <c r="BS283" s="207">
        <v>317973</v>
      </c>
      <c r="BT283" s="207">
        <v>108817</v>
      </c>
      <c r="BU283" s="207">
        <v>294373.6014908999</v>
      </c>
      <c r="BV283" s="207">
        <v>16327.450232480376</v>
      </c>
      <c r="BW283" s="207">
        <v>23733.81038234982</v>
      </c>
      <c r="BX283" s="207">
        <v>124141.35144134986</v>
      </c>
      <c r="BY283" s="207">
        <v>210098.3103882597</v>
      </c>
      <c r="BZ283" s="207">
        <v>352062.1337239467</v>
      </c>
      <c r="CA283" s="207">
        <v>99079.52733505667</v>
      </c>
      <c r="CB283" s="207">
        <v>163968.8276254966</v>
      </c>
      <c r="CC283" s="207">
        <v>289.44</v>
      </c>
      <c r="CD283" s="207">
        <v>-21589.971063933</v>
      </c>
      <c r="CE283" s="207">
        <v>138995.52</v>
      </c>
      <c r="CF283" s="207">
        <v>1922840.8381233325</v>
      </c>
      <c r="CG283" s="207">
        <v>1406161.5408555628</v>
      </c>
      <c r="CH283" s="207">
        <v>0</v>
      </c>
      <c r="CI283" s="207">
        <v>2601858.934543182</v>
      </c>
      <c r="CJ283" s="207">
        <v>-319445</v>
      </c>
      <c r="CK283" s="207">
        <v>0</v>
      </c>
      <c r="CL283" s="207">
        <v>0</v>
      </c>
      <c r="CM283" s="207">
        <v>14520.374000000003</v>
      </c>
      <c r="CN283" s="207">
        <v>9816194.562534388</v>
      </c>
      <c r="CO283" s="207">
        <v>9830714.936534388</v>
      </c>
      <c r="CP283" s="207">
        <v>3259</v>
      </c>
    </row>
    <row r="284" spans="1:94" ht="9.75">
      <c r="A284" s="175">
        <v>925</v>
      </c>
      <c r="B284" s="175" t="s">
        <v>340</v>
      </c>
      <c r="C284" s="207">
        <v>3685</v>
      </c>
      <c r="D284" s="207">
        <v>12739657.98</v>
      </c>
      <c r="E284" s="207">
        <v>6023773.2559291925</v>
      </c>
      <c r="F284" s="207">
        <v>1204872.1216442788</v>
      </c>
      <c r="G284" s="207">
        <v>19968303.35757347</v>
      </c>
      <c r="H284" s="207">
        <v>3524.51</v>
      </c>
      <c r="I284" s="207">
        <v>12987819.350000001</v>
      </c>
      <c r="J284" s="207">
        <v>6980484.007573467</v>
      </c>
      <c r="K284" s="207">
        <v>358954.3192281933</v>
      </c>
      <c r="L284" s="207">
        <v>1565041.9196596202</v>
      </c>
      <c r="M284" s="207">
        <v>0</v>
      </c>
      <c r="N284" s="207">
        <v>8904480.24646128</v>
      </c>
      <c r="O284" s="207">
        <v>1686094.1538906777</v>
      </c>
      <c r="P284" s="207">
        <v>10590574.400351956</v>
      </c>
      <c r="Q284" s="207">
        <v>205</v>
      </c>
      <c r="R284" s="207">
        <v>44</v>
      </c>
      <c r="S284" s="207">
        <v>225</v>
      </c>
      <c r="T284" s="207">
        <v>120</v>
      </c>
      <c r="U284" s="207">
        <v>126</v>
      </c>
      <c r="V284" s="207">
        <v>2030</v>
      </c>
      <c r="W284" s="207">
        <v>519</v>
      </c>
      <c r="X284" s="207">
        <v>287</v>
      </c>
      <c r="Y284" s="207">
        <v>129</v>
      </c>
      <c r="Z284" s="207">
        <v>3</v>
      </c>
      <c r="AA284" s="207">
        <v>0</v>
      </c>
      <c r="AB284" s="207">
        <v>3579</v>
      </c>
      <c r="AC284" s="207">
        <v>103</v>
      </c>
      <c r="AD284" s="207">
        <v>935</v>
      </c>
      <c r="AE284" s="207">
        <v>1.442312644772689</v>
      </c>
      <c r="AF284" s="207">
        <v>6023773.2559291925</v>
      </c>
      <c r="AG284" s="207">
        <v>5138941.248290135</v>
      </c>
      <c r="AH284" s="207">
        <v>963908.3446570154</v>
      </c>
      <c r="AI284" s="207">
        <v>402062.1222778921</v>
      </c>
      <c r="AJ284" s="207">
        <v>168</v>
      </c>
      <c r="AK284" s="207">
        <v>1689</v>
      </c>
      <c r="AL284" s="207">
        <v>0.85961482826847</v>
      </c>
      <c r="AM284" s="207">
        <v>103</v>
      </c>
      <c r="AN284" s="207">
        <v>0.02795115332428765</v>
      </c>
      <c r="AO284" s="207">
        <v>0.02301044186183706</v>
      </c>
      <c r="AP284" s="207">
        <v>0</v>
      </c>
      <c r="AQ284" s="207">
        <v>3</v>
      </c>
      <c r="AR284" s="207">
        <v>0</v>
      </c>
      <c r="AS284" s="207">
        <v>0</v>
      </c>
      <c r="AT284" s="207">
        <v>0</v>
      </c>
      <c r="AU284" s="207">
        <v>925.22</v>
      </c>
      <c r="AV284" s="207">
        <v>3.9828365145586995</v>
      </c>
      <c r="AW284" s="207">
        <v>4.55349644762119</v>
      </c>
      <c r="AX284" s="207">
        <v>153</v>
      </c>
      <c r="AY284" s="207">
        <v>1055</v>
      </c>
      <c r="AZ284" s="207">
        <v>0.14502369668246445</v>
      </c>
      <c r="BA284" s="207">
        <v>0.08383986059822995</v>
      </c>
      <c r="BB284" s="207">
        <v>0.186616</v>
      </c>
      <c r="BC284" s="207">
        <v>1970</v>
      </c>
      <c r="BD284" s="207">
        <v>1495</v>
      </c>
      <c r="BE284" s="207">
        <v>1.3177257525083612</v>
      </c>
      <c r="BF284" s="207">
        <v>0.9088188699172681</v>
      </c>
      <c r="BG284" s="207">
        <v>0</v>
      </c>
      <c r="BH284" s="207">
        <v>0</v>
      </c>
      <c r="BI284" s="207">
        <v>0</v>
      </c>
      <c r="BJ284" s="207">
        <v>-884.4</v>
      </c>
      <c r="BK284" s="207">
        <v>-15108.499999999998</v>
      </c>
      <c r="BL284" s="207">
        <v>-1031.8000000000002</v>
      </c>
      <c r="BM284" s="207">
        <v>-1437.15</v>
      </c>
      <c r="BN284" s="207">
        <v>-73.7</v>
      </c>
      <c r="BO284" s="207">
        <v>81614</v>
      </c>
      <c r="BP284" s="207">
        <v>-86048.74137813417</v>
      </c>
      <c r="BQ284" s="207">
        <v>-334192.64999999997</v>
      </c>
      <c r="BR284" s="207">
        <v>104347.35000475124</v>
      </c>
      <c r="BS284" s="207">
        <v>384706</v>
      </c>
      <c r="BT284" s="207">
        <v>121762</v>
      </c>
      <c r="BU284" s="207">
        <v>310293.88668585266</v>
      </c>
      <c r="BV284" s="207">
        <v>16652.30352597964</v>
      </c>
      <c r="BW284" s="207">
        <v>51151.930757798465</v>
      </c>
      <c r="BX284" s="207">
        <v>148958.9285510253</v>
      </c>
      <c r="BY284" s="207">
        <v>218427.78682115505</v>
      </c>
      <c r="BZ284" s="207">
        <v>366883.5387637215</v>
      </c>
      <c r="CA284" s="207">
        <v>109056.87091837132</v>
      </c>
      <c r="CB284" s="207">
        <v>190013.84041287802</v>
      </c>
      <c r="CC284" s="207">
        <v>331.65</v>
      </c>
      <c r="CD284" s="207">
        <v>-60398.975403779266</v>
      </c>
      <c r="CE284" s="207">
        <v>159265.69999999998</v>
      </c>
      <c r="CF284" s="207">
        <v>2203066.811037754</v>
      </c>
      <c r="CG284" s="207">
        <v>1565041.9196596202</v>
      </c>
      <c r="CH284" s="207">
        <v>0</v>
      </c>
      <c r="CI284" s="207">
        <v>1686094.1538906777</v>
      </c>
      <c r="CJ284" s="207">
        <v>-61218</v>
      </c>
      <c r="CK284" s="207">
        <v>0</v>
      </c>
      <c r="CL284" s="207">
        <v>0</v>
      </c>
      <c r="CM284" s="207">
        <v>47917.23419999999</v>
      </c>
      <c r="CN284" s="207">
        <v>10529356.400351956</v>
      </c>
      <c r="CO284" s="207">
        <v>10577273.634551957</v>
      </c>
      <c r="CP284" s="207">
        <v>3721</v>
      </c>
    </row>
    <row r="285" spans="1:94" ht="9.75">
      <c r="A285" s="175">
        <v>927</v>
      </c>
      <c r="B285" s="175" t="s">
        <v>341</v>
      </c>
      <c r="C285" s="207">
        <v>29054</v>
      </c>
      <c r="D285" s="207">
        <v>96356147.08</v>
      </c>
      <c r="E285" s="207">
        <v>24600947.698418166</v>
      </c>
      <c r="F285" s="207">
        <v>5706970.627986642</v>
      </c>
      <c r="G285" s="207">
        <v>126664065.40640481</v>
      </c>
      <c r="H285" s="207">
        <v>3524.51</v>
      </c>
      <c r="I285" s="207">
        <v>102401113.54</v>
      </c>
      <c r="J285" s="207">
        <v>24262951.8664048</v>
      </c>
      <c r="K285" s="207">
        <v>386197.5511577207</v>
      </c>
      <c r="L285" s="207">
        <v>4191999.580385795</v>
      </c>
      <c r="M285" s="207">
        <v>0</v>
      </c>
      <c r="N285" s="207">
        <v>28841148.99794832</v>
      </c>
      <c r="O285" s="207">
        <v>-1592623.9568455382</v>
      </c>
      <c r="P285" s="207">
        <v>27248525.041102782</v>
      </c>
      <c r="Q285" s="207">
        <v>1912</v>
      </c>
      <c r="R285" s="207">
        <v>392</v>
      </c>
      <c r="S285" s="207">
        <v>2511</v>
      </c>
      <c r="T285" s="207">
        <v>1164</v>
      </c>
      <c r="U285" s="207">
        <v>1136</v>
      </c>
      <c r="V285" s="207">
        <v>16734</v>
      </c>
      <c r="W285" s="207">
        <v>3332</v>
      </c>
      <c r="X285" s="207">
        <v>1387</v>
      </c>
      <c r="Y285" s="207">
        <v>486</v>
      </c>
      <c r="Z285" s="207">
        <v>483</v>
      </c>
      <c r="AA285" s="207">
        <v>1</v>
      </c>
      <c r="AB285" s="207">
        <v>27150</v>
      </c>
      <c r="AC285" s="207">
        <v>1420</v>
      </c>
      <c r="AD285" s="207">
        <v>5205</v>
      </c>
      <c r="AE285" s="207">
        <v>0.7470921836566097</v>
      </c>
      <c r="AF285" s="207">
        <v>24600947.698418166</v>
      </c>
      <c r="AG285" s="207">
        <v>5986652.3348367475</v>
      </c>
      <c r="AH285" s="207">
        <v>1563792.208275509</v>
      </c>
      <c r="AI285" s="207">
        <v>491409.260561868</v>
      </c>
      <c r="AJ285" s="207">
        <v>1239</v>
      </c>
      <c r="AK285" s="207">
        <v>14692</v>
      </c>
      <c r="AL285" s="207">
        <v>0.728810553802931</v>
      </c>
      <c r="AM285" s="207">
        <v>1420</v>
      </c>
      <c r="AN285" s="207">
        <v>0.048874509533971225</v>
      </c>
      <c r="AO285" s="207">
        <v>0.04393379807152063</v>
      </c>
      <c r="AP285" s="207">
        <v>0</v>
      </c>
      <c r="AQ285" s="207">
        <v>483</v>
      </c>
      <c r="AR285" s="207">
        <v>1</v>
      </c>
      <c r="AS285" s="207">
        <v>0</v>
      </c>
      <c r="AT285" s="207">
        <v>0</v>
      </c>
      <c r="AU285" s="207">
        <v>522.03</v>
      </c>
      <c r="AV285" s="207">
        <v>55.655805221922115</v>
      </c>
      <c r="AW285" s="207">
        <v>0.3258569676277997</v>
      </c>
      <c r="AX285" s="207">
        <v>1552</v>
      </c>
      <c r="AY285" s="207">
        <v>10121</v>
      </c>
      <c r="AZ285" s="207">
        <v>0.15334453117280902</v>
      </c>
      <c r="BA285" s="207">
        <v>0.09216069508857452</v>
      </c>
      <c r="BB285" s="207">
        <v>0</v>
      </c>
      <c r="BC285" s="207">
        <v>8086</v>
      </c>
      <c r="BD285" s="207">
        <v>13109</v>
      </c>
      <c r="BE285" s="207">
        <v>0.6168281333435045</v>
      </c>
      <c r="BF285" s="207">
        <v>0.2079212507524114</v>
      </c>
      <c r="BG285" s="207">
        <v>0</v>
      </c>
      <c r="BH285" s="207">
        <v>1</v>
      </c>
      <c r="BI285" s="207">
        <v>0</v>
      </c>
      <c r="BJ285" s="207">
        <v>-6972.96</v>
      </c>
      <c r="BK285" s="207">
        <v>-119121.4</v>
      </c>
      <c r="BL285" s="207">
        <v>-8135.120000000001</v>
      </c>
      <c r="BM285" s="207">
        <v>-11331.06</v>
      </c>
      <c r="BN285" s="207">
        <v>-581.08</v>
      </c>
      <c r="BO285" s="207">
        <v>-203115</v>
      </c>
      <c r="BP285" s="207">
        <v>-1761499.3538359348</v>
      </c>
      <c r="BQ285" s="207">
        <v>-2634907.26</v>
      </c>
      <c r="BR285" s="207">
        <v>94447.8555355221</v>
      </c>
      <c r="BS285" s="207">
        <v>2001890</v>
      </c>
      <c r="BT285" s="207">
        <v>666810</v>
      </c>
      <c r="BU285" s="207">
        <v>1272981.3959105464</v>
      </c>
      <c r="BV285" s="207">
        <v>-2804.2325492603327</v>
      </c>
      <c r="BW285" s="207">
        <v>-241738.51153038506</v>
      </c>
      <c r="BX285" s="207">
        <v>313170.3837544156</v>
      </c>
      <c r="BY285" s="207">
        <v>1325133.6142187256</v>
      </c>
      <c r="BZ285" s="207">
        <v>2049572.9673950246</v>
      </c>
      <c r="CA285" s="207">
        <v>606296.4218010124</v>
      </c>
      <c r="CB285" s="207">
        <v>1053102.977439796</v>
      </c>
      <c r="CC285" s="207">
        <v>2614.86</v>
      </c>
      <c r="CD285" s="207">
        <v>111420.98224633394</v>
      </c>
      <c r="CE285" s="207">
        <v>1255713.88</v>
      </c>
      <c r="CF285" s="207">
        <v>10305497.59422173</v>
      </c>
      <c r="CG285" s="207">
        <v>4191999.580385795</v>
      </c>
      <c r="CH285" s="207">
        <v>0</v>
      </c>
      <c r="CI285" s="207">
        <v>-1592623.9568455382</v>
      </c>
      <c r="CJ285" s="207">
        <v>-2835080</v>
      </c>
      <c r="CK285" s="207">
        <v>0</v>
      </c>
      <c r="CL285" s="207">
        <v>0</v>
      </c>
      <c r="CM285" s="207">
        <v>-114710.95460000017</v>
      </c>
      <c r="CN285" s="207">
        <v>24413445.041102782</v>
      </c>
      <c r="CO285" s="207">
        <v>24298734.086502783</v>
      </c>
      <c r="CP285" s="207">
        <v>28967</v>
      </c>
    </row>
    <row r="286" spans="1:94" ht="9.75">
      <c r="A286" s="175">
        <v>931</v>
      </c>
      <c r="B286" s="175" t="s">
        <v>342</v>
      </c>
      <c r="C286" s="207">
        <v>6411</v>
      </c>
      <c r="D286" s="207">
        <v>22862978.69</v>
      </c>
      <c r="E286" s="207">
        <v>11803359.833040524</v>
      </c>
      <c r="F286" s="207">
        <v>1837032.711755079</v>
      </c>
      <c r="G286" s="207">
        <v>36503371.23479561</v>
      </c>
      <c r="H286" s="207">
        <v>3524.51</v>
      </c>
      <c r="I286" s="207">
        <v>22595633.610000003</v>
      </c>
      <c r="J286" s="207">
        <v>13907737.624795604</v>
      </c>
      <c r="K286" s="207">
        <v>2364374.8788460363</v>
      </c>
      <c r="L286" s="207">
        <v>2413746.423276703</v>
      </c>
      <c r="M286" s="207">
        <v>0</v>
      </c>
      <c r="N286" s="207">
        <v>18685858.926918343</v>
      </c>
      <c r="O286" s="207">
        <v>5331446.3832236845</v>
      </c>
      <c r="P286" s="207">
        <v>24017305.310142025</v>
      </c>
      <c r="Q286" s="207">
        <v>270</v>
      </c>
      <c r="R286" s="207">
        <v>47</v>
      </c>
      <c r="S286" s="207">
        <v>304</v>
      </c>
      <c r="T286" s="207">
        <v>190</v>
      </c>
      <c r="U286" s="207">
        <v>196</v>
      </c>
      <c r="V286" s="207">
        <v>3253</v>
      </c>
      <c r="W286" s="207">
        <v>1132</v>
      </c>
      <c r="X286" s="207">
        <v>732</v>
      </c>
      <c r="Y286" s="207">
        <v>287</v>
      </c>
      <c r="Z286" s="207">
        <v>9</v>
      </c>
      <c r="AA286" s="207">
        <v>0</v>
      </c>
      <c r="AB286" s="207">
        <v>6325</v>
      </c>
      <c r="AC286" s="207">
        <v>77</v>
      </c>
      <c r="AD286" s="207">
        <v>2151</v>
      </c>
      <c r="AE286" s="207">
        <v>1.6244567662182403</v>
      </c>
      <c r="AF286" s="207">
        <v>11803359.833040524</v>
      </c>
      <c r="AG286" s="207">
        <v>6815199.916566819</v>
      </c>
      <c r="AH286" s="207">
        <v>2567790.8433923856</v>
      </c>
      <c r="AI286" s="207">
        <v>687972.9647866152</v>
      </c>
      <c r="AJ286" s="207">
        <v>371</v>
      </c>
      <c r="AK286" s="207">
        <v>2774</v>
      </c>
      <c r="AL286" s="207">
        <v>1.1558240294116293</v>
      </c>
      <c r="AM286" s="207">
        <v>77</v>
      </c>
      <c r="AN286" s="207">
        <v>0.012010606769614724</v>
      </c>
      <c r="AO286" s="207">
        <v>0.0070698953071641315</v>
      </c>
      <c r="AP286" s="207">
        <v>0</v>
      </c>
      <c r="AQ286" s="207">
        <v>9</v>
      </c>
      <c r="AR286" s="207">
        <v>0</v>
      </c>
      <c r="AS286" s="207">
        <v>0</v>
      </c>
      <c r="AT286" s="207">
        <v>0</v>
      </c>
      <c r="AU286" s="207">
        <v>1248.46</v>
      </c>
      <c r="AV286" s="207">
        <v>5.135126475818208</v>
      </c>
      <c r="AW286" s="207">
        <v>3.5317205926479778</v>
      </c>
      <c r="AX286" s="207">
        <v>234</v>
      </c>
      <c r="AY286" s="207">
        <v>1530</v>
      </c>
      <c r="AZ286" s="207">
        <v>0.15294117647058825</v>
      </c>
      <c r="BA286" s="207">
        <v>0.09175734038635375</v>
      </c>
      <c r="BB286" s="207">
        <v>1.046533</v>
      </c>
      <c r="BC286" s="207">
        <v>2213</v>
      </c>
      <c r="BD286" s="207">
        <v>2201</v>
      </c>
      <c r="BE286" s="207">
        <v>1.0054520672421627</v>
      </c>
      <c r="BF286" s="207">
        <v>0.5965451846510696</v>
      </c>
      <c r="BG286" s="207">
        <v>0</v>
      </c>
      <c r="BH286" s="207">
        <v>0</v>
      </c>
      <c r="BI286" s="207">
        <v>0</v>
      </c>
      <c r="BJ286" s="207">
        <v>-1538.6399999999999</v>
      </c>
      <c r="BK286" s="207">
        <v>-26285.1</v>
      </c>
      <c r="BL286" s="207">
        <v>-1795.0800000000002</v>
      </c>
      <c r="BM286" s="207">
        <v>-2500.29</v>
      </c>
      <c r="BN286" s="207">
        <v>-128.22</v>
      </c>
      <c r="BO286" s="207">
        <v>142346</v>
      </c>
      <c r="BP286" s="207">
        <v>-267049.2262884478</v>
      </c>
      <c r="BQ286" s="207">
        <v>-581413.59</v>
      </c>
      <c r="BR286" s="207">
        <v>-29884.02446912974</v>
      </c>
      <c r="BS286" s="207">
        <v>657403</v>
      </c>
      <c r="BT286" s="207">
        <v>205740</v>
      </c>
      <c r="BU286" s="207">
        <v>515917.62991671666</v>
      </c>
      <c r="BV286" s="207">
        <v>27738.114858243203</v>
      </c>
      <c r="BW286" s="207">
        <v>74511.39124093392</v>
      </c>
      <c r="BX286" s="207">
        <v>279038.2165761009</v>
      </c>
      <c r="BY286" s="207">
        <v>384013.8091867772</v>
      </c>
      <c r="BZ286" s="207">
        <v>605953.8217100743</v>
      </c>
      <c r="CA286" s="207">
        <v>181857.56105457552</v>
      </c>
      <c r="CB286" s="207">
        <v>335745.7182726537</v>
      </c>
      <c r="CC286" s="207">
        <v>576.99</v>
      </c>
      <c r="CD286" s="207">
        <v>-16942.308781795873</v>
      </c>
      <c r="CE286" s="207">
        <v>277083.42</v>
      </c>
      <c r="CF286" s="207">
        <v>3641099.3395651504</v>
      </c>
      <c r="CG286" s="207">
        <v>2413746.423276703</v>
      </c>
      <c r="CH286" s="207">
        <v>0</v>
      </c>
      <c r="CI286" s="207">
        <v>5331446.3832236845</v>
      </c>
      <c r="CJ286" s="207">
        <v>-191410</v>
      </c>
      <c r="CK286" s="207">
        <v>0</v>
      </c>
      <c r="CL286" s="207">
        <v>0</v>
      </c>
      <c r="CM286" s="207">
        <v>-71413.8394</v>
      </c>
      <c r="CN286" s="207">
        <v>23825895.310142025</v>
      </c>
      <c r="CO286" s="207">
        <v>23754481.470742024</v>
      </c>
      <c r="CP286" s="207">
        <v>6607</v>
      </c>
    </row>
    <row r="287" spans="1:94" ht="9.75">
      <c r="A287" s="175">
        <v>934</v>
      </c>
      <c r="B287" s="175" t="s">
        <v>343</v>
      </c>
      <c r="C287" s="207">
        <v>2974</v>
      </c>
      <c r="D287" s="207">
        <v>10964383.71</v>
      </c>
      <c r="E287" s="207">
        <v>4335279.665986141</v>
      </c>
      <c r="F287" s="207">
        <v>453957.37611909135</v>
      </c>
      <c r="G287" s="207">
        <v>15753620.752105234</v>
      </c>
      <c r="H287" s="207">
        <v>3524.51</v>
      </c>
      <c r="I287" s="207">
        <v>10481892.74</v>
      </c>
      <c r="J287" s="207">
        <v>5271728.012105234</v>
      </c>
      <c r="K287" s="207">
        <v>85565.94029650564</v>
      </c>
      <c r="L287" s="207">
        <v>1023353.1063234403</v>
      </c>
      <c r="M287" s="207">
        <v>0</v>
      </c>
      <c r="N287" s="207">
        <v>6380647.05872518</v>
      </c>
      <c r="O287" s="207">
        <v>2243358.8476149547</v>
      </c>
      <c r="P287" s="207">
        <v>8624005.906340135</v>
      </c>
      <c r="Q287" s="207">
        <v>144</v>
      </c>
      <c r="R287" s="207">
        <v>28</v>
      </c>
      <c r="S287" s="207">
        <v>214</v>
      </c>
      <c r="T287" s="207">
        <v>114</v>
      </c>
      <c r="U287" s="207">
        <v>103</v>
      </c>
      <c r="V287" s="207">
        <v>1561</v>
      </c>
      <c r="W287" s="207">
        <v>437</v>
      </c>
      <c r="X287" s="207">
        <v>246</v>
      </c>
      <c r="Y287" s="207">
        <v>127</v>
      </c>
      <c r="Z287" s="207">
        <v>4</v>
      </c>
      <c r="AA287" s="207">
        <v>0</v>
      </c>
      <c r="AB287" s="207">
        <v>2946</v>
      </c>
      <c r="AC287" s="207">
        <v>24</v>
      </c>
      <c r="AD287" s="207">
        <v>810</v>
      </c>
      <c r="AE287" s="207">
        <v>1.2861879657450166</v>
      </c>
      <c r="AF287" s="207">
        <v>4335279.665986141</v>
      </c>
      <c r="AG287" s="207">
        <v>31579529.623484097</v>
      </c>
      <c r="AH287" s="207">
        <v>5888977.309335954</v>
      </c>
      <c r="AI287" s="207">
        <v>3404125.9686194863</v>
      </c>
      <c r="AJ287" s="207">
        <v>105</v>
      </c>
      <c r="AK287" s="207">
        <v>1307</v>
      </c>
      <c r="AL287" s="207">
        <v>0.6942853122348154</v>
      </c>
      <c r="AM287" s="207">
        <v>24</v>
      </c>
      <c r="AN287" s="207">
        <v>0.008069939475453935</v>
      </c>
      <c r="AO287" s="207">
        <v>0.003129228013003342</v>
      </c>
      <c r="AP287" s="207">
        <v>0</v>
      </c>
      <c r="AQ287" s="207">
        <v>4</v>
      </c>
      <c r="AR287" s="207">
        <v>0</v>
      </c>
      <c r="AS287" s="207">
        <v>0</v>
      </c>
      <c r="AT287" s="207">
        <v>0</v>
      </c>
      <c r="AU287" s="207">
        <v>287.32</v>
      </c>
      <c r="AV287" s="207">
        <v>10.350828344702771</v>
      </c>
      <c r="AW287" s="207">
        <v>1.7521140643570183</v>
      </c>
      <c r="AX287" s="207">
        <v>85</v>
      </c>
      <c r="AY287" s="207">
        <v>786</v>
      </c>
      <c r="AZ287" s="207">
        <v>0.10814249363867684</v>
      </c>
      <c r="BA287" s="207">
        <v>0.04695865755444235</v>
      </c>
      <c r="BB287" s="207">
        <v>0</v>
      </c>
      <c r="BC287" s="207">
        <v>950</v>
      </c>
      <c r="BD287" s="207">
        <v>1106</v>
      </c>
      <c r="BE287" s="207">
        <v>0.8589511754068716</v>
      </c>
      <c r="BF287" s="207">
        <v>0.4500442928157785</v>
      </c>
      <c r="BG287" s="207">
        <v>0</v>
      </c>
      <c r="BH287" s="207">
        <v>0</v>
      </c>
      <c r="BI287" s="207">
        <v>0</v>
      </c>
      <c r="BJ287" s="207">
        <v>-713.76</v>
      </c>
      <c r="BK287" s="207">
        <v>-12193.4</v>
      </c>
      <c r="BL287" s="207">
        <v>-832.72</v>
      </c>
      <c r="BM287" s="207">
        <v>-1159.8600000000001</v>
      </c>
      <c r="BN287" s="207">
        <v>-59.480000000000004</v>
      </c>
      <c r="BO287" s="207">
        <v>-23874</v>
      </c>
      <c r="BP287" s="207">
        <v>-67783.76013667646</v>
      </c>
      <c r="BQ287" s="207">
        <v>-269712.06</v>
      </c>
      <c r="BR287" s="207">
        <v>62305.717786749825</v>
      </c>
      <c r="BS287" s="207">
        <v>269532</v>
      </c>
      <c r="BT287" s="207">
        <v>84479</v>
      </c>
      <c r="BU287" s="207">
        <v>192990.46542252702</v>
      </c>
      <c r="BV287" s="207">
        <v>11427.029083337118</v>
      </c>
      <c r="BW287" s="207">
        <v>35994.07553765644</v>
      </c>
      <c r="BX287" s="207">
        <v>114257.76571970747</v>
      </c>
      <c r="BY287" s="207">
        <v>156334.3171932257</v>
      </c>
      <c r="BZ287" s="207">
        <v>279271.3493261858</v>
      </c>
      <c r="CA287" s="207">
        <v>77610.9547093963</v>
      </c>
      <c r="CB287" s="207">
        <v>141793.0574650268</v>
      </c>
      <c r="CC287" s="207">
        <v>267.65999999999997</v>
      </c>
      <c r="CD287" s="207">
        <v>5686.654216304178</v>
      </c>
      <c r="CE287" s="207">
        <v>128536.28</v>
      </c>
      <c r="CF287" s="207">
        <v>1536612.3264601168</v>
      </c>
      <c r="CG287" s="207">
        <v>1023353.1063234403</v>
      </c>
      <c r="CH287" s="207">
        <v>0</v>
      </c>
      <c r="CI287" s="207">
        <v>2243358.8476149547</v>
      </c>
      <c r="CJ287" s="207">
        <v>-736560</v>
      </c>
      <c r="CK287" s="207">
        <v>0</v>
      </c>
      <c r="CL287" s="207">
        <v>0</v>
      </c>
      <c r="CM287" s="207">
        <v>-2743558.6656</v>
      </c>
      <c r="CN287" s="207">
        <v>7887445.906340135</v>
      </c>
      <c r="CO287" s="207">
        <v>5143887.240740135</v>
      </c>
      <c r="CP287" s="207">
        <v>3025</v>
      </c>
    </row>
    <row r="288" spans="1:94" ht="9.75">
      <c r="A288" s="175">
        <v>935</v>
      </c>
      <c r="B288" s="175" t="s">
        <v>344</v>
      </c>
      <c r="C288" s="207">
        <v>3207</v>
      </c>
      <c r="D288" s="207">
        <v>11499217.49</v>
      </c>
      <c r="E288" s="207">
        <v>5006182.1476799715</v>
      </c>
      <c r="F288" s="207">
        <v>1036160.3688653741</v>
      </c>
      <c r="G288" s="207">
        <v>17541560.006545346</v>
      </c>
      <c r="H288" s="207">
        <v>3524.51</v>
      </c>
      <c r="I288" s="207">
        <v>11303103.57</v>
      </c>
      <c r="J288" s="207">
        <v>6238456.436545346</v>
      </c>
      <c r="K288" s="207">
        <v>157863.22839962505</v>
      </c>
      <c r="L288" s="207">
        <v>1136785.0562568163</v>
      </c>
      <c r="M288" s="207">
        <v>0</v>
      </c>
      <c r="N288" s="207">
        <v>7533104.721201787</v>
      </c>
      <c r="O288" s="207">
        <v>2273799.37983875</v>
      </c>
      <c r="P288" s="207">
        <v>9806904.101040537</v>
      </c>
      <c r="Q288" s="207">
        <v>124</v>
      </c>
      <c r="R288" s="207">
        <v>26</v>
      </c>
      <c r="S288" s="207">
        <v>184</v>
      </c>
      <c r="T288" s="207">
        <v>125</v>
      </c>
      <c r="U288" s="207">
        <v>76</v>
      </c>
      <c r="V288" s="207">
        <v>1700</v>
      </c>
      <c r="W288" s="207">
        <v>544</v>
      </c>
      <c r="X288" s="207">
        <v>282</v>
      </c>
      <c r="Y288" s="207">
        <v>146</v>
      </c>
      <c r="Z288" s="207">
        <v>14</v>
      </c>
      <c r="AA288" s="207">
        <v>0</v>
      </c>
      <c r="AB288" s="207">
        <v>3000</v>
      </c>
      <c r="AC288" s="207">
        <v>193</v>
      </c>
      <c r="AD288" s="207">
        <v>972</v>
      </c>
      <c r="AE288" s="207">
        <v>1.3773235536794406</v>
      </c>
      <c r="AF288" s="207">
        <v>5006182.1476799715</v>
      </c>
      <c r="AG288" s="207">
        <v>13653980.57562887</v>
      </c>
      <c r="AH288" s="207">
        <v>4712273.108270857</v>
      </c>
      <c r="AI288" s="207">
        <v>1384880.6434016284</v>
      </c>
      <c r="AJ288" s="207">
        <v>190</v>
      </c>
      <c r="AK288" s="207">
        <v>1461</v>
      </c>
      <c r="AL288" s="207">
        <v>1.1238999484193586</v>
      </c>
      <c r="AM288" s="207">
        <v>193</v>
      </c>
      <c r="AN288" s="207">
        <v>0.060180854381041475</v>
      </c>
      <c r="AO288" s="207">
        <v>0.05524014291859088</v>
      </c>
      <c r="AP288" s="207">
        <v>0</v>
      </c>
      <c r="AQ288" s="207">
        <v>14</v>
      </c>
      <c r="AR288" s="207">
        <v>0</v>
      </c>
      <c r="AS288" s="207">
        <v>0</v>
      </c>
      <c r="AT288" s="207">
        <v>0</v>
      </c>
      <c r="AU288" s="207">
        <v>371.99</v>
      </c>
      <c r="AV288" s="207">
        <v>8.62119949461007</v>
      </c>
      <c r="AW288" s="207">
        <v>2.103632091084011</v>
      </c>
      <c r="AX288" s="207">
        <v>147</v>
      </c>
      <c r="AY288" s="207">
        <v>926</v>
      </c>
      <c r="AZ288" s="207">
        <v>0.1587473002159827</v>
      </c>
      <c r="BA288" s="207">
        <v>0.09756346413174821</v>
      </c>
      <c r="BB288" s="207">
        <v>0.050733</v>
      </c>
      <c r="BC288" s="207">
        <v>1208</v>
      </c>
      <c r="BD288" s="207">
        <v>1194</v>
      </c>
      <c r="BE288" s="207">
        <v>1.0117252931323284</v>
      </c>
      <c r="BF288" s="207">
        <v>0.6028184105412353</v>
      </c>
      <c r="BG288" s="207">
        <v>0</v>
      </c>
      <c r="BH288" s="207">
        <v>0</v>
      </c>
      <c r="BI288" s="207">
        <v>0</v>
      </c>
      <c r="BJ288" s="207">
        <v>-769.68</v>
      </c>
      <c r="BK288" s="207">
        <v>-13148.699999999999</v>
      </c>
      <c r="BL288" s="207">
        <v>-897.96</v>
      </c>
      <c r="BM288" s="207">
        <v>-1250.73</v>
      </c>
      <c r="BN288" s="207">
        <v>-64.14</v>
      </c>
      <c r="BO288" s="207">
        <v>-36833</v>
      </c>
      <c r="BP288" s="207">
        <v>-38788.47135962841</v>
      </c>
      <c r="BQ288" s="207">
        <v>-290842.83</v>
      </c>
      <c r="BR288" s="207">
        <v>62997.892044780776</v>
      </c>
      <c r="BS288" s="207">
        <v>336888</v>
      </c>
      <c r="BT288" s="207">
        <v>99871</v>
      </c>
      <c r="BU288" s="207">
        <v>256904.2450974227</v>
      </c>
      <c r="BV288" s="207">
        <v>13719.698860165583</v>
      </c>
      <c r="BW288" s="207">
        <v>-12878.79392371824</v>
      </c>
      <c r="BX288" s="207">
        <v>104242.25499510784</v>
      </c>
      <c r="BY288" s="207">
        <v>189902.3291538283</v>
      </c>
      <c r="BZ288" s="207">
        <v>282218.58446444175</v>
      </c>
      <c r="CA288" s="207">
        <v>89919.43398747403</v>
      </c>
      <c r="CB288" s="207">
        <v>149458.78541659366</v>
      </c>
      <c r="CC288" s="207">
        <v>288.63</v>
      </c>
      <c r="CD288" s="207">
        <v>-19355.542479651456</v>
      </c>
      <c r="CE288" s="207">
        <v>138606.54</v>
      </c>
      <c r="CF288" s="207">
        <v>1655950.0576164448</v>
      </c>
      <c r="CG288" s="207">
        <v>1136785.0562568163</v>
      </c>
      <c r="CH288" s="207">
        <v>0</v>
      </c>
      <c r="CI288" s="207">
        <v>2273799.37983875</v>
      </c>
      <c r="CJ288" s="207">
        <v>-246767</v>
      </c>
      <c r="CK288" s="207">
        <v>0</v>
      </c>
      <c r="CL288" s="207">
        <v>0</v>
      </c>
      <c r="CM288" s="207">
        <v>1335478.3978</v>
      </c>
      <c r="CN288" s="207">
        <v>9560137.101040537</v>
      </c>
      <c r="CO288" s="207">
        <v>10895615.498840537</v>
      </c>
      <c r="CP288" s="207">
        <v>3267</v>
      </c>
    </row>
    <row r="289" spans="1:94" ht="9.75">
      <c r="A289" s="175">
        <v>936</v>
      </c>
      <c r="B289" s="175" t="s">
        <v>345</v>
      </c>
      <c r="C289" s="207">
        <v>6844</v>
      </c>
      <c r="D289" s="207">
        <v>25475530.09</v>
      </c>
      <c r="E289" s="207">
        <v>11436161.462554025</v>
      </c>
      <c r="F289" s="207">
        <v>1765005.7272338807</v>
      </c>
      <c r="G289" s="207">
        <v>38676697.279787906</v>
      </c>
      <c r="H289" s="207">
        <v>3524.51</v>
      </c>
      <c r="I289" s="207">
        <v>24121746.44</v>
      </c>
      <c r="J289" s="207">
        <v>14554950.839787904</v>
      </c>
      <c r="K289" s="207">
        <v>886064.8513012568</v>
      </c>
      <c r="L289" s="207">
        <v>2411707.57991392</v>
      </c>
      <c r="M289" s="207">
        <v>0</v>
      </c>
      <c r="N289" s="207">
        <v>17852723.271003082</v>
      </c>
      <c r="O289" s="207">
        <v>5012167.77961273</v>
      </c>
      <c r="P289" s="207">
        <v>22864891.050615814</v>
      </c>
      <c r="Q289" s="207">
        <v>300</v>
      </c>
      <c r="R289" s="207">
        <v>59</v>
      </c>
      <c r="S289" s="207">
        <v>369</v>
      </c>
      <c r="T289" s="207">
        <v>205</v>
      </c>
      <c r="U289" s="207">
        <v>200</v>
      </c>
      <c r="V289" s="207">
        <v>3374</v>
      </c>
      <c r="W289" s="207">
        <v>1274</v>
      </c>
      <c r="X289" s="207">
        <v>705</v>
      </c>
      <c r="Y289" s="207">
        <v>358</v>
      </c>
      <c r="Z289" s="207">
        <v>10</v>
      </c>
      <c r="AA289" s="207">
        <v>0</v>
      </c>
      <c r="AB289" s="207">
        <v>6681</v>
      </c>
      <c r="AC289" s="207">
        <v>153</v>
      </c>
      <c r="AD289" s="207">
        <v>2337</v>
      </c>
      <c r="AE289" s="207">
        <v>1.4743431104614948</v>
      </c>
      <c r="AF289" s="207">
        <v>11436161.462554025</v>
      </c>
      <c r="AG289" s="207">
        <v>5790301.138172291</v>
      </c>
      <c r="AH289" s="207">
        <v>1400838.334601307</v>
      </c>
      <c r="AI289" s="207">
        <v>571821.6850174465</v>
      </c>
      <c r="AJ289" s="207">
        <v>275</v>
      </c>
      <c r="AK289" s="207">
        <v>2816</v>
      </c>
      <c r="AL289" s="207">
        <v>0.843964753618772</v>
      </c>
      <c r="AM289" s="207">
        <v>153</v>
      </c>
      <c r="AN289" s="207">
        <v>0.022355347749853885</v>
      </c>
      <c r="AO289" s="207">
        <v>0.017414636287403293</v>
      </c>
      <c r="AP289" s="207">
        <v>0</v>
      </c>
      <c r="AQ289" s="207">
        <v>10</v>
      </c>
      <c r="AR289" s="207">
        <v>0</v>
      </c>
      <c r="AS289" s="207">
        <v>0</v>
      </c>
      <c r="AT289" s="207">
        <v>0</v>
      </c>
      <c r="AU289" s="207">
        <v>1162.55</v>
      </c>
      <c r="AV289" s="207">
        <v>5.8870586211345755</v>
      </c>
      <c r="AW289" s="207">
        <v>3.0806270308556565</v>
      </c>
      <c r="AX289" s="207">
        <v>250</v>
      </c>
      <c r="AY289" s="207">
        <v>1740</v>
      </c>
      <c r="AZ289" s="207">
        <v>0.14367816091954022</v>
      </c>
      <c r="BA289" s="207">
        <v>0.08249432483530572</v>
      </c>
      <c r="BB289" s="207">
        <v>0.447482</v>
      </c>
      <c r="BC289" s="207">
        <v>2235</v>
      </c>
      <c r="BD289" s="207">
        <v>2329</v>
      </c>
      <c r="BE289" s="207">
        <v>0.9596393301846285</v>
      </c>
      <c r="BF289" s="207">
        <v>0.5507324475935355</v>
      </c>
      <c r="BG289" s="207">
        <v>0</v>
      </c>
      <c r="BH289" s="207">
        <v>0</v>
      </c>
      <c r="BI289" s="207">
        <v>0</v>
      </c>
      <c r="BJ289" s="207">
        <v>-1642.56</v>
      </c>
      <c r="BK289" s="207">
        <v>-28060.399999999998</v>
      </c>
      <c r="BL289" s="207">
        <v>-1916.3200000000002</v>
      </c>
      <c r="BM289" s="207">
        <v>-2669.1600000000003</v>
      </c>
      <c r="BN289" s="207">
        <v>-136.88</v>
      </c>
      <c r="BO289" s="207">
        <v>-107812</v>
      </c>
      <c r="BP289" s="207">
        <v>-202646.54454220878</v>
      </c>
      <c r="BQ289" s="207">
        <v>-620682.36</v>
      </c>
      <c r="BR289" s="207">
        <v>46812.20847382769</v>
      </c>
      <c r="BS289" s="207">
        <v>704678</v>
      </c>
      <c r="BT289" s="207">
        <v>221566</v>
      </c>
      <c r="BU289" s="207">
        <v>572270.7166943942</v>
      </c>
      <c r="BV289" s="207">
        <v>29515.069544133108</v>
      </c>
      <c r="BW289" s="207">
        <v>92555.46064005131</v>
      </c>
      <c r="BX289" s="207">
        <v>283008.96376369183</v>
      </c>
      <c r="BY289" s="207">
        <v>392803.3649215729</v>
      </c>
      <c r="BZ289" s="207">
        <v>629761.4540615771</v>
      </c>
      <c r="CA289" s="207">
        <v>183218.23571596757</v>
      </c>
      <c r="CB289" s="207">
        <v>336766.08582241257</v>
      </c>
      <c r="CC289" s="207">
        <v>615.9599999999999</v>
      </c>
      <c r="CD289" s="207">
        <v>-42040.31518150049</v>
      </c>
      <c r="CE289" s="207">
        <v>295797.68</v>
      </c>
      <c r="CF289" s="207">
        <v>3639516.8844561283</v>
      </c>
      <c r="CG289" s="207">
        <v>2411707.57991392</v>
      </c>
      <c r="CH289" s="207">
        <v>0</v>
      </c>
      <c r="CI289" s="207">
        <v>5012167.77961273</v>
      </c>
      <c r="CJ289" s="207">
        <v>258311</v>
      </c>
      <c r="CK289" s="207">
        <v>0</v>
      </c>
      <c r="CL289" s="207">
        <v>0</v>
      </c>
      <c r="CM289" s="207">
        <v>78515.62232000001</v>
      </c>
      <c r="CN289" s="207">
        <v>23123202.050615814</v>
      </c>
      <c r="CO289" s="207">
        <v>23201717.672935814</v>
      </c>
      <c r="CP289" s="207">
        <v>6917</v>
      </c>
    </row>
    <row r="290" spans="1:94" ht="9.75">
      <c r="A290" s="175">
        <v>946</v>
      </c>
      <c r="B290" s="175" t="s">
        <v>346</v>
      </c>
      <c r="C290" s="207">
        <v>6616</v>
      </c>
      <c r="D290" s="207">
        <v>24633615.74</v>
      </c>
      <c r="E290" s="207">
        <v>6539059.446930785</v>
      </c>
      <c r="F290" s="207">
        <v>3470402.6148746107</v>
      </c>
      <c r="G290" s="207">
        <v>34643077.80180539</v>
      </c>
      <c r="H290" s="207">
        <v>3524.51</v>
      </c>
      <c r="I290" s="207">
        <v>23318158.16</v>
      </c>
      <c r="J290" s="207">
        <v>11324919.641805392</v>
      </c>
      <c r="K290" s="207">
        <v>192055.13254749848</v>
      </c>
      <c r="L290" s="207">
        <v>2781757.22831044</v>
      </c>
      <c r="M290" s="207">
        <v>0</v>
      </c>
      <c r="N290" s="207">
        <v>14298732.00266333</v>
      </c>
      <c r="O290" s="207">
        <v>4154767.5049202465</v>
      </c>
      <c r="P290" s="207">
        <v>18453499.507583577</v>
      </c>
      <c r="Q290" s="207">
        <v>476</v>
      </c>
      <c r="R290" s="207">
        <v>80</v>
      </c>
      <c r="S290" s="207">
        <v>463</v>
      </c>
      <c r="T290" s="207">
        <v>214</v>
      </c>
      <c r="U290" s="207">
        <v>221</v>
      </c>
      <c r="V290" s="207">
        <v>3500</v>
      </c>
      <c r="W290" s="207">
        <v>881</v>
      </c>
      <c r="X290" s="207">
        <v>509</v>
      </c>
      <c r="Y290" s="207">
        <v>272</v>
      </c>
      <c r="Z290" s="207">
        <v>5363</v>
      </c>
      <c r="AA290" s="207">
        <v>0</v>
      </c>
      <c r="AB290" s="207">
        <v>824</v>
      </c>
      <c r="AC290" s="207">
        <v>429</v>
      </c>
      <c r="AD290" s="207">
        <v>1662</v>
      </c>
      <c r="AE290" s="207">
        <v>0.8720634330281464</v>
      </c>
      <c r="AF290" s="207">
        <v>6539059.446930785</v>
      </c>
      <c r="AG290" s="207">
        <v>6189579.569549169</v>
      </c>
      <c r="AH290" s="207">
        <v>1644708.035834938</v>
      </c>
      <c r="AI290" s="207">
        <v>607560.5403310369</v>
      </c>
      <c r="AJ290" s="207">
        <v>203</v>
      </c>
      <c r="AK290" s="207">
        <v>3154</v>
      </c>
      <c r="AL290" s="207">
        <v>0.5562353876481971</v>
      </c>
      <c r="AM290" s="207">
        <v>429</v>
      </c>
      <c r="AN290" s="207">
        <v>0.0648428053204353</v>
      </c>
      <c r="AO290" s="207">
        <v>0.059902093857984715</v>
      </c>
      <c r="AP290" s="207">
        <v>3</v>
      </c>
      <c r="AQ290" s="207">
        <v>5363</v>
      </c>
      <c r="AR290" s="207">
        <v>0</v>
      </c>
      <c r="AS290" s="207">
        <v>3</v>
      </c>
      <c r="AT290" s="207">
        <v>572</v>
      </c>
      <c r="AU290" s="207">
        <v>782.12</v>
      </c>
      <c r="AV290" s="207">
        <v>8.459059990794252</v>
      </c>
      <c r="AW290" s="207">
        <v>2.1439535764299693</v>
      </c>
      <c r="AX290" s="207">
        <v>266</v>
      </c>
      <c r="AY290" s="207">
        <v>1867</v>
      </c>
      <c r="AZ290" s="207">
        <v>0.1424745581146224</v>
      </c>
      <c r="BA290" s="207">
        <v>0.0812907220303879</v>
      </c>
      <c r="BB290" s="207">
        <v>0</v>
      </c>
      <c r="BC290" s="207">
        <v>2450</v>
      </c>
      <c r="BD290" s="207">
        <v>2839</v>
      </c>
      <c r="BE290" s="207">
        <v>0.8629799225079253</v>
      </c>
      <c r="BF290" s="207">
        <v>0.45407303991683223</v>
      </c>
      <c r="BG290" s="207">
        <v>0</v>
      </c>
      <c r="BH290" s="207">
        <v>0</v>
      </c>
      <c r="BI290" s="207">
        <v>0</v>
      </c>
      <c r="BJ290" s="207">
        <v>-1587.84</v>
      </c>
      <c r="BK290" s="207">
        <v>-27125.6</v>
      </c>
      <c r="BL290" s="207">
        <v>-1852.4800000000002</v>
      </c>
      <c r="BM290" s="207">
        <v>-2580.2400000000002</v>
      </c>
      <c r="BN290" s="207">
        <v>-132.32</v>
      </c>
      <c r="BO290" s="207">
        <v>-66992</v>
      </c>
      <c r="BP290" s="207">
        <v>-97153.28415290828</v>
      </c>
      <c r="BQ290" s="207">
        <v>-600005.04</v>
      </c>
      <c r="BR290" s="207">
        <v>511241.87484688405</v>
      </c>
      <c r="BS290" s="207">
        <v>610295</v>
      </c>
      <c r="BT290" s="207">
        <v>210910</v>
      </c>
      <c r="BU290" s="207">
        <v>522557.84133206314</v>
      </c>
      <c r="BV290" s="207">
        <v>25585.96697163288</v>
      </c>
      <c r="BW290" s="207">
        <v>37399.76454258622</v>
      </c>
      <c r="BX290" s="207">
        <v>185934.4408685002</v>
      </c>
      <c r="BY290" s="207">
        <v>417285.97748930304</v>
      </c>
      <c r="BZ290" s="207">
        <v>673219.1528353889</v>
      </c>
      <c r="CA290" s="207">
        <v>203127.87166159455</v>
      </c>
      <c r="CB290" s="207">
        <v>332366.8078289041</v>
      </c>
      <c r="CC290" s="207">
        <v>595.4399999999999</v>
      </c>
      <c r="CD290" s="207">
        <v>-79550.5059135086</v>
      </c>
      <c r="CE290" s="207">
        <v>285943.52</v>
      </c>
      <c r="CF290" s="207">
        <v>3869921.1524633486</v>
      </c>
      <c r="CG290" s="207">
        <v>2781757.22831044</v>
      </c>
      <c r="CH290" s="207">
        <v>0</v>
      </c>
      <c r="CI290" s="207">
        <v>4154767.5049202465</v>
      </c>
      <c r="CJ290" s="207">
        <v>286258</v>
      </c>
      <c r="CK290" s="207">
        <v>0</v>
      </c>
      <c r="CL290" s="207">
        <v>0</v>
      </c>
      <c r="CM290" s="207">
        <v>60338.754140000034</v>
      </c>
      <c r="CN290" s="207">
        <v>18739757.507583577</v>
      </c>
      <c r="CO290" s="207">
        <v>18800096.261723578</v>
      </c>
      <c r="CP290" s="207">
        <v>6684</v>
      </c>
    </row>
    <row r="291" spans="1:94" ht="9.75">
      <c r="A291" s="175">
        <v>976</v>
      </c>
      <c r="B291" s="175" t="s">
        <v>347</v>
      </c>
      <c r="C291" s="207">
        <v>4118</v>
      </c>
      <c r="D291" s="207">
        <v>15166688.129999999</v>
      </c>
      <c r="E291" s="207">
        <v>6977081.731898554</v>
      </c>
      <c r="F291" s="207">
        <v>2063627.4830123119</v>
      </c>
      <c r="G291" s="207">
        <v>24207397.344910864</v>
      </c>
      <c r="H291" s="207">
        <v>3524.51</v>
      </c>
      <c r="I291" s="207">
        <v>14513932.180000002</v>
      </c>
      <c r="J291" s="207">
        <v>9693465.164910862</v>
      </c>
      <c r="K291" s="207">
        <v>4218605.702898726</v>
      </c>
      <c r="L291" s="207">
        <v>1391909.7689305586</v>
      </c>
      <c r="M291" s="207">
        <v>0</v>
      </c>
      <c r="N291" s="207">
        <v>15303980.636740146</v>
      </c>
      <c r="O291" s="207">
        <v>3401968.72425152</v>
      </c>
      <c r="P291" s="207">
        <v>18705949.360991664</v>
      </c>
      <c r="Q291" s="207">
        <v>140</v>
      </c>
      <c r="R291" s="207">
        <v>32</v>
      </c>
      <c r="S291" s="207">
        <v>189</v>
      </c>
      <c r="T291" s="207">
        <v>113</v>
      </c>
      <c r="U291" s="207">
        <v>133</v>
      </c>
      <c r="V291" s="207">
        <v>2068</v>
      </c>
      <c r="W291" s="207">
        <v>708</v>
      </c>
      <c r="X291" s="207">
        <v>514</v>
      </c>
      <c r="Y291" s="207">
        <v>221</v>
      </c>
      <c r="Z291" s="207">
        <v>20</v>
      </c>
      <c r="AA291" s="207">
        <v>3</v>
      </c>
      <c r="AB291" s="207">
        <v>4037</v>
      </c>
      <c r="AC291" s="207">
        <v>58</v>
      </c>
      <c r="AD291" s="207">
        <v>1443</v>
      </c>
      <c r="AE291" s="207">
        <v>1.4949124382381076</v>
      </c>
      <c r="AF291" s="207">
        <v>6977081.731898554</v>
      </c>
      <c r="AG291" s="207">
        <v>12872727.328142732</v>
      </c>
      <c r="AH291" s="207">
        <v>4568783.921953131</v>
      </c>
      <c r="AI291" s="207">
        <v>1107904.5147213025</v>
      </c>
      <c r="AJ291" s="207">
        <v>228</v>
      </c>
      <c r="AK291" s="207">
        <v>1765</v>
      </c>
      <c r="AL291" s="207">
        <v>1.1163860564129289</v>
      </c>
      <c r="AM291" s="207">
        <v>58</v>
      </c>
      <c r="AN291" s="207">
        <v>0.014084507042253521</v>
      </c>
      <c r="AO291" s="207">
        <v>0.009143795579802928</v>
      </c>
      <c r="AP291" s="207">
        <v>0</v>
      </c>
      <c r="AQ291" s="207">
        <v>20</v>
      </c>
      <c r="AR291" s="207">
        <v>3</v>
      </c>
      <c r="AS291" s="207">
        <v>0</v>
      </c>
      <c r="AT291" s="207">
        <v>0</v>
      </c>
      <c r="AU291" s="207">
        <v>2028.73</v>
      </c>
      <c r="AV291" s="207">
        <v>2.0298413293045403</v>
      </c>
      <c r="AW291" s="207">
        <v>8.93460570472898</v>
      </c>
      <c r="AX291" s="207">
        <v>156</v>
      </c>
      <c r="AY291" s="207">
        <v>915</v>
      </c>
      <c r="AZ291" s="207">
        <v>0.17049180327868851</v>
      </c>
      <c r="BA291" s="207">
        <v>0.10930796719445401</v>
      </c>
      <c r="BB291" s="207">
        <v>1.567</v>
      </c>
      <c r="BC291" s="207">
        <v>1350</v>
      </c>
      <c r="BD291" s="207">
        <v>1430</v>
      </c>
      <c r="BE291" s="207">
        <v>0.9440559440559441</v>
      </c>
      <c r="BF291" s="207">
        <v>0.535149061464851</v>
      </c>
      <c r="BG291" s="207">
        <v>0</v>
      </c>
      <c r="BH291" s="207">
        <v>3</v>
      </c>
      <c r="BI291" s="207">
        <v>0</v>
      </c>
      <c r="BJ291" s="207">
        <v>-988.3199999999999</v>
      </c>
      <c r="BK291" s="207">
        <v>-16883.8</v>
      </c>
      <c r="BL291" s="207">
        <v>-1153.0400000000002</v>
      </c>
      <c r="BM291" s="207">
        <v>-1606.02</v>
      </c>
      <c r="BN291" s="207">
        <v>-82.36</v>
      </c>
      <c r="BO291" s="207">
        <v>-68703</v>
      </c>
      <c r="BP291" s="207">
        <v>-75733.29946327272</v>
      </c>
      <c r="BQ291" s="207">
        <v>-373461.42</v>
      </c>
      <c r="BR291" s="207">
        <v>-68346.25052626431</v>
      </c>
      <c r="BS291" s="207">
        <v>449076</v>
      </c>
      <c r="BT291" s="207">
        <v>136608</v>
      </c>
      <c r="BU291" s="207">
        <v>360895.7856342601</v>
      </c>
      <c r="BV291" s="207">
        <v>19702.819711007938</v>
      </c>
      <c r="BW291" s="207">
        <v>42803.14343171017</v>
      </c>
      <c r="BX291" s="207">
        <v>150987.586605333</v>
      </c>
      <c r="BY291" s="207">
        <v>227803.8682606217</v>
      </c>
      <c r="BZ291" s="207">
        <v>354584.16249509755</v>
      </c>
      <c r="CA291" s="207">
        <v>106931.08118637609</v>
      </c>
      <c r="CB291" s="207">
        <v>191894.80090218593</v>
      </c>
      <c r="CC291" s="207">
        <v>370.62</v>
      </c>
      <c r="CD291" s="207">
        <v>1889.7106935028714</v>
      </c>
      <c r="CE291" s="207">
        <v>177979.96</v>
      </c>
      <c r="CF291" s="207">
        <v>2084478.2883938313</v>
      </c>
      <c r="CG291" s="207">
        <v>1391909.7689305586</v>
      </c>
      <c r="CH291" s="207">
        <v>0</v>
      </c>
      <c r="CI291" s="207">
        <v>3401968.72425152</v>
      </c>
      <c r="CJ291" s="207">
        <v>-597234</v>
      </c>
      <c r="CK291" s="207">
        <v>0</v>
      </c>
      <c r="CL291" s="207">
        <v>0</v>
      </c>
      <c r="CM291" s="207">
        <v>18414.474299999973</v>
      </c>
      <c r="CN291" s="207">
        <v>18108715.360991664</v>
      </c>
      <c r="CO291" s="207">
        <v>18127129.835291665</v>
      </c>
      <c r="CP291" s="207">
        <v>4200</v>
      </c>
    </row>
    <row r="292" spans="1:94" ht="9.75">
      <c r="A292" s="175">
        <v>977</v>
      </c>
      <c r="B292" s="175" t="s">
        <v>348</v>
      </c>
      <c r="C292" s="207">
        <v>15251</v>
      </c>
      <c r="D292" s="207">
        <v>55344551.76</v>
      </c>
      <c r="E292" s="207">
        <v>20965672.55301513</v>
      </c>
      <c r="F292" s="207">
        <v>2245194.4144161134</v>
      </c>
      <c r="G292" s="207">
        <v>78555418.72743125</v>
      </c>
      <c r="H292" s="207">
        <v>3524.51</v>
      </c>
      <c r="I292" s="207">
        <v>53752302.010000005</v>
      </c>
      <c r="J292" s="207">
        <v>24803116.717431247</v>
      </c>
      <c r="K292" s="207">
        <v>648263.7170272792</v>
      </c>
      <c r="L292" s="207">
        <v>3711622.231058587</v>
      </c>
      <c r="M292" s="207">
        <v>0</v>
      </c>
      <c r="N292" s="207">
        <v>29163002.665517114</v>
      </c>
      <c r="O292" s="207">
        <v>8597813.017448582</v>
      </c>
      <c r="P292" s="207">
        <v>37760815.682965696</v>
      </c>
      <c r="Q292" s="207">
        <v>1351</v>
      </c>
      <c r="R292" s="207">
        <v>235</v>
      </c>
      <c r="S292" s="207">
        <v>1300</v>
      </c>
      <c r="T292" s="207">
        <v>607</v>
      </c>
      <c r="U292" s="207">
        <v>568</v>
      </c>
      <c r="V292" s="207">
        <v>8346</v>
      </c>
      <c r="W292" s="207">
        <v>1632</v>
      </c>
      <c r="X292" s="207">
        <v>853</v>
      </c>
      <c r="Y292" s="207">
        <v>359</v>
      </c>
      <c r="Z292" s="207">
        <v>43</v>
      </c>
      <c r="AA292" s="207">
        <v>1</v>
      </c>
      <c r="AB292" s="207">
        <v>14973</v>
      </c>
      <c r="AC292" s="207">
        <v>234</v>
      </c>
      <c r="AD292" s="207">
        <v>2844</v>
      </c>
      <c r="AE292" s="207">
        <v>1.2129384538210781</v>
      </c>
      <c r="AF292" s="207">
        <v>20965672.55301513</v>
      </c>
      <c r="AG292" s="207">
        <v>8947862.195222894</v>
      </c>
      <c r="AH292" s="207">
        <v>1857658.6810092747</v>
      </c>
      <c r="AI292" s="207">
        <v>759450.6754137961</v>
      </c>
      <c r="AJ292" s="207">
        <v>796</v>
      </c>
      <c r="AK292" s="207">
        <v>6864</v>
      </c>
      <c r="AL292" s="207">
        <v>1.0022130631318118</v>
      </c>
      <c r="AM292" s="207">
        <v>234</v>
      </c>
      <c r="AN292" s="207">
        <v>0.015343256179922628</v>
      </c>
      <c r="AO292" s="207">
        <v>0.010402544717472036</v>
      </c>
      <c r="AP292" s="207">
        <v>0</v>
      </c>
      <c r="AQ292" s="207">
        <v>43</v>
      </c>
      <c r="AR292" s="207">
        <v>1</v>
      </c>
      <c r="AS292" s="207">
        <v>0</v>
      </c>
      <c r="AT292" s="207">
        <v>0</v>
      </c>
      <c r="AU292" s="207">
        <v>568.89</v>
      </c>
      <c r="AV292" s="207">
        <v>26.80834607744907</v>
      </c>
      <c r="AW292" s="207">
        <v>0.6764994702808128</v>
      </c>
      <c r="AX292" s="207">
        <v>410</v>
      </c>
      <c r="AY292" s="207">
        <v>4320</v>
      </c>
      <c r="AZ292" s="207">
        <v>0.09490740740740741</v>
      </c>
      <c r="BA292" s="207">
        <v>0.03372357132317292</v>
      </c>
      <c r="BB292" s="207">
        <v>0</v>
      </c>
      <c r="BC292" s="207">
        <v>6417</v>
      </c>
      <c r="BD292" s="207">
        <v>5976</v>
      </c>
      <c r="BE292" s="207">
        <v>1.0737951807228916</v>
      </c>
      <c r="BF292" s="207">
        <v>0.6648882981317985</v>
      </c>
      <c r="BG292" s="207">
        <v>0</v>
      </c>
      <c r="BH292" s="207">
        <v>1</v>
      </c>
      <c r="BI292" s="207">
        <v>0</v>
      </c>
      <c r="BJ292" s="207">
        <v>-3660.24</v>
      </c>
      <c r="BK292" s="207">
        <v>-62529.09999999999</v>
      </c>
      <c r="BL292" s="207">
        <v>-4270.280000000001</v>
      </c>
      <c r="BM292" s="207">
        <v>-5947.89</v>
      </c>
      <c r="BN292" s="207">
        <v>-305.02</v>
      </c>
      <c r="BO292" s="207">
        <v>55920</v>
      </c>
      <c r="BP292" s="207">
        <v>-463849.4916793521</v>
      </c>
      <c r="BQ292" s="207">
        <v>-1383113.19</v>
      </c>
      <c r="BR292" s="207">
        <v>31894.618232842535</v>
      </c>
      <c r="BS292" s="207">
        <v>1105522</v>
      </c>
      <c r="BT292" s="207">
        <v>359322</v>
      </c>
      <c r="BU292" s="207">
        <v>800309.0794281153</v>
      </c>
      <c r="BV292" s="207">
        <v>28657.374442731707</v>
      </c>
      <c r="BW292" s="207">
        <v>20607.3296960915</v>
      </c>
      <c r="BX292" s="207">
        <v>400458.4208793326</v>
      </c>
      <c r="BY292" s="207">
        <v>780849.606266519</v>
      </c>
      <c r="BZ292" s="207">
        <v>1163766.1274462175</v>
      </c>
      <c r="CA292" s="207">
        <v>327230.91446480615</v>
      </c>
      <c r="CB292" s="207">
        <v>644902.1475982037</v>
      </c>
      <c r="CC292" s="207">
        <v>1372.59</v>
      </c>
      <c r="CD292" s="207">
        <v>79958.58428307927</v>
      </c>
      <c r="CE292" s="207">
        <v>659148.22</v>
      </c>
      <c r="CF292" s="207">
        <v>6459919.012737939</v>
      </c>
      <c r="CG292" s="207">
        <v>3711622.231058587</v>
      </c>
      <c r="CH292" s="207">
        <v>0</v>
      </c>
      <c r="CI292" s="207">
        <v>8597813.017448582</v>
      </c>
      <c r="CJ292" s="207">
        <v>237486</v>
      </c>
      <c r="CK292" s="207">
        <v>0</v>
      </c>
      <c r="CL292" s="207">
        <v>0</v>
      </c>
      <c r="CM292" s="207">
        <v>208010.95772</v>
      </c>
      <c r="CN292" s="207">
        <v>37998301.682965696</v>
      </c>
      <c r="CO292" s="207">
        <v>38206312.64068569</v>
      </c>
      <c r="CP292" s="207">
        <v>15199</v>
      </c>
    </row>
    <row r="293" spans="1:94" ht="9.75">
      <c r="A293" s="175">
        <v>980</v>
      </c>
      <c r="B293" s="175" t="s">
        <v>349</v>
      </c>
      <c r="C293" s="207">
        <v>32878</v>
      </c>
      <c r="D293" s="207">
        <v>115985433.62</v>
      </c>
      <c r="E293" s="207">
        <v>28536235.857832994</v>
      </c>
      <c r="F293" s="207">
        <v>4734984.185156137</v>
      </c>
      <c r="G293" s="207">
        <v>149256653.66298914</v>
      </c>
      <c r="H293" s="207">
        <v>3524.51</v>
      </c>
      <c r="I293" s="207">
        <v>115878839.78</v>
      </c>
      <c r="J293" s="207">
        <v>33377813.88298914</v>
      </c>
      <c r="K293" s="207">
        <v>493981.8654203586</v>
      </c>
      <c r="L293" s="207">
        <v>4779161.5643852055</v>
      </c>
      <c r="M293" s="207">
        <v>0</v>
      </c>
      <c r="N293" s="207">
        <v>38650957.3127947</v>
      </c>
      <c r="O293" s="207">
        <v>6578511.986062955</v>
      </c>
      <c r="P293" s="207">
        <v>45229469.29885766</v>
      </c>
      <c r="Q293" s="207">
        <v>2696</v>
      </c>
      <c r="R293" s="207">
        <v>522</v>
      </c>
      <c r="S293" s="207">
        <v>2959</v>
      </c>
      <c r="T293" s="207">
        <v>1492</v>
      </c>
      <c r="U293" s="207">
        <v>1224</v>
      </c>
      <c r="V293" s="207">
        <v>18364</v>
      </c>
      <c r="W293" s="207">
        <v>3430</v>
      </c>
      <c r="X293" s="207">
        <v>1643</v>
      </c>
      <c r="Y293" s="207">
        <v>548</v>
      </c>
      <c r="Z293" s="207">
        <v>112</v>
      </c>
      <c r="AA293" s="207">
        <v>0</v>
      </c>
      <c r="AB293" s="207">
        <v>31984</v>
      </c>
      <c r="AC293" s="207">
        <v>782</v>
      </c>
      <c r="AD293" s="207">
        <v>5621</v>
      </c>
      <c r="AE293" s="207">
        <v>0.7658074411426871</v>
      </c>
      <c r="AF293" s="207">
        <v>28536235.857832994</v>
      </c>
      <c r="AG293" s="207">
        <v>9038531.810732698</v>
      </c>
      <c r="AH293" s="207">
        <v>2606023.668657194</v>
      </c>
      <c r="AI293" s="207">
        <v>750515.9615853986</v>
      </c>
      <c r="AJ293" s="207">
        <v>1477</v>
      </c>
      <c r="AK293" s="207">
        <v>15847</v>
      </c>
      <c r="AL293" s="207">
        <v>0.8054854569831542</v>
      </c>
      <c r="AM293" s="207">
        <v>782</v>
      </c>
      <c r="AN293" s="207">
        <v>0.023784901758014478</v>
      </c>
      <c r="AO293" s="207">
        <v>0.018844190295563886</v>
      </c>
      <c r="AP293" s="207">
        <v>0</v>
      </c>
      <c r="AQ293" s="207">
        <v>112</v>
      </c>
      <c r="AR293" s="207">
        <v>0</v>
      </c>
      <c r="AS293" s="207">
        <v>0</v>
      </c>
      <c r="AT293" s="207">
        <v>0</v>
      </c>
      <c r="AU293" s="207">
        <v>1115.66</v>
      </c>
      <c r="AV293" s="207">
        <v>29.469551655522288</v>
      </c>
      <c r="AW293" s="207">
        <v>0.6154091562876063</v>
      </c>
      <c r="AX293" s="207">
        <v>1069</v>
      </c>
      <c r="AY293" s="207">
        <v>11152</v>
      </c>
      <c r="AZ293" s="207">
        <v>0.09585724533715925</v>
      </c>
      <c r="BA293" s="207">
        <v>0.03467340925292476</v>
      </c>
      <c r="BB293" s="207">
        <v>0</v>
      </c>
      <c r="BC293" s="207">
        <v>9004</v>
      </c>
      <c r="BD293" s="207">
        <v>13983</v>
      </c>
      <c r="BE293" s="207">
        <v>0.6439247657870271</v>
      </c>
      <c r="BF293" s="207">
        <v>0.23501788319593397</v>
      </c>
      <c r="BG293" s="207">
        <v>0</v>
      </c>
      <c r="BH293" s="207">
        <v>0</v>
      </c>
      <c r="BI293" s="207">
        <v>0</v>
      </c>
      <c r="BJ293" s="207">
        <v>-7890.719999999999</v>
      </c>
      <c r="BK293" s="207">
        <v>-134799.8</v>
      </c>
      <c r="BL293" s="207">
        <v>-9205.84</v>
      </c>
      <c r="BM293" s="207">
        <v>-12822.42</v>
      </c>
      <c r="BN293" s="207">
        <v>-657.5600000000001</v>
      </c>
      <c r="BO293" s="207">
        <v>-15104</v>
      </c>
      <c r="BP293" s="207">
        <v>-1328206.0493072171</v>
      </c>
      <c r="BQ293" s="207">
        <v>-2981705.82</v>
      </c>
      <c r="BR293" s="207">
        <v>-347209.93432351947</v>
      </c>
      <c r="BS293" s="207">
        <v>2053006</v>
      </c>
      <c r="BT293" s="207">
        <v>651254</v>
      </c>
      <c r="BU293" s="207">
        <v>1314597.2430768656</v>
      </c>
      <c r="BV293" s="207">
        <v>15734.767118453987</v>
      </c>
      <c r="BW293" s="207">
        <v>-104982.75987239247</v>
      </c>
      <c r="BX293" s="207">
        <v>676365.6684635072</v>
      </c>
      <c r="BY293" s="207">
        <v>1370714.847696324</v>
      </c>
      <c r="BZ293" s="207">
        <v>2239117.9938244843</v>
      </c>
      <c r="CA293" s="207">
        <v>579554.8540764924</v>
      </c>
      <c r="CB293" s="207">
        <v>1144350.8280256304</v>
      </c>
      <c r="CC293" s="207">
        <v>2959.02</v>
      </c>
      <c r="CD293" s="207">
        <v>30817.545606577274</v>
      </c>
      <c r="CE293" s="207">
        <v>1420987.16</v>
      </c>
      <c r="CF293" s="207">
        <v>11032163.233692423</v>
      </c>
      <c r="CG293" s="207">
        <v>4779161.5643852055</v>
      </c>
      <c r="CH293" s="207">
        <v>0</v>
      </c>
      <c r="CI293" s="207">
        <v>6578511.986062955</v>
      </c>
      <c r="CJ293" s="207">
        <v>-3738791</v>
      </c>
      <c r="CK293" s="207">
        <v>0</v>
      </c>
      <c r="CL293" s="207">
        <v>0</v>
      </c>
      <c r="CM293" s="207">
        <v>-767952.220078</v>
      </c>
      <c r="CN293" s="207">
        <v>41490678.29885766</v>
      </c>
      <c r="CO293" s="207">
        <v>40722726.07877966</v>
      </c>
      <c r="CP293" s="207">
        <v>32799</v>
      </c>
    </row>
    <row r="294" spans="1:94" ht="9.75">
      <c r="A294" s="175">
        <v>981</v>
      </c>
      <c r="B294" s="175" t="s">
        <v>350</v>
      </c>
      <c r="C294" s="207">
        <v>2372</v>
      </c>
      <c r="D294" s="207">
        <v>8171433.03</v>
      </c>
      <c r="E294" s="207">
        <v>2310038.758975301</v>
      </c>
      <c r="F294" s="207">
        <v>451596.6755193497</v>
      </c>
      <c r="G294" s="207">
        <v>10933068.464494651</v>
      </c>
      <c r="H294" s="207">
        <v>3524.51</v>
      </c>
      <c r="I294" s="207">
        <v>8360137.720000001</v>
      </c>
      <c r="J294" s="207">
        <v>2572930.7444946505</v>
      </c>
      <c r="K294" s="207">
        <v>41406.36683302868</v>
      </c>
      <c r="L294" s="207">
        <v>926995.9788921431</v>
      </c>
      <c r="M294" s="207">
        <v>0</v>
      </c>
      <c r="N294" s="207">
        <v>3541333.0902198227</v>
      </c>
      <c r="O294" s="207">
        <v>1734208.804484109</v>
      </c>
      <c r="P294" s="207">
        <v>5275541.894703932</v>
      </c>
      <c r="Q294" s="207">
        <v>101</v>
      </c>
      <c r="R294" s="207">
        <v>23</v>
      </c>
      <c r="S294" s="207">
        <v>142</v>
      </c>
      <c r="T294" s="207">
        <v>83</v>
      </c>
      <c r="U294" s="207">
        <v>75</v>
      </c>
      <c r="V294" s="207">
        <v>1305</v>
      </c>
      <c r="W294" s="207">
        <v>374</v>
      </c>
      <c r="X294" s="207">
        <v>174</v>
      </c>
      <c r="Y294" s="207">
        <v>95</v>
      </c>
      <c r="Z294" s="207">
        <v>16</v>
      </c>
      <c r="AA294" s="207">
        <v>0</v>
      </c>
      <c r="AB294" s="207">
        <v>2304</v>
      </c>
      <c r="AC294" s="207">
        <v>52</v>
      </c>
      <c r="AD294" s="207">
        <v>643</v>
      </c>
      <c r="AE294" s="207">
        <v>0.8592763707141227</v>
      </c>
      <c r="AF294" s="207">
        <v>2310038.758975301</v>
      </c>
      <c r="AG294" s="207">
        <v>23227031.357795555</v>
      </c>
      <c r="AH294" s="207">
        <v>6324862.475108029</v>
      </c>
      <c r="AI294" s="207">
        <v>2796565.428288449</v>
      </c>
      <c r="AJ294" s="207">
        <v>111</v>
      </c>
      <c r="AK294" s="207">
        <v>1143</v>
      </c>
      <c r="AL294" s="207">
        <v>0.839268676774489</v>
      </c>
      <c r="AM294" s="207">
        <v>52</v>
      </c>
      <c r="AN294" s="207">
        <v>0.021922428330522766</v>
      </c>
      <c r="AO294" s="207">
        <v>0.016981716868072174</v>
      </c>
      <c r="AP294" s="207">
        <v>0</v>
      </c>
      <c r="AQ294" s="207">
        <v>16</v>
      </c>
      <c r="AR294" s="207">
        <v>0</v>
      </c>
      <c r="AS294" s="207">
        <v>0</v>
      </c>
      <c r="AT294" s="207">
        <v>0</v>
      </c>
      <c r="AU294" s="207">
        <v>182.76</v>
      </c>
      <c r="AV294" s="207">
        <v>12.978769971547385</v>
      </c>
      <c r="AW294" s="207">
        <v>1.3973459704006734</v>
      </c>
      <c r="AX294" s="207">
        <v>96</v>
      </c>
      <c r="AY294" s="207">
        <v>689</v>
      </c>
      <c r="AZ294" s="207">
        <v>0.13933236574746008</v>
      </c>
      <c r="BA294" s="207">
        <v>0.07814852966322558</v>
      </c>
      <c r="BB294" s="207">
        <v>0</v>
      </c>
      <c r="BC294" s="207">
        <v>654</v>
      </c>
      <c r="BD294" s="207">
        <v>959</v>
      </c>
      <c r="BE294" s="207">
        <v>0.6819603753910324</v>
      </c>
      <c r="BF294" s="207">
        <v>0.2730534927999393</v>
      </c>
      <c r="BG294" s="207">
        <v>0</v>
      </c>
      <c r="BH294" s="207">
        <v>0</v>
      </c>
      <c r="BI294" s="207">
        <v>0</v>
      </c>
      <c r="BJ294" s="207">
        <v>-569.28</v>
      </c>
      <c r="BK294" s="207">
        <v>-9725.199999999999</v>
      </c>
      <c r="BL294" s="207">
        <v>-664.1600000000001</v>
      </c>
      <c r="BM294" s="207">
        <v>-925.08</v>
      </c>
      <c r="BN294" s="207">
        <v>-47.44</v>
      </c>
      <c r="BO294" s="207">
        <v>29176</v>
      </c>
      <c r="BP294" s="207">
        <v>-78244.26542995634</v>
      </c>
      <c r="BQ294" s="207">
        <v>-215116.68</v>
      </c>
      <c r="BR294" s="207">
        <v>26663.14650002122</v>
      </c>
      <c r="BS294" s="207">
        <v>230288</v>
      </c>
      <c r="BT294" s="207">
        <v>80816</v>
      </c>
      <c r="BU294" s="207">
        <v>184290.17484536598</v>
      </c>
      <c r="BV294" s="207">
        <v>9318.783464418157</v>
      </c>
      <c r="BW294" s="207">
        <v>30796.386826805596</v>
      </c>
      <c r="BX294" s="207">
        <v>74794.23220504644</v>
      </c>
      <c r="BY294" s="207">
        <v>147649.47010495246</v>
      </c>
      <c r="BZ294" s="207">
        <v>237874.01446903648</v>
      </c>
      <c r="CA294" s="207">
        <v>75569.26100283953</v>
      </c>
      <c r="CB294" s="207">
        <v>120196.89413887881</v>
      </c>
      <c r="CC294" s="207">
        <v>213.48</v>
      </c>
      <c r="CD294" s="207">
        <v>10378.44076473437</v>
      </c>
      <c r="CE294" s="207">
        <v>102517.84</v>
      </c>
      <c r="CF294" s="207">
        <v>1360542.1243220994</v>
      </c>
      <c r="CG294" s="207">
        <v>926995.9788921431</v>
      </c>
      <c r="CH294" s="207">
        <v>0</v>
      </c>
      <c r="CI294" s="207">
        <v>1734208.804484109</v>
      </c>
      <c r="CJ294" s="207">
        <v>-490316</v>
      </c>
      <c r="CK294" s="207">
        <v>0</v>
      </c>
      <c r="CL294" s="207">
        <v>0</v>
      </c>
      <c r="CM294" s="207">
        <v>-40591.0455</v>
      </c>
      <c r="CN294" s="207">
        <v>4785225.894703932</v>
      </c>
      <c r="CO294" s="207">
        <v>4744634.849203932</v>
      </c>
      <c r="CP294" s="207">
        <v>2382</v>
      </c>
    </row>
    <row r="295" spans="1:94" ht="9.75">
      <c r="A295" s="175">
        <v>989</v>
      </c>
      <c r="B295" s="175" t="s">
        <v>351</v>
      </c>
      <c r="C295" s="207">
        <v>5906</v>
      </c>
      <c r="D295" s="207">
        <v>21465238.01</v>
      </c>
      <c r="E295" s="207">
        <v>9875803.481320903</v>
      </c>
      <c r="F295" s="207">
        <v>1216774.704053427</v>
      </c>
      <c r="G295" s="207">
        <v>32557816.195374332</v>
      </c>
      <c r="H295" s="207">
        <v>3524.51</v>
      </c>
      <c r="I295" s="207">
        <v>20815756.060000002</v>
      </c>
      <c r="J295" s="207">
        <v>11742060.13537433</v>
      </c>
      <c r="K295" s="207">
        <v>510042.3095903849</v>
      </c>
      <c r="L295" s="207">
        <v>2249803.509228321</v>
      </c>
      <c r="M295" s="207">
        <v>0</v>
      </c>
      <c r="N295" s="207">
        <v>14501905.954193035</v>
      </c>
      <c r="O295" s="207">
        <v>4168875.597899323</v>
      </c>
      <c r="P295" s="207">
        <v>18670781.55209236</v>
      </c>
      <c r="Q295" s="207">
        <v>300</v>
      </c>
      <c r="R295" s="207">
        <v>49</v>
      </c>
      <c r="S295" s="207">
        <v>374</v>
      </c>
      <c r="T295" s="207">
        <v>204</v>
      </c>
      <c r="U295" s="207">
        <v>187</v>
      </c>
      <c r="V295" s="207">
        <v>3022</v>
      </c>
      <c r="W295" s="207">
        <v>985</v>
      </c>
      <c r="X295" s="207">
        <v>536</v>
      </c>
      <c r="Y295" s="207">
        <v>249</v>
      </c>
      <c r="Z295" s="207">
        <v>3</v>
      </c>
      <c r="AA295" s="207">
        <v>0</v>
      </c>
      <c r="AB295" s="207">
        <v>5842</v>
      </c>
      <c r="AC295" s="207">
        <v>61</v>
      </c>
      <c r="AD295" s="207">
        <v>1770</v>
      </c>
      <c r="AE295" s="207">
        <v>1.4753915231322978</v>
      </c>
      <c r="AF295" s="207">
        <v>9875803.481320903</v>
      </c>
      <c r="AG295" s="207">
        <v>35933364.99593678</v>
      </c>
      <c r="AH295" s="207">
        <v>7691763.372708083</v>
      </c>
      <c r="AI295" s="207">
        <v>3573885.531359041</v>
      </c>
      <c r="AJ295" s="207">
        <v>266</v>
      </c>
      <c r="AK295" s="207">
        <v>2605</v>
      </c>
      <c r="AL295" s="207">
        <v>0.8824663932809812</v>
      </c>
      <c r="AM295" s="207">
        <v>61</v>
      </c>
      <c r="AN295" s="207">
        <v>0.010328479512360312</v>
      </c>
      <c r="AO295" s="207">
        <v>0.005387768049909719</v>
      </c>
      <c r="AP295" s="207">
        <v>0</v>
      </c>
      <c r="AQ295" s="207">
        <v>3</v>
      </c>
      <c r="AR295" s="207">
        <v>0</v>
      </c>
      <c r="AS295" s="207">
        <v>0</v>
      </c>
      <c r="AT295" s="207">
        <v>0</v>
      </c>
      <c r="AU295" s="207">
        <v>805.84</v>
      </c>
      <c r="AV295" s="207">
        <v>7.3289983123200635</v>
      </c>
      <c r="AW295" s="207">
        <v>2.4745307813773985</v>
      </c>
      <c r="AX295" s="207">
        <v>184</v>
      </c>
      <c r="AY295" s="207">
        <v>1528</v>
      </c>
      <c r="AZ295" s="207">
        <v>0.12041884816753927</v>
      </c>
      <c r="BA295" s="207">
        <v>0.059235012083304776</v>
      </c>
      <c r="BB295" s="207">
        <v>0.237632</v>
      </c>
      <c r="BC295" s="207">
        <v>2147</v>
      </c>
      <c r="BD295" s="207">
        <v>2198</v>
      </c>
      <c r="BE295" s="207">
        <v>0.9767970882620565</v>
      </c>
      <c r="BF295" s="207">
        <v>0.5678902056709634</v>
      </c>
      <c r="BG295" s="207">
        <v>0</v>
      </c>
      <c r="BH295" s="207">
        <v>0</v>
      </c>
      <c r="BI295" s="207">
        <v>0</v>
      </c>
      <c r="BJ295" s="207">
        <v>-1417.44</v>
      </c>
      <c r="BK295" s="207">
        <v>-24214.6</v>
      </c>
      <c r="BL295" s="207">
        <v>-1653.68</v>
      </c>
      <c r="BM295" s="207">
        <v>-2303.34</v>
      </c>
      <c r="BN295" s="207">
        <v>-118.12</v>
      </c>
      <c r="BO295" s="207">
        <v>126664</v>
      </c>
      <c r="BP295" s="207">
        <v>-168487.12420274076</v>
      </c>
      <c r="BQ295" s="207">
        <v>-535615.14</v>
      </c>
      <c r="BR295" s="207">
        <v>96496.76393330097</v>
      </c>
      <c r="BS295" s="207">
        <v>587503</v>
      </c>
      <c r="BT295" s="207">
        <v>170766</v>
      </c>
      <c r="BU295" s="207">
        <v>439282.3278928873</v>
      </c>
      <c r="BV295" s="207">
        <v>22135.671166588105</v>
      </c>
      <c r="BW295" s="207">
        <v>52404.35786021622</v>
      </c>
      <c r="BX295" s="207">
        <v>222121.41562959072</v>
      </c>
      <c r="BY295" s="207">
        <v>338418.62562740437</v>
      </c>
      <c r="BZ295" s="207">
        <v>547995.4616597563</v>
      </c>
      <c r="CA295" s="207">
        <v>160825.0056978438</v>
      </c>
      <c r="CB295" s="207">
        <v>282767.06100177206</v>
      </c>
      <c r="CC295" s="207">
        <v>531.54</v>
      </c>
      <c r="CD295" s="207">
        <v>-218.17703829817037</v>
      </c>
      <c r="CE295" s="207">
        <v>255257.32</v>
      </c>
      <c r="CF295" s="207">
        <v>3302950.3734310614</v>
      </c>
      <c r="CG295" s="207">
        <v>2249803.509228321</v>
      </c>
      <c r="CH295" s="207">
        <v>0</v>
      </c>
      <c r="CI295" s="207">
        <v>4168875.597899323</v>
      </c>
      <c r="CJ295" s="207">
        <v>-314453</v>
      </c>
      <c r="CK295" s="207">
        <v>0</v>
      </c>
      <c r="CL295" s="207">
        <v>0</v>
      </c>
      <c r="CM295" s="207">
        <v>102210.23262000002</v>
      </c>
      <c r="CN295" s="207">
        <v>18356328.55209236</v>
      </c>
      <c r="CO295" s="207">
        <v>18458538.78471236</v>
      </c>
      <c r="CP295" s="207">
        <v>5985</v>
      </c>
    </row>
    <row r="296" spans="1:94" ht="9.75">
      <c r="A296" s="175">
        <v>992</v>
      </c>
      <c r="B296" s="175" t="s">
        <v>352</v>
      </c>
      <c r="C296" s="207">
        <v>19144</v>
      </c>
      <c r="D296" s="207">
        <v>66366960.04</v>
      </c>
      <c r="E296" s="207">
        <v>30445796.778944883</v>
      </c>
      <c r="F296" s="207">
        <v>3692620.949369207</v>
      </c>
      <c r="G296" s="207">
        <v>100505377.7683141</v>
      </c>
      <c r="H296" s="207">
        <v>3524.51</v>
      </c>
      <c r="I296" s="207">
        <v>67473219.44</v>
      </c>
      <c r="J296" s="207">
        <v>33032158.328314096</v>
      </c>
      <c r="K296" s="207">
        <v>750927.4625374153</v>
      </c>
      <c r="L296" s="207">
        <v>5022896.925355816</v>
      </c>
      <c r="M296" s="207">
        <v>0</v>
      </c>
      <c r="N296" s="207">
        <v>38805982.716207325</v>
      </c>
      <c r="O296" s="207">
        <v>5206454.936564048</v>
      </c>
      <c r="P296" s="207">
        <v>44012437.652771376</v>
      </c>
      <c r="Q296" s="207">
        <v>1095</v>
      </c>
      <c r="R296" s="207">
        <v>229</v>
      </c>
      <c r="S296" s="207">
        <v>1360</v>
      </c>
      <c r="T296" s="207">
        <v>670</v>
      </c>
      <c r="U296" s="207">
        <v>742</v>
      </c>
      <c r="V296" s="207">
        <v>10142</v>
      </c>
      <c r="W296" s="207">
        <v>2861</v>
      </c>
      <c r="X296" s="207">
        <v>1501</v>
      </c>
      <c r="Y296" s="207">
        <v>544</v>
      </c>
      <c r="Z296" s="207">
        <v>17</v>
      </c>
      <c r="AA296" s="207">
        <v>7</v>
      </c>
      <c r="AB296" s="207">
        <v>18815</v>
      </c>
      <c r="AC296" s="207">
        <v>305</v>
      </c>
      <c r="AD296" s="207">
        <v>4906</v>
      </c>
      <c r="AE296" s="207">
        <v>1.4032108877488694</v>
      </c>
      <c r="AF296" s="207">
        <v>30445796.778944883</v>
      </c>
      <c r="AG296" s="207">
        <v>3037365.694951707</v>
      </c>
      <c r="AH296" s="207">
        <v>870183.7466900441</v>
      </c>
      <c r="AI296" s="207">
        <v>276976.12868032564</v>
      </c>
      <c r="AJ296" s="207">
        <v>1297</v>
      </c>
      <c r="AK296" s="207">
        <v>8512</v>
      </c>
      <c r="AL296" s="207">
        <v>1.316838839631335</v>
      </c>
      <c r="AM296" s="207">
        <v>305</v>
      </c>
      <c r="AN296" s="207">
        <v>0.015931884663602174</v>
      </c>
      <c r="AO296" s="207">
        <v>0.010991173201151581</v>
      </c>
      <c r="AP296" s="207">
        <v>0</v>
      </c>
      <c r="AQ296" s="207">
        <v>17</v>
      </c>
      <c r="AR296" s="207">
        <v>7</v>
      </c>
      <c r="AS296" s="207">
        <v>0</v>
      </c>
      <c r="AT296" s="207">
        <v>0</v>
      </c>
      <c r="AU296" s="207">
        <v>884.57</v>
      </c>
      <c r="AV296" s="207">
        <v>21.64215381484789</v>
      </c>
      <c r="AW296" s="207">
        <v>0.8379864626993211</v>
      </c>
      <c r="AX296" s="207">
        <v>665</v>
      </c>
      <c r="AY296" s="207">
        <v>5442</v>
      </c>
      <c r="AZ296" s="207">
        <v>0.12219772142594634</v>
      </c>
      <c r="BA296" s="207">
        <v>0.06101388534171185</v>
      </c>
      <c r="BB296" s="207">
        <v>0</v>
      </c>
      <c r="BC296" s="207">
        <v>6916</v>
      </c>
      <c r="BD296" s="207">
        <v>6764</v>
      </c>
      <c r="BE296" s="207">
        <v>1.0224719101123596</v>
      </c>
      <c r="BF296" s="207">
        <v>0.6135650275212665</v>
      </c>
      <c r="BG296" s="207">
        <v>0</v>
      </c>
      <c r="BH296" s="207">
        <v>7</v>
      </c>
      <c r="BI296" s="207">
        <v>0</v>
      </c>
      <c r="BJ296" s="207">
        <v>-4594.5599999999995</v>
      </c>
      <c r="BK296" s="207">
        <v>-78490.4</v>
      </c>
      <c r="BL296" s="207">
        <v>-5360.320000000001</v>
      </c>
      <c r="BM296" s="207">
        <v>-7466.16</v>
      </c>
      <c r="BN296" s="207">
        <v>-382.88</v>
      </c>
      <c r="BO296" s="207">
        <v>678179</v>
      </c>
      <c r="BP296" s="207">
        <v>-873794.7946882446</v>
      </c>
      <c r="BQ296" s="207">
        <v>-1736169.3599999999</v>
      </c>
      <c r="BR296" s="207">
        <v>18012.54996163398</v>
      </c>
      <c r="BS296" s="207">
        <v>1489761</v>
      </c>
      <c r="BT296" s="207">
        <v>450815</v>
      </c>
      <c r="BU296" s="207">
        <v>1034431.5246544537</v>
      </c>
      <c r="BV296" s="207">
        <v>34021.999037244925</v>
      </c>
      <c r="BW296" s="207">
        <v>135664.67047937264</v>
      </c>
      <c r="BX296" s="207">
        <v>556663.5774633273</v>
      </c>
      <c r="BY296" s="207">
        <v>843413.5215587942</v>
      </c>
      <c r="BZ296" s="207">
        <v>1444256.7380260613</v>
      </c>
      <c r="CA296" s="207">
        <v>394204.05797371245</v>
      </c>
      <c r="CB296" s="207">
        <v>828688.6681711307</v>
      </c>
      <c r="CC296" s="207">
        <v>1722.96</v>
      </c>
      <c r="CD296" s="207">
        <v>27032.53271832975</v>
      </c>
      <c r="CE296" s="207">
        <v>827403.6799999999</v>
      </c>
      <c r="CF296" s="207">
        <v>8764271.480044061</v>
      </c>
      <c r="CG296" s="207">
        <v>5022896.925355816</v>
      </c>
      <c r="CH296" s="207">
        <v>0</v>
      </c>
      <c r="CI296" s="207">
        <v>5206454.936564048</v>
      </c>
      <c r="CJ296" s="207">
        <v>-1049783</v>
      </c>
      <c r="CK296" s="207">
        <v>0</v>
      </c>
      <c r="CL296" s="207">
        <v>0</v>
      </c>
      <c r="CM296" s="207">
        <v>-87593.49613800002</v>
      </c>
      <c r="CN296" s="207">
        <v>42962654.652771376</v>
      </c>
      <c r="CO296" s="207">
        <v>42875061.15663338</v>
      </c>
      <c r="CP296" s="207">
        <v>19374</v>
      </c>
    </row>
    <row r="298" spans="3:94" ht="9.75">
      <c r="C298" s="207"/>
      <c r="D298" s="207"/>
      <c r="E298" s="207"/>
      <c r="F298" s="207"/>
      <c r="G298" s="207"/>
      <c r="H298" s="207"/>
      <c r="I298" s="207"/>
      <c r="J298" s="207"/>
      <c r="K298" s="207"/>
      <c r="L298" s="207"/>
      <c r="M298" s="207"/>
      <c r="N298" s="207"/>
      <c r="O298" s="207"/>
      <c r="P298" s="207"/>
      <c r="Q298" s="207"/>
      <c r="R298" s="207"/>
      <c r="S298" s="207"/>
      <c r="T298" s="207"/>
      <c r="U298" s="207"/>
      <c r="V298" s="207"/>
      <c r="W298" s="207"/>
      <c r="X298" s="207"/>
      <c r="Y298" s="207"/>
      <c r="Z298" s="207"/>
      <c r="AA298" s="207"/>
      <c r="AB298" s="207"/>
      <c r="AC298" s="207"/>
      <c r="AD298" s="207"/>
      <c r="AE298" s="207"/>
      <c r="AF298" s="207"/>
      <c r="AG298" s="207"/>
      <c r="AH298" s="207"/>
      <c r="AI298" s="207"/>
      <c r="AJ298" s="207"/>
      <c r="AK298" s="207"/>
      <c r="AL298" s="207"/>
      <c r="AM298" s="207"/>
      <c r="AN298" s="207"/>
      <c r="AO298" s="207"/>
      <c r="AP298" s="207"/>
      <c r="AQ298" s="207"/>
      <c r="AR298" s="207"/>
      <c r="AS298" s="207"/>
      <c r="AT298" s="207"/>
      <c r="AU298" s="207"/>
      <c r="AV298" s="207"/>
      <c r="AW298" s="207"/>
      <c r="AX298" s="207"/>
      <c r="AY298" s="207"/>
      <c r="AZ298" s="207"/>
      <c r="BA298" s="207"/>
      <c r="BB298" s="207"/>
      <c r="BC298" s="207"/>
      <c r="BD298" s="207"/>
      <c r="BE298" s="207"/>
      <c r="BF298" s="207"/>
      <c r="BG298" s="207"/>
      <c r="BH298" s="207"/>
      <c r="BI298" s="207"/>
      <c r="BJ298" s="207"/>
      <c r="BK298" s="207"/>
      <c r="BL298" s="207"/>
      <c r="BM298" s="207"/>
      <c r="BN298" s="207"/>
      <c r="BO298" s="207"/>
      <c r="BP298" s="207"/>
      <c r="BQ298" s="207"/>
      <c r="BR298" s="207"/>
      <c r="BS298" s="207"/>
      <c r="BT298" s="207"/>
      <c r="BU298" s="207"/>
      <c r="BV298" s="207"/>
      <c r="BW298" s="207"/>
      <c r="BX298" s="207"/>
      <c r="BY298" s="207"/>
      <c r="BZ298" s="207"/>
      <c r="CA298" s="207"/>
      <c r="CB298" s="207"/>
      <c r="CC298" s="207"/>
      <c r="CD298" s="207"/>
      <c r="CE298" s="207"/>
      <c r="CF298" s="207"/>
      <c r="CG298" s="207"/>
      <c r="CH298" s="207"/>
      <c r="CI298" s="207"/>
      <c r="CJ298" s="207"/>
      <c r="CK298" s="207"/>
      <c r="CL298" s="207"/>
      <c r="CM298" s="207"/>
      <c r="CN298" s="207"/>
      <c r="CO298" s="207"/>
      <c r="CP298" s="207"/>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tint="0.39998000860214233"/>
  </sheetPr>
  <dimension ref="A1:AF313"/>
  <sheetViews>
    <sheetView zoomScalePageLayoutView="0" workbookViewId="0" topLeftCell="A1">
      <selection activeCell="L1" sqref="L1"/>
    </sheetView>
  </sheetViews>
  <sheetFormatPr defaultColWidth="9.140625" defaultRowHeight="12.75"/>
  <cols>
    <col min="1" max="1" width="23.00390625" style="0" customWidth="1"/>
    <col min="2" max="2" width="8.57421875" style="0" customWidth="1"/>
    <col min="3" max="3" width="14.140625" style="0" customWidth="1"/>
    <col min="4" max="5" width="12.28125" style="0" customWidth="1"/>
    <col min="6" max="6" width="13.140625" style="0" customWidth="1"/>
    <col min="7" max="7" width="8.421875" style="3" customWidth="1"/>
    <col min="8" max="8" width="8.421875" style="0" customWidth="1"/>
    <col min="9" max="9" width="9.00390625" style="0" customWidth="1"/>
    <col min="10" max="10" width="8.57421875" style="0" customWidth="1"/>
    <col min="11" max="11" width="6.7109375" style="1" customWidth="1"/>
    <col min="12" max="12" width="12.28125" style="1" bestFit="1" customWidth="1"/>
    <col min="13" max="13" width="9.57421875" style="0" customWidth="1"/>
    <col min="14" max="14" width="9.28125" style="0" customWidth="1"/>
    <col min="15" max="15" width="8.28125" style="0" customWidth="1"/>
    <col min="16" max="18" width="9.57421875" style="0" hidden="1" customWidth="1"/>
    <col min="19" max="19" width="0" style="0" hidden="1" customWidth="1"/>
    <col min="21" max="21" width="10.421875" style="0" customWidth="1"/>
    <col min="23" max="23" width="9.7109375" style="0" bestFit="1" customWidth="1"/>
    <col min="24" max="24" width="14.421875" style="0" bestFit="1" customWidth="1"/>
    <col min="25" max="26" width="13.00390625" style="0" customWidth="1"/>
  </cols>
  <sheetData>
    <row r="1" ht="12.75">
      <c r="A1" s="373"/>
    </row>
    <row r="2" spans="1:14" ht="18">
      <c r="A2" s="374" t="s">
        <v>725</v>
      </c>
      <c r="B2" s="374"/>
      <c r="C2" s="374"/>
      <c r="D2" s="374"/>
      <c r="E2" s="374"/>
      <c r="F2" s="374"/>
      <c r="G2" s="375"/>
      <c r="H2" s="374"/>
      <c r="I2" s="374"/>
      <c r="J2" s="374"/>
      <c r="K2" s="376"/>
      <c r="L2" s="377"/>
      <c r="M2" s="374"/>
      <c r="N2" s="374"/>
    </row>
    <row r="3" spans="1:21" ht="13.5">
      <c r="A3" s="217" t="s">
        <v>726</v>
      </c>
      <c r="L3" s="377"/>
      <c r="U3" s="1" t="s">
        <v>727</v>
      </c>
    </row>
    <row r="4" spans="1:26" ht="13.5">
      <c r="A4" s="378" t="s">
        <v>728</v>
      </c>
      <c r="L4" s="379"/>
      <c r="Y4" s="379"/>
      <c r="Z4" s="379"/>
    </row>
    <row r="5" spans="1:11" ht="13.5">
      <c r="A5" s="378" t="s">
        <v>729</v>
      </c>
      <c r="K5" s="380"/>
    </row>
    <row r="6" ht="12.75">
      <c r="A6" s="381" t="s">
        <v>730</v>
      </c>
    </row>
    <row r="7" spans="1:26" ht="12.75">
      <c r="A7" s="382" t="s">
        <v>731</v>
      </c>
      <c r="W7" s="383"/>
      <c r="X7" s="383" t="s">
        <v>732</v>
      </c>
      <c r="Y7" s="383"/>
      <c r="Z7" s="383"/>
    </row>
    <row r="8" spans="23:26" ht="12.75">
      <c r="W8" s="383" t="s">
        <v>733</v>
      </c>
      <c r="X8" s="383" t="s">
        <v>734</v>
      </c>
      <c r="Y8" s="383" t="s">
        <v>735</v>
      </c>
      <c r="Z8" s="383" t="s">
        <v>736</v>
      </c>
    </row>
    <row r="9" spans="1:27" ht="12">
      <c r="A9" s="384" t="s">
        <v>737</v>
      </c>
      <c r="B9" s="385" t="s">
        <v>738</v>
      </c>
      <c r="C9" s="385" t="s">
        <v>739</v>
      </c>
      <c r="D9" s="385" t="s">
        <v>740</v>
      </c>
      <c r="E9" s="385" t="s">
        <v>741</v>
      </c>
      <c r="F9" s="384" t="s">
        <v>742</v>
      </c>
      <c r="G9" s="385"/>
      <c r="H9" s="385" t="s">
        <v>743</v>
      </c>
      <c r="I9" s="386" t="s">
        <v>743</v>
      </c>
      <c r="J9" s="386" t="s">
        <v>743</v>
      </c>
      <c r="K9" s="387" t="s">
        <v>744</v>
      </c>
      <c r="L9" s="387"/>
      <c r="M9" s="388" t="s">
        <v>745</v>
      </c>
      <c r="N9" s="389"/>
      <c r="O9" s="390" t="s">
        <v>746</v>
      </c>
      <c r="P9" s="391" t="s">
        <v>747</v>
      </c>
      <c r="Q9" s="392" t="s">
        <v>748</v>
      </c>
      <c r="R9" s="393" t="s">
        <v>749</v>
      </c>
      <c r="S9" s="175" t="s">
        <v>750</v>
      </c>
      <c r="U9" s="394" t="s">
        <v>737</v>
      </c>
      <c r="V9" s="395"/>
      <c r="W9" s="383" t="s">
        <v>751</v>
      </c>
      <c r="X9" s="383" t="s">
        <v>752</v>
      </c>
      <c r="Y9" s="383" t="s">
        <v>753</v>
      </c>
      <c r="Z9" s="383" t="s">
        <v>754</v>
      </c>
      <c r="AA9" s="3"/>
    </row>
    <row r="10" spans="1:27" ht="12">
      <c r="A10" s="384"/>
      <c r="B10" s="385" t="s">
        <v>755</v>
      </c>
      <c r="C10" s="385" t="s">
        <v>751</v>
      </c>
      <c r="D10" s="385" t="s">
        <v>756</v>
      </c>
      <c r="E10" s="385" t="s">
        <v>757</v>
      </c>
      <c r="F10" s="396" t="s">
        <v>758</v>
      </c>
      <c r="G10" s="397"/>
      <c r="H10" s="385" t="s">
        <v>759</v>
      </c>
      <c r="I10" s="386" t="s">
        <v>760</v>
      </c>
      <c r="J10" s="386" t="s">
        <v>761</v>
      </c>
      <c r="K10" s="398"/>
      <c r="L10" s="398"/>
      <c r="M10" s="399"/>
      <c r="N10" s="400"/>
      <c r="O10" s="401"/>
      <c r="P10" s="402" t="s">
        <v>762</v>
      </c>
      <c r="Q10" s="392" t="s">
        <v>763</v>
      </c>
      <c r="R10" s="403" t="s">
        <v>764</v>
      </c>
      <c r="S10" s="175" t="s">
        <v>765</v>
      </c>
      <c r="U10" s="394"/>
      <c r="V10" s="404"/>
      <c r="W10" s="405" t="s">
        <v>766</v>
      </c>
      <c r="X10" s="406" t="s">
        <v>766</v>
      </c>
      <c r="Y10" s="406" t="s">
        <v>766</v>
      </c>
      <c r="Z10" s="406">
        <v>2017</v>
      </c>
      <c r="AA10" s="407"/>
    </row>
    <row r="11" spans="1:27" ht="12">
      <c r="A11" s="384"/>
      <c r="B11" s="408" t="s">
        <v>767</v>
      </c>
      <c r="C11" s="408">
        <v>2017</v>
      </c>
      <c r="D11" s="408">
        <v>2017</v>
      </c>
      <c r="E11" s="385" t="s">
        <v>768</v>
      </c>
      <c r="F11" s="384"/>
      <c r="G11" s="385" t="s">
        <v>769</v>
      </c>
      <c r="H11" s="385" t="s">
        <v>770</v>
      </c>
      <c r="I11" s="386" t="s">
        <v>771</v>
      </c>
      <c r="J11" s="409" t="s">
        <v>382</v>
      </c>
      <c r="K11" s="410" t="s">
        <v>769</v>
      </c>
      <c r="L11" s="410" t="s">
        <v>361</v>
      </c>
      <c r="M11" s="388" t="s">
        <v>361</v>
      </c>
      <c r="N11" s="389"/>
      <c r="O11" s="411"/>
      <c r="P11" s="411"/>
      <c r="Q11" s="412" t="s">
        <v>772</v>
      </c>
      <c r="R11" s="403"/>
      <c r="S11" s="175">
        <v>2017</v>
      </c>
      <c r="U11" s="413"/>
      <c r="V11" s="395">
        <v>2017</v>
      </c>
      <c r="W11" s="383" t="s">
        <v>361</v>
      </c>
      <c r="X11" s="383" t="s">
        <v>361</v>
      </c>
      <c r="Y11" s="383" t="s">
        <v>361</v>
      </c>
      <c r="Z11" s="383" t="s">
        <v>361</v>
      </c>
      <c r="AA11" s="3"/>
    </row>
    <row r="12" spans="1:27" ht="12.75">
      <c r="A12" s="384"/>
      <c r="B12" s="408">
        <v>2016</v>
      </c>
      <c r="C12" s="408" t="s">
        <v>361</v>
      </c>
      <c r="D12" s="408" t="s">
        <v>361</v>
      </c>
      <c r="E12" s="408">
        <v>2017</v>
      </c>
      <c r="F12" s="385" t="s">
        <v>361</v>
      </c>
      <c r="G12" s="385" t="s">
        <v>773</v>
      </c>
      <c r="H12" s="385" t="s">
        <v>774</v>
      </c>
      <c r="I12" s="386" t="s">
        <v>775</v>
      </c>
      <c r="J12" s="409"/>
      <c r="K12" s="410" t="s">
        <v>773</v>
      </c>
      <c r="L12" s="387"/>
      <c r="M12" s="388"/>
      <c r="N12" s="389"/>
      <c r="O12" s="411"/>
      <c r="P12" s="411"/>
      <c r="Q12" s="175"/>
      <c r="R12" s="403"/>
      <c r="U12" s="383"/>
      <c r="V12" s="414"/>
      <c r="W12" s="415"/>
      <c r="X12" s="415"/>
      <c r="Y12" s="415"/>
      <c r="Z12" s="415"/>
      <c r="AA12" s="3"/>
    </row>
    <row r="13" spans="1:27" ht="12">
      <c r="A13" s="384"/>
      <c r="B13" s="385"/>
      <c r="C13" s="385"/>
      <c r="D13" s="385"/>
      <c r="E13" s="408" t="s">
        <v>361</v>
      </c>
      <c r="F13" s="385"/>
      <c r="G13" s="385"/>
      <c r="H13" s="385"/>
      <c r="I13" s="386" t="s">
        <v>776</v>
      </c>
      <c r="J13" s="385"/>
      <c r="K13" s="410"/>
      <c r="L13" s="387"/>
      <c r="M13" s="388"/>
      <c r="N13" s="389"/>
      <c r="O13" s="411"/>
      <c r="P13" s="411"/>
      <c r="Q13" s="416"/>
      <c r="U13" s="417"/>
      <c r="V13" s="418"/>
      <c r="W13" s="419"/>
      <c r="X13" s="419"/>
      <c r="Y13" s="419"/>
      <c r="Z13" s="419"/>
      <c r="AA13" s="3"/>
    </row>
    <row r="14" spans="1:27" ht="12">
      <c r="A14" s="411"/>
      <c r="B14" s="420"/>
      <c r="C14" s="421"/>
      <c r="D14" s="421"/>
      <c r="E14" s="421"/>
      <c r="F14" s="422"/>
      <c r="G14" s="423"/>
      <c r="H14" s="424"/>
      <c r="I14" s="424"/>
      <c r="J14" s="424"/>
      <c r="K14" s="425"/>
      <c r="L14" s="426"/>
      <c r="M14" s="427"/>
      <c r="N14" s="427"/>
      <c r="O14" s="411"/>
      <c r="P14" s="411"/>
      <c r="Q14" s="411"/>
      <c r="R14" s="411"/>
      <c r="U14" s="417"/>
      <c r="V14" s="428"/>
      <c r="W14" s="429"/>
      <c r="X14" s="429"/>
      <c r="Y14" s="430"/>
      <c r="Z14" s="430"/>
      <c r="AA14" s="3"/>
    </row>
    <row r="15" spans="1:26" s="442" customFormat="1" ht="12">
      <c r="A15" s="431" t="str">
        <f>"Yhteensä ("&amp;COUNTIF(B19:B313,"&gt;0")&amp;")"</f>
        <v>Yhteensä (295)</v>
      </c>
      <c r="B15" s="432">
        <f>SUM(B19:B313)</f>
        <v>5474083</v>
      </c>
      <c r="C15" s="432">
        <f>SUM(C19:C313)</f>
        <v>18440217166.52753</v>
      </c>
      <c r="D15" s="432">
        <f>SUM(D19:D313)</f>
        <v>1706395388.5132196</v>
      </c>
      <c r="E15" s="432">
        <f>SUM(E19:E313)</f>
        <v>10586567.688499998</v>
      </c>
      <c r="F15" s="432">
        <f>SUM(F19:F313)</f>
        <v>20157199122.729275</v>
      </c>
      <c r="G15" s="433">
        <f>ROUND(F15/B15,2)</f>
        <v>3682.3</v>
      </c>
      <c r="H15" s="434">
        <f>COUNT(H19:H313)</f>
        <v>295</v>
      </c>
      <c r="I15" s="434"/>
      <c r="J15" s="434"/>
      <c r="K15" s="435">
        <f>L15/B15</f>
        <v>137.1080024777334</v>
      </c>
      <c r="L15" s="436">
        <f>SUM(L19:L313)</f>
        <v>750540585.5273184</v>
      </c>
      <c r="M15" s="437">
        <f>SUM(M19:M313)</f>
        <v>737852600.1198305</v>
      </c>
      <c r="N15" s="438"/>
      <c r="O15" s="439"/>
      <c r="P15" s="440"/>
      <c r="Q15" s="441"/>
      <c r="R15" s="441"/>
      <c r="U15" s="443" t="s">
        <v>777</v>
      </c>
      <c r="V15" s="444">
        <f>ROUND(100*W15/X15,2)</f>
        <v>19.9</v>
      </c>
      <c r="W15" s="445">
        <f>SUM(W19:W313)</f>
        <v>18439255039.650005</v>
      </c>
      <c r="X15" s="445">
        <f>SUM(X19:X313)</f>
        <v>92664407871.99767</v>
      </c>
      <c r="Y15" s="445">
        <f>SUM(Y19:Y313)</f>
        <v>1706395388.5132196</v>
      </c>
      <c r="Z15" s="445">
        <f>SUM(Z19:Z313)</f>
        <v>683004367</v>
      </c>
    </row>
    <row r="16" spans="1:26" s="457" customFormat="1" ht="12">
      <c r="A16" s="446" t="str">
        <f>"Tasauksen saajat ("&amp;COUNTIF(L19:L313,"&gt;0")&amp;")"</f>
        <v>Tasauksen saajat (266)</v>
      </c>
      <c r="B16" s="447">
        <f>_xlfn.SUMIFS($B$19:$B$313,$L$19:$L$313,"&gt;0")</f>
        <v>3711454</v>
      </c>
      <c r="C16" s="448"/>
      <c r="D16" s="448"/>
      <c r="E16" s="448"/>
      <c r="F16" s="448"/>
      <c r="G16" s="449"/>
      <c r="H16" s="450">
        <f>COUNTIF(H19:H313,"&gt;0")</f>
        <v>266</v>
      </c>
      <c r="I16" s="450"/>
      <c r="J16" s="450"/>
      <c r="K16" s="451">
        <f>L16/B16</f>
        <v>377.3104544346611</v>
      </c>
      <c r="L16" s="452">
        <f>SUMIF($L$19:$L$313,"&gt;0")</f>
        <v>1400370395.3533406</v>
      </c>
      <c r="M16" s="452"/>
      <c r="N16" s="453"/>
      <c r="O16" s="454"/>
      <c r="P16" s="455"/>
      <c r="Q16" s="456"/>
      <c r="R16" s="456"/>
      <c r="U16" s="458"/>
      <c r="V16" s="459"/>
      <c r="W16" s="460"/>
      <c r="X16" s="460"/>
      <c r="Y16" s="460"/>
      <c r="Z16" s="460"/>
    </row>
    <row r="17" spans="1:26" ht="12">
      <c r="A17" s="461" t="str">
        <f>"Tasauksen maksajat ("&amp;COUNTIF(L19:L313,"&lt;0")&amp;")"</f>
        <v>Tasauksen maksajat (29)</v>
      </c>
      <c r="B17" s="462">
        <f>_xlfn.SUMIFS($B$19:$B$313,$L$19:$L$313,"&lt;0")</f>
        <v>1762629</v>
      </c>
      <c r="D17" s="462"/>
      <c r="E17" s="462"/>
      <c r="F17" s="462"/>
      <c r="G17" s="463"/>
      <c r="H17" s="464">
        <f>COUNTIF(H19:H313,"&lt;0")</f>
        <v>29</v>
      </c>
      <c r="I17" s="464"/>
      <c r="J17" s="464"/>
      <c r="K17" s="465">
        <f>L17/B17</f>
        <v>-368.67078087675935</v>
      </c>
      <c r="L17" s="465">
        <f>SUMIF($L$19:$L$313,"&lt;0")</f>
        <v>-649829809.8260214</v>
      </c>
      <c r="M17" s="466"/>
      <c r="O17" s="467"/>
      <c r="P17" s="468"/>
      <c r="Q17" s="469"/>
      <c r="R17" s="469"/>
      <c r="U17" s="417"/>
      <c r="V17" s="470"/>
      <c r="W17" s="471"/>
      <c r="X17" s="471"/>
      <c r="Y17" s="471"/>
      <c r="Z17" s="471"/>
    </row>
    <row r="18" spans="1:26" ht="12.75">
      <c r="A18" s="472"/>
      <c r="B18" s="473"/>
      <c r="C18" s="473"/>
      <c r="D18" s="473"/>
      <c r="E18" s="473"/>
      <c r="F18" s="473"/>
      <c r="G18" s="474"/>
      <c r="H18" s="475"/>
      <c r="I18" s="475"/>
      <c r="J18" s="475"/>
      <c r="K18" s="476"/>
      <c r="L18" s="476"/>
      <c r="M18" s="477"/>
      <c r="N18" s="477"/>
      <c r="O18" s="478"/>
      <c r="P18" s="479"/>
      <c r="Q18" s="469"/>
      <c r="R18" s="480"/>
      <c r="U18" s="417"/>
      <c r="V18" s="481"/>
      <c r="W18" s="417"/>
      <c r="X18" s="417"/>
      <c r="Y18" s="427"/>
      <c r="Z18" s="427"/>
    </row>
    <row r="19" spans="1:32" ht="12">
      <c r="A19" s="482" t="s">
        <v>778</v>
      </c>
      <c r="B19" s="483">
        <v>9899</v>
      </c>
      <c r="C19" s="484">
        <f>$V$15*X19/100</f>
        <v>22302754.042988505</v>
      </c>
      <c r="D19" s="484">
        <f aca="true" t="shared" si="0" ref="D19:D82">Y19</f>
        <v>2225115.1851671846</v>
      </c>
      <c r="E19" s="484">
        <f>IF(Z19=0,0,3.1*Z19/100/2)</f>
        <v>0</v>
      </c>
      <c r="F19" s="484">
        <f>C19+D19+E19</f>
        <v>24527869.22815569</v>
      </c>
      <c r="G19" s="485">
        <f>F19/B19</f>
        <v>2477.812832423042</v>
      </c>
      <c r="H19" s="475">
        <f>$G$15-G19</f>
        <v>1204.4871675769582</v>
      </c>
      <c r="I19" s="380">
        <f>IF(H19&lt;0,LN(-H19),0)</f>
        <v>0</v>
      </c>
      <c r="J19" s="380">
        <f>IF(H19&lt;0,30+I19,0)</f>
        <v>0</v>
      </c>
      <c r="K19" s="476">
        <f aca="true" t="shared" si="1" ref="K19:K82">IF(H19&gt;0,H19*0.8,J19*H19/100)</f>
        <v>963.5897340615666</v>
      </c>
      <c r="L19" s="500">
        <f aca="true" t="shared" si="2" ref="L19:L82">K19*B19</f>
        <v>9538574.777475446</v>
      </c>
      <c r="M19" s="486">
        <v>9852634.980894549</v>
      </c>
      <c r="N19" s="486"/>
      <c r="O19" s="487">
        <v>5</v>
      </c>
      <c r="P19" s="391" t="s">
        <v>778</v>
      </c>
      <c r="Q19" s="488">
        <v>0</v>
      </c>
      <c r="R19" s="489" t="s">
        <v>779</v>
      </c>
      <c r="U19" s="490" t="s">
        <v>60</v>
      </c>
      <c r="V19" s="491">
        <v>21.75</v>
      </c>
      <c r="W19" s="492">
        <v>24376125.65</v>
      </c>
      <c r="X19" s="493">
        <f>100*W19/V19</f>
        <v>112074140.91954023</v>
      </c>
      <c r="Y19" s="492">
        <v>2225115.1851671846</v>
      </c>
      <c r="Z19" s="492">
        <v>0</v>
      </c>
      <c r="AC19">
        <v>5</v>
      </c>
      <c r="AD19">
        <f aca="true" t="shared" si="3" ref="AD19:AD82">O19-AC19</f>
        <v>0</v>
      </c>
      <c r="AF19" s="494"/>
    </row>
    <row r="20" spans="1:32" ht="12">
      <c r="A20" s="468" t="s">
        <v>780</v>
      </c>
      <c r="B20" s="483">
        <v>2639</v>
      </c>
      <c r="C20" s="484">
        <f aca="true" t="shared" si="4" ref="C20:C83">$V$15*X20/100</f>
        <v>6027614.563302325</v>
      </c>
      <c r="D20" s="484">
        <f t="shared" si="0"/>
        <v>251764.81777247885</v>
      </c>
      <c r="E20" s="484">
        <f aca="true" t="shared" si="5" ref="E20:E83">IF(Z20=0,0,3.1*Z20/100/2)</f>
        <v>0</v>
      </c>
      <c r="F20" s="484">
        <f aca="true" t="shared" si="6" ref="F20:F83">C20+D20+E20</f>
        <v>6279379.381074804</v>
      </c>
      <c r="G20" s="485">
        <f aca="true" t="shared" si="7" ref="G20:G83">F20/B20</f>
        <v>2379.454104234484</v>
      </c>
      <c r="H20" s="475">
        <f aca="true" t="shared" si="8" ref="H20:H83">$G$15-G20</f>
        <v>1302.8458957655162</v>
      </c>
      <c r="I20" s="380">
        <f aca="true" t="shared" si="9" ref="I20:I83">IF(H20&lt;0,LN(-H20),0)</f>
        <v>0</v>
      </c>
      <c r="J20" s="380">
        <f aca="true" t="shared" si="10" ref="J20:J83">IF(H20&lt;0,30+I20,0)</f>
        <v>0</v>
      </c>
      <c r="K20" s="476">
        <f t="shared" si="1"/>
        <v>1042.2767166124129</v>
      </c>
      <c r="L20" s="500">
        <f t="shared" si="2"/>
        <v>2750568.2551401574</v>
      </c>
      <c r="M20" s="486">
        <v>2812527.366801861</v>
      </c>
      <c r="N20" s="486"/>
      <c r="O20" s="495">
        <v>9</v>
      </c>
      <c r="P20" s="391" t="s">
        <v>780</v>
      </c>
      <c r="Q20" s="488">
        <v>0</v>
      </c>
      <c r="R20" s="489" t="s">
        <v>781</v>
      </c>
      <c r="U20" s="490" t="s">
        <v>61</v>
      </c>
      <c r="V20" s="491">
        <v>21.5</v>
      </c>
      <c r="W20" s="492">
        <v>6512246.89</v>
      </c>
      <c r="X20" s="493">
        <f aca="true" t="shared" si="11" ref="X20:X83">100*W20/V20</f>
        <v>30289520.41860465</v>
      </c>
      <c r="Y20" s="492">
        <v>251764.81777247885</v>
      </c>
      <c r="Z20" s="492">
        <v>0</v>
      </c>
      <c r="AC20">
        <v>9</v>
      </c>
      <c r="AD20">
        <f t="shared" si="3"/>
        <v>0</v>
      </c>
      <c r="AF20" s="494"/>
    </row>
    <row r="21" spans="1:32" ht="12">
      <c r="A21" s="468" t="s">
        <v>782</v>
      </c>
      <c r="B21" s="483">
        <v>11907</v>
      </c>
      <c r="C21" s="484">
        <f t="shared" si="4"/>
        <v>27055591.861364704</v>
      </c>
      <c r="D21" s="484">
        <f t="shared" si="0"/>
        <v>2474885.226730492</v>
      </c>
      <c r="E21" s="484">
        <f t="shared" si="5"/>
        <v>0</v>
      </c>
      <c r="F21" s="484">
        <f t="shared" si="6"/>
        <v>29530477.088095196</v>
      </c>
      <c r="G21" s="485">
        <f t="shared" si="7"/>
        <v>2480.093817762257</v>
      </c>
      <c r="H21" s="475">
        <f t="shared" si="8"/>
        <v>1202.2061822377432</v>
      </c>
      <c r="I21" s="380">
        <f t="shared" si="9"/>
        <v>0</v>
      </c>
      <c r="J21" s="380">
        <f t="shared" si="10"/>
        <v>0</v>
      </c>
      <c r="K21" s="476">
        <f t="shared" si="1"/>
        <v>961.7649457901946</v>
      </c>
      <c r="L21" s="500">
        <f t="shared" si="2"/>
        <v>11451735.209523847</v>
      </c>
      <c r="M21" s="486">
        <v>11667547.489991523</v>
      </c>
      <c r="N21" s="486"/>
      <c r="O21" s="495">
        <v>10</v>
      </c>
      <c r="P21" s="391" t="s">
        <v>782</v>
      </c>
      <c r="Q21" s="488">
        <v>0</v>
      </c>
      <c r="R21" s="489" t="s">
        <v>779</v>
      </c>
      <c r="U21" s="490" t="s">
        <v>62</v>
      </c>
      <c r="V21" s="491">
        <v>21.25</v>
      </c>
      <c r="W21" s="492">
        <v>28891021.46</v>
      </c>
      <c r="X21" s="493">
        <f t="shared" si="11"/>
        <v>135957748.04705882</v>
      </c>
      <c r="Y21" s="492">
        <v>2474885.226730492</v>
      </c>
      <c r="Z21" s="492">
        <v>0</v>
      </c>
      <c r="AC21">
        <v>10</v>
      </c>
      <c r="AD21">
        <f t="shared" si="3"/>
        <v>0</v>
      </c>
      <c r="AF21" s="494"/>
    </row>
    <row r="22" spans="1:32" ht="12">
      <c r="A22" s="468" t="s">
        <v>783</v>
      </c>
      <c r="B22" s="483">
        <v>8323</v>
      </c>
      <c r="C22" s="484">
        <f t="shared" si="4"/>
        <v>23708575.46356626</v>
      </c>
      <c r="D22" s="484">
        <f t="shared" si="0"/>
        <v>1448644.5357178382</v>
      </c>
      <c r="E22" s="484">
        <f t="shared" si="5"/>
        <v>0</v>
      </c>
      <c r="F22" s="484">
        <f t="shared" si="6"/>
        <v>25157219.999284096</v>
      </c>
      <c r="G22" s="485">
        <f t="shared" si="7"/>
        <v>3022.6144418219505</v>
      </c>
      <c r="H22" s="475">
        <f t="shared" si="8"/>
        <v>659.6855581780496</v>
      </c>
      <c r="I22" s="380">
        <f t="shared" si="9"/>
        <v>0</v>
      </c>
      <c r="J22" s="380">
        <f t="shared" si="10"/>
        <v>0</v>
      </c>
      <c r="K22" s="476">
        <f t="shared" si="1"/>
        <v>527.7484465424398</v>
      </c>
      <c r="L22" s="500">
        <f t="shared" si="2"/>
        <v>4392450.320572726</v>
      </c>
      <c r="M22" s="486">
        <v>4102731.6472636163</v>
      </c>
      <c r="N22" s="486"/>
      <c r="O22" s="495">
        <v>16</v>
      </c>
      <c r="P22" s="391" t="s">
        <v>783</v>
      </c>
      <c r="Q22" s="488">
        <v>0</v>
      </c>
      <c r="R22" s="489" t="s">
        <v>784</v>
      </c>
      <c r="U22" s="490" t="s">
        <v>63</v>
      </c>
      <c r="V22" s="491">
        <v>20.75</v>
      </c>
      <c r="W22" s="492">
        <v>24721253.31</v>
      </c>
      <c r="X22" s="493">
        <f t="shared" si="11"/>
        <v>119138570.16867469</v>
      </c>
      <c r="Y22" s="492">
        <v>1448644.5357178382</v>
      </c>
      <c r="Z22" s="492">
        <v>0</v>
      </c>
      <c r="AC22">
        <v>16</v>
      </c>
      <c r="AD22">
        <f t="shared" si="3"/>
        <v>0</v>
      </c>
      <c r="AF22" s="494"/>
    </row>
    <row r="23" spans="1:32" ht="12">
      <c r="A23" s="468" t="s">
        <v>785</v>
      </c>
      <c r="B23" s="483">
        <v>5046</v>
      </c>
      <c r="C23" s="484">
        <f t="shared" si="4"/>
        <v>15845287.190650601</v>
      </c>
      <c r="D23" s="484">
        <f t="shared" si="0"/>
        <v>950649.0816969065</v>
      </c>
      <c r="E23" s="484">
        <f t="shared" si="5"/>
        <v>0</v>
      </c>
      <c r="F23" s="484">
        <f t="shared" si="6"/>
        <v>16795936.272347506</v>
      </c>
      <c r="G23" s="485">
        <f t="shared" si="7"/>
        <v>3328.564461424397</v>
      </c>
      <c r="H23" s="475">
        <f t="shared" si="8"/>
        <v>353.7355385756032</v>
      </c>
      <c r="I23" s="380">
        <f t="shared" si="9"/>
        <v>0</v>
      </c>
      <c r="J23" s="380">
        <f t="shared" si="10"/>
        <v>0</v>
      </c>
      <c r="K23" s="476">
        <f t="shared" si="1"/>
        <v>282.98843086048254</v>
      </c>
      <c r="L23" s="500">
        <f t="shared" si="2"/>
        <v>1427959.6221219948</v>
      </c>
      <c r="M23" s="486">
        <v>1426137.8073441957</v>
      </c>
      <c r="N23" s="486"/>
      <c r="O23" s="495">
        <v>18</v>
      </c>
      <c r="P23" s="391" t="s">
        <v>785</v>
      </c>
      <c r="Q23" s="488">
        <v>0</v>
      </c>
      <c r="R23" s="489" t="s">
        <v>786</v>
      </c>
      <c r="U23" s="490" t="s">
        <v>64</v>
      </c>
      <c r="V23" s="491">
        <v>20.75</v>
      </c>
      <c r="W23" s="492">
        <v>16522095.94</v>
      </c>
      <c r="X23" s="493">
        <f t="shared" si="11"/>
        <v>79624558.74698795</v>
      </c>
      <c r="Y23" s="492">
        <v>950649.0816969065</v>
      </c>
      <c r="Z23" s="492">
        <v>0</v>
      </c>
      <c r="AC23">
        <v>18</v>
      </c>
      <c r="AD23">
        <f t="shared" si="3"/>
        <v>0</v>
      </c>
      <c r="AF23" s="494"/>
    </row>
    <row r="24" spans="1:32" ht="12">
      <c r="A24" s="468" t="s">
        <v>787</v>
      </c>
      <c r="B24" s="483">
        <v>3984</v>
      </c>
      <c r="C24" s="484">
        <f t="shared" si="4"/>
        <v>11871612.968367815</v>
      </c>
      <c r="D24" s="484">
        <f t="shared" si="0"/>
        <v>493180.85943224153</v>
      </c>
      <c r="E24" s="484">
        <f t="shared" si="5"/>
        <v>0</v>
      </c>
      <c r="F24" s="484">
        <f t="shared" si="6"/>
        <v>12364793.827800056</v>
      </c>
      <c r="G24" s="485">
        <f t="shared" si="7"/>
        <v>3103.6129085843513</v>
      </c>
      <c r="H24" s="475">
        <f t="shared" si="8"/>
        <v>578.6870914156489</v>
      </c>
      <c r="I24" s="380">
        <f t="shared" si="9"/>
        <v>0</v>
      </c>
      <c r="J24" s="380">
        <f t="shared" si="10"/>
        <v>0</v>
      </c>
      <c r="K24" s="476">
        <f t="shared" si="1"/>
        <v>462.94967313251914</v>
      </c>
      <c r="L24" s="500">
        <f t="shared" si="2"/>
        <v>1844391.4977599562</v>
      </c>
      <c r="M24" s="486">
        <v>1755077.788310806</v>
      </c>
      <c r="N24" s="486"/>
      <c r="O24" s="495">
        <v>19</v>
      </c>
      <c r="P24" s="391" t="s">
        <v>787</v>
      </c>
      <c r="Q24" s="488">
        <v>0</v>
      </c>
      <c r="R24" s="489" t="s">
        <v>788</v>
      </c>
      <c r="U24" s="490" t="s">
        <v>65</v>
      </c>
      <c r="V24" s="491">
        <v>21.75</v>
      </c>
      <c r="W24" s="492">
        <v>12975255.38</v>
      </c>
      <c r="X24" s="493">
        <f t="shared" si="11"/>
        <v>59656346.57471264</v>
      </c>
      <c r="Y24" s="492">
        <v>493180.85943224153</v>
      </c>
      <c r="Z24" s="492">
        <v>0</v>
      </c>
      <c r="AC24">
        <v>19</v>
      </c>
      <c r="AD24">
        <f t="shared" si="3"/>
        <v>0</v>
      </c>
      <c r="AF24" s="494"/>
    </row>
    <row r="25" spans="1:32" ht="12">
      <c r="A25" s="468" t="s">
        <v>59</v>
      </c>
      <c r="B25" s="483">
        <v>16923</v>
      </c>
      <c r="C25" s="484">
        <f t="shared" si="4"/>
        <v>49817982.59538823</v>
      </c>
      <c r="D25" s="484">
        <f t="shared" si="0"/>
        <v>1726898.7529434408</v>
      </c>
      <c r="E25" s="484">
        <f t="shared" si="5"/>
        <v>0</v>
      </c>
      <c r="F25" s="484">
        <f t="shared" si="6"/>
        <v>51544881.348331675</v>
      </c>
      <c r="G25" s="485">
        <f t="shared" si="7"/>
        <v>3045.847742618429</v>
      </c>
      <c r="H25" s="475">
        <f t="shared" si="8"/>
        <v>636.4522573815711</v>
      </c>
      <c r="I25" s="380">
        <f t="shared" si="9"/>
        <v>0</v>
      </c>
      <c r="J25" s="380">
        <f t="shared" si="10"/>
        <v>0</v>
      </c>
      <c r="K25" s="476">
        <f t="shared" si="1"/>
        <v>509.1618059052569</v>
      </c>
      <c r="L25" s="500">
        <f t="shared" si="2"/>
        <v>8616545.241334664</v>
      </c>
      <c r="M25" s="486">
        <v>8804862.26012235</v>
      </c>
      <c r="N25" s="486"/>
      <c r="O25" s="495">
        <v>20</v>
      </c>
      <c r="P25" s="391" t="s">
        <v>59</v>
      </c>
      <c r="Q25" s="488">
        <v>0</v>
      </c>
      <c r="R25" s="489" t="s">
        <v>789</v>
      </c>
      <c r="U25" s="490" t="s">
        <v>59</v>
      </c>
      <c r="V25" s="491">
        <v>21.25</v>
      </c>
      <c r="W25" s="492">
        <v>53197594.48</v>
      </c>
      <c r="X25" s="493">
        <f t="shared" si="11"/>
        <v>250341621.08235294</v>
      </c>
      <c r="Y25" s="492">
        <v>1726898.7529434408</v>
      </c>
      <c r="Z25" s="492">
        <v>0</v>
      </c>
      <c r="AC25">
        <v>20</v>
      </c>
      <c r="AD25">
        <f t="shared" si="3"/>
        <v>0</v>
      </c>
      <c r="AF25" s="494"/>
    </row>
    <row r="26" spans="1:32" ht="12">
      <c r="A26" s="468" t="s">
        <v>790</v>
      </c>
      <c r="B26" s="483">
        <v>1453</v>
      </c>
      <c r="C26" s="484">
        <f t="shared" si="4"/>
        <v>3315597.1269523804</v>
      </c>
      <c r="D26" s="484">
        <f t="shared" si="0"/>
        <v>533237.808619434</v>
      </c>
      <c r="E26" s="484">
        <f t="shared" si="5"/>
        <v>0</v>
      </c>
      <c r="F26" s="484">
        <f t="shared" si="6"/>
        <v>3848834.9355718144</v>
      </c>
      <c r="G26" s="485">
        <f t="shared" si="7"/>
        <v>2648.8884621967063</v>
      </c>
      <c r="H26" s="475">
        <f t="shared" si="8"/>
        <v>1033.4115378032939</v>
      </c>
      <c r="I26" s="380">
        <f t="shared" si="9"/>
        <v>0</v>
      </c>
      <c r="J26" s="380">
        <f t="shared" si="10"/>
        <v>0</v>
      </c>
      <c r="K26" s="476">
        <f t="shared" si="1"/>
        <v>826.7292302426351</v>
      </c>
      <c r="L26" s="500">
        <f t="shared" si="2"/>
        <v>1201237.571542549</v>
      </c>
      <c r="M26" s="486">
        <v>1127235.5798361907</v>
      </c>
      <c r="N26" s="486"/>
      <c r="O26" s="495">
        <v>46</v>
      </c>
      <c r="P26" s="391" t="s">
        <v>790</v>
      </c>
      <c r="Q26" s="488">
        <v>0</v>
      </c>
      <c r="R26" s="489" t="s">
        <v>791</v>
      </c>
      <c r="U26" s="490" t="s">
        <v>66</v>
      </c>
      <c r="V26" s="491">
        <v>21</v>
      </c>
      <c r="W26" s="492">
        <v>3498871.34</v>
      </c>
      <c r="X26" s="493">
        <f t="shared" si="11"/>
        <v>16661292.095238095</v>
      </c>
      <c r="Y26" s="492">
        <v>533237.808619434</v>
      </c>
      <c r="Z26" s="492">
        <v>0</v>
      </c>
      <c r="AC26">
        <v>46</v>
      </c>
      <c r="AD26">
        <f t="shared" si="3"/>
        <v>0</v>
      </c>
      <c r="AF26" s="494"/>
    </row>
    <row r="27" spans="1:32" ht="12">
      <c r="A27" s="468" t="s">
        <v>792</v>
      </c>
      <c r="B27" s="483">
        <v>1872</v>
      </c>
      <c r="C27" s="484">
        <f t="shared" si="4"/>
        <v>4653348.199529411</v>
      </c>
      <c r="D27" s="484">
        <f t="shared" si="0"/>
        <v>379639.8698736546</v>
      </c>
      <c r="E27" s="484">
        <f t="shared" si="5"/>
        <v>0</v>
      </c>
      <c r="F27" s="484">
        <f t="shared" si="6"/>
        <v>5032988.069403066</v>
      </c>
      <c r="G27" s="485">
        <f t="shared" si="7"/>
        <v>2688.562002886253</v>
      </c>
      <c r="H27" s="475">
        <f t="shared" si="8"/>
        <v>993.737997113747</v>
      </c>
      <c r="I27" s="380">
        <f t="shared" si="9"/>
        <v>0</v>
      </c>
      <c r="J27" s="380">
        <f t="shared" si="10"/>
        <v>0</v>
      </c>
      <c r="K27" s="476">
        <f t="shared" si="1"/>
        <v>794.9903976909977</v>
      </c>
      <c r="L27" s="500">
        <f t="shared" si="2"/>
        <v>1488222.0244775477</v>
      </c>
      <c r="M27" s="486">
        <v>1572747.5985844694</v>
      </c>
      <c r="N27" s="486"/>
      <c r="O27" s="495">
        <v>47</v>
      </c>
      <c r="P27" s="496" t="s">
        <v>793</v>
      </c>
      <c r="Q27" s="488">
        <v>0</v>
      </c>
      <c r="R27" s="489" t="s">
        <v>794</v>
      </c>
      <c r="U27" s="490" t="s">
        <v>67</v>
      </c>
      <c r="V27" s="491">
        <v>21.25</v>
      </c>
      <c r="W27" s="492">
        <v>4969027.6</v>
      </c>
      <c r="X27" s="493">
        <f t="shared" si="11"/>
        <v>23383659.294117644</v>
      </c>
      <c r="Y27" s="492">
        <v>379639.8698736546</v>
      </c>
      <c r="Z27" s="492">
        <v>0</v>
      </c>
      <c r="AC27">
        <v>47</v>
      </c>
      <c r="AD27">
        <f t="shared" si="3"/>
        <v>0</v>
      </c>
      <c r="AF27" s="494"/>
    </row>
    <row r="28" spans="1:32" ht="12">
      <c r="A28" s="468" t="s">
        <v>795</v>
      </c>
      <c r="B28" s="483">
        <v>274583</v>
      </c>
      <c r="C28" s="484">
        <f t="shared" si="4"/>
        <v>1346985107.7366111</v>
      </c>
      <c r="D28" s="484">
        <f t="shared" si="0"/>
        <v>123252370.00008745</v>
      </c>
      <c r="E28" s="484">
        <f t="shared" si="5"/>
        <v>0</v>
      </c>
      <c r="F28" s="484">
        <f t="shared" si="6"/>
        <v>1470237477.7366986</v>
      </c>
      <c r="G28" s="485">
        <f t="shared" si="7"/>
        <v>5354.437374989342</v>
      </c>
      <c r="H28" s="475">
        <f t="shared" si="8"/>
        <v>-1672.1373749893419</v>
      </c>
      <c r="I28" s="380">
        <f t="shared" si="9"/>
        <v>7.421857952344494</v>
      </c>
      <c r="J28" s="380">
        <f t="shared" si="10"/>
        <v>37.421857952344496</v>
      </c>
      <c r="K28" s="476">
        <f t="shared" si="1"/>
        <v>-625.7448732365735</v>
      </c>
      <c r="L28" s="500">
        <f t="shared" si="2"/>
        <v>-171818904.52791807</v>
      </c>
      <c r="M28" s="486">
        <v>-173399148.99325478</v>
      </c>
      <c r="N28" s="486"/>
      <c r="O28" s="495">
        <v>49</v>
      </c>
      <c r="P28" s="496" t="s">
        <v>796</v>
      </c>
      <c r="Q28" s="488">
        <v>1</v>
      </c>
      <c r="R28" s="489" t="s">
        <v>786</v>
      </c>
      <c r="U28" s="490" t="s">
        <v>68</v>
      </c>
      <c r="V28" s="491">
        <v>18</v>
      </c>
      <c r="W28" s="492">
        <v>1218378489.41</v>
      </c>
      <c r="X28" s="493">
        <f t="shared" si="11"/>
        <v>6768769385.611112</v>
      </c>
      <c r="Y28" s="492">
        <v>123252370.00008745</v>
      </c>
      <c r="Z28" s="492">
        <v>0</v>
      </c>
      <c r="AC28">
        <v>49</v>
      </c>
      <c r="AD28">
        <f t="shared" si="3"/>
        <v>0</v>
      </c>
      <c r="AF28" s="494"/>
    </row>
    <row r="29" spans="1:32" ht="12">
      <c r="A29" s="482" t="s">
        <v>797</v>
      </c>
      <c r="B29" s="483">
        <v>12004</v>
      </c>
      <c r="C29" s="484">
        <f t="shared" si="4"/>
        <v>37023921.56726829</v>
      </c>
      <c r="D29" s="484">
        <f t="shared" si="0"/>
        <v>2022920.4708728597</v>
      </c>
      <c r="E29" s="484">
        <f t="shared" si="5"/>
        <v>0</v>
      </c>
      <c r="F29" s="484">
        <f t="shared" si="6"/>
        <v>39046842.03814115</v>
      </c>
      <c r="G29" s="485">
        <f t="shared" si="7"/>
        <v>3252.8192301017284</v>
      </c>
      <c r="H29" s="475">
        <f t="shared" si="8"/>
        <v>429.4807698982718</v>
      </c>
      <c r="I29" s="380">
        <f t="shared" si="9"/>
        <v>0</v>
      </c>
      <c r="J29" s="380">
        <f t="shared" si="10"/>
        <v>0</v>
      </c>
      <c r="K29" s="476">
        <f t="shared" si="1"/>
        <v>343.58461591861743</v>
      </c>
      <c r="L29" s="500">
        <f t="shared" si="2"/>
        <v>4124389.729487084</v>
      </c>
      <c r="M29" s="486">
        <v>4092048.431996096</v>
      </c>
      <c r="N29" s="486"/>
      <c r="O29" s="487">
        <v>50</v>
      </c>
      <c r="P29" s="391" t="s">
        <v>797</v>
      </c>
      <c r="Q29" s="488">
        <v>0</v>
      </c>
      <c r="R29" s="489" t="s">
        <v>798</v>
      </c>
      <c r="U29" s="490" t="s">
        <v>69</v>
      </c>
      <c r="V29" s="491">
        <v>20.5</v>
      </c>
      <c r="W29" s="492">
        <v>38140220.71</v>
      </c>
      <c r="X29" s="493">
        <f t="shared" si="11"/>
        <v>186049857.12195122</v>
      </c>
      <c r="Y29" s="492">
        <v>2022920.4708728597</v>
      </c>
      <c r="Z29" s="492">
        <v>0</v>
      </c>
      <c r="AA29" s="492"/>
      <c r="AC29">
        <v>50</v>
      </c>
      <c r="AD29">
        <f t="shared" si="3"/>
        <v>0</v>
      </c>
      <c r="AF29" s="494"/>
    </row>
    <row r="30" spans="1:32" ht="12">
      <c r="A30" s="468" t="s">
        <v>799</v>
      </c>
      <c r="B30" s="483">
        <v>9418</v>
      </c>
      <c r="C30" s="484">
        <f t="shared" si="4"/>
        <v>31464831.026777778</v>
      </c>
      <c r="D30" s="484">
        <f t="shared" si="0"/>
        <v>1812383.530803171</v>
      </c>
      <c r="E30" s="484">
        <f t="shared" si="5"/>
        <v>8788845.851499999</v>
      </c>
      <c r="F30" s="484">
        <f t="shared" si="6"/>
        <v>42066060.409080945</v>
      </c>
      <c r="G30" s="485">
        <f t="shared" si="7"/>
        <v>4466.55982258239</v>
      </c>
      <c r="H30" s="475">
        <f t="shared" si="8"/>
        <v>-784.2598225823895</v>
      </c>
      <c r="I30" s="380">
        <f t="shared" si="9"/>
        <v>6.66474037180254</v>
      </c>
      <c r="J30" s="380">
        <f t="shared" si="10"/>
        <v>36.66474037180254</v>
      </c>
      <c r="K30" s="476">
        <f t="shared" si="1"/>
        <v>-287.5468277901923</v>
      </c>
      <c r="L30" s="500">
        <f t="shared" si="2"/>
        <v>-2708116.024128031</v>
      </c>
      <c r="M30" s="486">
        <v>-2553061.4909729874</v>
      </c>
      <c r="N30" s="486"/>
      <c r="O30" s="495">
        <v>51</v>
      </c>
      <c r="P30" s="496" t="s">
        <v>800</v>
      </c>
      <c r="Q30" s="488">
        <v>0</v>
      </c>
      <c r="R30" s="489" t="s">
        <v>798</v>
      </c>
      <c r="S30">
        <v>1</v>
      </c>
      <c r="U30" s="490" t="s">
        <v>70</v>
      </c>
      <c r="V30" s="491">
        <v>18</v>
      </c>
      <c r="W30" s="492">
        <v>28460651.18</v>
      </c>
      <c r="X30" s="493">
        <f t="shared" si="11"/>
        <v>158114728.7777778</v>
      </c>
      <c r="Y30" s="492">
        <v>1812383.530803171</v>
      </c>
      <c r="Z30" s="492">
        <v>567022313</v>
      </c>
      <c r="AA30" s="492"/>
      <c r="AC30">
        <v>51</v>
      </c>
      <c r="AD30">
        <f t="shared" si="3"/>
        <v>0</v>
      </c>
      <c r="AF30" s="494"/>
    </row>
    <row r="31" spans="1:32" ht="12">
      <c r="A31" s="468" t="s">
        <v>801</v>
      </c>
      <c r="B31" s="483">
        <v>2535</v>
      </c>
      <c r="C31" s="484">
        <f t="shared" si="4"/>
        <v>6097127.928976744</v>
      </c>
      <c r="D31" s="484">
        <f t="shared" si="0"/>
        <v>682627.4350580621</v>
      </c>
      <c r="E31" s="484">
        <f t="shared" si="5"/>
        <v>0</v>
      </c>
      <c r="F31" s="484">
        <f t="shared" si="6"/>
        <v>6779755.364034806</v>
      </c>
      <c r="G31" s="485">
        <f t="shared" si="7"/>
        <v>2674.4597096784246</v>
      </c>
      <c r="H31" s="475">
        <f t="shared" si="8"/>
        <v>1007.8402903215756</v>
      </c>
      <c r="I31" s="380">
        <f t="shared" si="9"/>
        <v>0</v>
      </c>
      <c r="J31" s="380">
        <f t="shared" si="10"/>
        <v>0</v>
      </c>
      <c r="K31" s="476">
        <f t="shared" si="1"/>
        <v>806.2722322572605</v>
      </c>
      <c r="L31" s="500">
        <f t="shared" si="2"/>
        <v>2043900.1087721554</v>
      </c>
      <c r="M31" s="486">
        <v>1827507.7530716273</v>
      </c>
      <c r="N31" s="486"/>
      <c r="O31" s="495">
        <v>52</v>
      </c>
      <c r="P31" s="391" t="s">
        <v>801</v>
      </c>
      <c r="Q31" s="488">
        <v>0</v>
      </c>
      <c r="R31" s="489" t="s">
        <v>779</v>
      </c>
      <c r="U31" s="490" t="s">
        <v>71</v>
      </c>
      <c r="V31" s="491">
        <v>21.5</v>
      </c>
      <c r="W31" s="492">
        <v>6587349.27</v>
      </c>
      <c r="X31" s="493">
        <f t="shared" si="11"/>
        <v>30638833.81395349</v>
      </c>
      <c r="Y31" s="492">
        <v>682627.4350580621</v>
      </c>
      <c r="Z31" s="492">
        <v>0</v>
      </c>
      <c r="AC31">
        <v>52</v>
      </c>
      <c r="AD31">
        <f t="shared" si="3"/>
        <v>0</v>
      </c>
      <c r="AF31" s="494"/>
    </row>
    <row r="32" spans="1:32" ht="12">
      <c r="A32" s="468" t="s">
        <v>802</v>
      </c>
      <c r="B32" s="483">
        <v>17332</v>
      </c>
      <c r="C32" s="484">
        <f t="shared" si="4"/>
        <v>49617563.20907317</v>
      </c>
      <c r="D32" s="484">
        <f t="shared" si="0"/>
        <v>3543287.876281608</v>
      </c>
      <c r="E32" s="484">
        <f t="shared" si="5"/>
        <v>0</v>
      </c>
      <c r="F32" s="484">
        <f t="shared" si="6"/>
        <v>53160851.085354775</v>
      </c>
      <c r="G32" s="485">
        <f t="shared" si="7"/>
        <v>3067.208117087167</v>
      </c>
      <c r="H32" s="475">
        <f t="shared" si="8"/>
        <v>615.0918829128332</v>
      </c>
      <c r="I32" s="380">
        <f t="shared" si="9"/>
        <v>0</v>
      </c>
      <c r="J32" s="380">
        <f t="shared" si="10"/>
        <v>0</v>
      </c>
      <c r="K32" s="476">
        <f t="shared" si="1"/>
        <v>492.0735063302666</v>
      </c>
      <c r="L32" s="500">
        <f t="shared" si="2"/>
        <v>8528618.01171618</v>
      </c>
      <c r="M32" s="486">
        <v>8641080.220016</v>
      </c>
      <c r="N32" s="486"/>
      <c r="O32" s="495">
        <v>61</v>
      </c>
      <c r="P32" s="391" t="s">
        <v>802</v>
      </c>
      <c r="Q32" s="488">
        <v>0</v>
      </c>
      <c r="R32" s="489" t="s">
        <v>803</v>
      </c>
      <c r="U32" s="490" t="s">
        <v>72</v>
      </c>
      <c r="V32" s="491">
        <v>20.5</v>
      </c>
      <c r="W32" s="492">
        <v>51113570.14</v>
      </c>
      <c r="X32" s="493">
        <f t="shared" si="11"/>
        <v>249334488.4878049</v>
      </c>
      <c r="Y32" s="492">
        <v>3543287.876281608</v>
      </c>
      <c r="Z32" s="492">
        <v>0</v>
      </c>
      <c r="AC32">
        <v>61</v>
      </c>
      <c r="AD32">
        <f t="shared" si="3"/>
        <v>0</v>
      </c>
      <c r="AF32" s="494"/>
    </row>
    <row r="33" spans="1:32" ht="12">
      <c r="A33" s="468" t="s">
        <v>804</v>
      </c>
      <c r="B33" s="483">
        <v>7332</v>
      </c>
      <c r="C33" s="484">
        <f t="shared" si="4"/>
        <v>17341185.44640909</v>
      </c>
      <c r="D33" s="484">
        <f t="shared" si="0"/>
        <v>1580572.7887853493</v>
      </c>
      <c r="E33" s="484">
        <f t="shared" si="5"/>
        <v>0</v>
      </c>
      <c r="F33" s="484">
        <f t="shared" si="6"/>
        <v>18921758.23519444</v>
      </c>
      <c r="G33" s="485">
        <f t="shared" si="7"/>
        <v>2580.7089791590893</v>
      </c>
      <c r="H33" s="475">
        <f t="shared" si="8"/>
        <v>1101.591020840911</v>
      </c>
      <c r="I33" s="380">
        <f t="shared" si="9"/>
        <v>0</v>
      </c>
      <c r="J33" s="380">
        <f t="shared" si="10"/>
        <v>0</v>
      </c>
      <c r="K33" s="476">
        <f t="shared" si="1"/>
        <v>881.2728166727288</v>
      </c>
      <c r="L33" s="500">
        <f t="shared" si="2"/>
        <v>6461492.291844448</v>
      </c>
      <c r="M33" s="486">
        <v>6768100.261334546</v>
      </c>
      <c r="N33" s="486"/>
      <c r="O33" s="495">
        <v>69</v>
      </c>
      <c r="P33" s="391" t="s">
        <v>804</v>
      </c>
      <c r="Q33" s="488">
        <v>0</v>
      </c>
      <c r="R33" s="489" t="s">
        <v>781</v>
      </c>
      <c r="U33" s="490" t="s">
        <v>73</v>
      </c>
      <c r="V33" s="491">
        <v>22</v>
      </c>
      <c r="W33" s="492">
        <v>19171159.79</v>
      </c>
      <c r="X33" s="493">
        <f t="shared" si="11"/>
        <v>87141635.4090909</v>
      </c>
      <c r="Y33" s="492">
        <v>1580572.7887853493</v>
      </c>
      <c r="Z33" s="492">
        <v>0</v>
      </c>
      <c r="AC33">
        <v>69</v>
      </c>
      <c r="AD33">
        <f t="shared" si="3"/>
        <v>0</v>
      </c>
      <c r="AF33" s="494"/>
    </row>
    <row r="34" spans="1:32" ht="12">
      <c r="A34" s="468" t="s">
        <v>805</v>
      </c>
      <c r="B34" s="483">
        <v>7098</v>
      </c>
      <c r="C34" s="484">
        <f t="shared" si="4"/>
        <v>15910561.484272726</v>
      </c>
      <c r="D34" s="484">
        <f t="shared" si="0"/>
        <v>1156808.0937578254</v>
      </c>
      <c r="E34" s="484">
        <f t="shared" si="5"/>
        <v>0</v>
      </c>
      <c r="F34" s="484">
        <f t="shared" si="6"/>
        <v>17067369.578030553</v>
      </c>
      <c r="G34" s="485">
        <f t="shared" si="7"/>
        <v>2404.532203160123</v>
      </c>
      <c r="H34" s="475">
        <f t="shared" si="8"/>
        <v>1277.767796839877</v>
      </c>
      <c r="I34" s="380">
        <f t="shared" si="9"/>
        <v>0</v>
      </c>
      <c r="J34" s="380">
        <f t="shared" si="10"/>
        <v>0</v>
      </c>
      <c r="K34" s="476">
        <f t="shared" si="1"/>
        <v>1022.2142374719017</v>
      </c>
      <c r="L34" s="500">
        <f t="shared" si="2"/>
        <v>7255676.657575558</v>
      </c>
      <c r="M34" s="486">
        <v>7198116.480025455</v>
      </c>
      <c r="N34" s="486"/>
      <c r="O34" s="495">
        <v>71</v>
      </c>
      <c r="P34" s="391" t="s">
        <v>805</v>
      </c>
      <c r="Q34" s="488">
        <v>0</v>
      </c>
      <c r="R34" s="489" t="s">
        <v>781</v>
      </c>
      <c r="U34" s="490" t="s">
        <v>74</v>
      </c>
      <c r="V34" s="491">
        <v>22</v>
      </c>
      <c r="W34" s="492">
        <v>17589565.46</v>
      </c>
      <c r="X34" s="493">
        <f t="shared" si="11"/>
        <v>79952570.27272727</v>
      </c>
      <c r="Y34" s="492">
        <v>1156808.0937578254</v>
      </c>
      <c r="Z34" s="492">
        <v>0</v>
      </c>
      <c r="AC34">
        <v>71</v>
      </c>
      <c r="AD34">
        <f t="shared" si="3"/>
        <v>0</v>
      </c>
      <c r="AF34" s="494"/>
    </row>
    <row r="35" spans="1:32" ht="12">
      <c r="A35" s="468" t="s">
        <v>806</v>
      </c>
      <c r="B35" s="483">
        <v>994</v>
      </c>
      <c r="C35" s="484">
        <f t="shared" si="4"/>
        <v>3014713.53575</v>
      </c>
      <c r="D35" s="484">
        <f t="shared" si="0"/>
        <v>104353.58614729295</v>
      </c>
      <c r="E35" s="484">
        <f t="shared" si="5"/>
        <v>0</v>
      </c>
      <c r="F35" s="484">
        <f t="shared" si="6"/>
        <v>3119067.121897293</v>
      </c>
      <c r="G35" s="485">
        <f t="shared" si="7"/>
        <v>3137.8944888302744</v>
      </c>
      <c r="H35" s="475">
        <f t="shared" si="8"/>
        <v>544.4055111697257</v>
      </c>
      <c r="I35" s="380">
        <f t="shared" si="9"/>
        <v>0</v>
      </c>
      <c r="J35" s="380">
        <f t="shared" si="10"/>
        <v>0</v>
      </c>
      <c r="K35" s="476">
        <f t="shared" si="1"/>
        <v>435.5244089357806</v>
      </c>
      <c r="L35" s="500">
        <f t="shared" si="2"/>
        <v>432911.26248216594</v>
      </c>
      <c r="M35" s="486">
        <v>414390.1595680003</v>
      </c>
      <c r="N35" s="486"/>
      <c r="O35" s="495">
        <v>72</v>
      </c>
      <c r="P35" s="496" t="s">
        <v>807</v>
      </c>
      <c r="Q35" s="488">
        <v>0</v>
      </c>
      <c r="R35" s="489" t="s">
        <v>781</v>
      </c>
      <c r="U35" s="490" t="s">
        <v>75</v>
      </c>
      <c r="V35" s="491">
        <v>20</v>
      </c>
      <c r="W35" s="492">
        <v>3029862.85</v>
      </c>
      <c r="X35" s="493">
        <f t="shared" si="11"/>
        <v>15149314.25</v>
      </c>
      <c r="Y35" s="492">
        <v>104353.58614729295</v>
      </c>
      <c r="Z35" s="492">
        <v>0</v>
      </c>
      <c r="AC35">
        <v>72</v>
      </c>
      <c r="AD35">
        <f t="shared" si="3"/>
        <v>0</v>
      </c>
      <c r="AF35" s="494"/>
    </row>
    <row r="36" spans="1:32" ht="12">
      <c r="A36" s="468" t="s">
        <v>808</v>
      </c>
      <c r="B36" s="483">
        <v>1219</v>
      </c>
      <c r="C36" s="484">
        <f t="shared" si="4"/>
        <v>2525814.9263181817</v>
      </c>
      <c r="D36" s="484">
        <f t="shared" si="0"/>
        <v>508205.5001885617</v>
      </c>
      <c r="E36" s="484">
        <f t="shared" si="5"/>
        <v>0</v>
      </c>
      <c r="F36" s="484">
        <f t="shared" si="6"/>
        <v>3034020.4265067433</v>
      </c>
      <c r="G36" s="485">
        <f t="shared" si="7"/>
        <v>2488.942105419806</v>
      </c>
      <c r="H36" s="475">
        <f t="shared" si="8"/>
        <v>1193.3578945801942</v>
      </c>
      <c r="I36" s="380">
        <f t="shared" si="9"/>
        <v>0</v>
      </c>
      <c r="J36" s="380">
        <f t="shared" si="10"/>
        <v>0</v>
      </c>
      <c r="K36" s="476">
        <f t="shared" si="1"/>
        <v>954.6863156641554</v>
      </c>
      <c r="L36" s="500">
        <f t="shared" si="2"/>
        <v>1163762.6187946054</v>
      </c>
      <c r="M36" s="486">
        <v>1127621.020416744</v>
      </c>
      <c r="N36" s="486"/>
      <c r="O36" s="495">
        <v>74</v>
      </c>
      <c r="P36" s="391" t="s">
        <v>808</v>
      </c>
      <c r="Q36" s="488">
        <v>0</v>
      </c>
      <c r="R36" s="489" t="s">
        <v>809</v>
      </c>
      <c r="U36" s="490" t="s">
        <v>76</v>
      </c>
      <c r="V36" s="491">
        <v>22</v>
      </c>
      <c r="W36" s="492">
        <v>2792358.21</v>
      </c>
      <c r="X36" s="493">
        <f t="shared" si="11"/>
        <v>12692537.318181818</v>
      </c>
      <c r="Y36" s="492">
        <v>508205.5001885617</v>
      </c>
      <c r="Z36" s="492">
        <v>0</v>
      </c>
      <c r="AC36">
        <v>74</v>
      </c>
      <c r="AD36">
        <f t="shared" si="3"/>
        <v>0</v>
      </c>
      <c r="AF36" s="494"/>
    </row>
    <row r="37" spans="1:32" ht="12">
      <c r="A37" s="468" t="s">
        <v>810</v>
      </c>
      <c r="B37" s="483">
        <v>20636</v>
      </c>
      <c r="C37" s="484">
        <f t="shared" si="4"/>
        <v>65291738.18457141</v>
      </c>
      <c r="D37" s="484">
        <f t="shared" si="0"/>
        <v>4771921.394093193</v>
      </c>
      <c r="E37" s="484">
        <f t="shared" si="5"/>
        <v>0</v>
      </c>
      <c r="F37" s="484">
        <f t="shared" si="6"/>
        <v>70063659.5786646</v>
      </c>
      <c r="G37" s="485">
        <f t="shared" si="7"/>
        <v>3395.2151375588583</v>
      </c>
      <c r="H37" s="475">
        <f t="shared" si="8"/>
        <v>287.0848624411419</v>
      </c>
      <c r="I37" s="380">
        <f t="shared" si="9"/>
        <v>0</v>
      </c>
      <c r="J37" s="380">
        <f t="shared" si="10"/>
        <v>0</v>
      </c>
      <c r="K37" s="476">
        <f t="shared" si="1"/>
        <v>229.66788995291355</v>
      </c>
      <c r="L37" s="500">
        <f t="shared" si="2"/>
        <v>4739426.577068324</v>
      </c>
      <c r="M37" s="486">
        <v>4746524.246449519</v>
      </c>
      <c r="N37" s="486"/>
      <c r="O37" s="495">
        <v>75</v>
      </c>
      <c r="P37" s="496" t="s">
        <v>811</v>
      </c>
      <c r="Q37" s="488">
        <v>0</v>
      </c>
      <c r="R37" s="489" t="s">
        <v>812</v>
      </c>
      <c r="U37" s="490" t="s">
        <v>77</v>
      </c>
      <c r="V37" s="491">
        <v>21</v>
      </c>
      <c r="W37" s="492">
        <v>68900829.24</v>
      </c>
      <c r="X37" s="493">
        <f t="shared" si="11"/>
        <v>328099186.8571428</v>
      </c>
      <c r="Y37" s="492">
        <v>4771921.394093193</v>
      </c>
      <c r="Z37" s="492">
        <v>0</v>
      </c>
      <c r="AC37">
        <v>75</v>
      </c>
      <c r="AD37">
        <f t="shared" si="3"/>
        <v>0</v>
      </c>
      <c r="AF37" s="494"/>
    </row>
    <row r="38" spans="1:32" ht="12">
      <c r="A38" s="468" t="s">
        <v>813</v>
      </c>
      <c r="B38" s="483">
        <v>5159</v>
      </c>
      <c r="C38" s="484">
        <f t="shared" si="4"/>
        <v>11526412.103863634</v>
      </c>
      <c r="D38" s="484">
        <f t="shared" si="0"/>
        <v>784006.4327640989</v>
      </c>
      <c r="E38" s="484">
        <f t="shared" si="5"/>
        <v>0</v>
      </c>
      <c r="F38" s="484">
        <f t="shared" si="6"/>
        <v>12310418.536627732</v>
      </c>
      <c r="G38" s="485">
        <f t="shared" si="7"/>
        <v>2386.202468817161</v>
      </c>
      <c r="H38" s="475">
        <f t="shared" si="8"/>
        <v>1296.0975311828392</v>
      </c>
      <c r="I38" s="380">
        <f t="shared" si="9"/>
        <v>0</v>
      </c>
      <c r="J38" s="380">
        <f t="shared" si="10"/>
        <v>0</v>
      </c>
      <c r="K38" s="476">
        <f t="shared" si="1"/>
        <v>1036.8780249462714</v>
      </c>
      <c r="L38" s="500">
        <f t="shared" si="2"/>
        <v>5349253.730697813</v>
      </c>
      <c r="M38" s="486">
        <v>5423520.71958909</v>
      </c>
      <c r="N38" s="486"/>
      <c r="O38" s="495">
        <v>77</v>
      </c>
      <c r="P38" s="391" t="s">
        <v>813</v>
      </c>
      <c r="Q38" s="488">
        <v>0</v>
      </c>
      <c r="R38" s="489" t="s">
        <v>814</v>
      </c>
      <c r="U38" s="490" t="s">
        <v>78</v>
      </c>
      <c r="V38" s="491">
        <v>22</v>
      </c>
      <c r="W38" s="492">
        <v>12742767.15</v>
      </c>
      <c r="X38" s="493">
        <f t="shared" si="11"/>
        <v>57921668.86363637</v>
      </c>
      <c r="Y38" s="492">
        <v>784006.4327640989</v>
      </c>
      <c r="Z38" s="492">
        <v>0</v>
      </c>
      <c r="AC38">
        <v>77</v>
      </c>
      <c r="AD38">
        <f t="shared" si="3"/>
        <v>0</v>
      </c>
      <c r="AF38" s="494"/>
    </row>
    <row r="39" spans="1:32" ht="12">
      <c r="A39" s="468" t="s">
        <v>815</v>
      </c>
      <c r="B39" s="483">
        <v>8663</v>
      </c>
      <c r="C39" s="484">
        <f t="shared" si="4"/>
        <v>30115929.354344826</v>
      </c>
      <c r="D39" s="484">
        <f t="shared" si="0"/>
        <v>2612832.106972828</v>
      </c>
      <c r="E39" s="484">
        <f t="shared" si="5"/>
        <v>0</v>
      </c>
      <c r="F39" s="484">
        <f t="shared" si="6"/>
        <v>32728761.461317655</v>
      </c>
      <c r="G39" s="485">
        <f t="shared" si="7"/>
        <v>3777.993935278501</v>
      </c>
      <c r="H39" s="475">
        <f t="shared" si="8"/>
        <v>-95.6939352785007</v>
      </c>
      <c r="I39" s="380">
        <f t="shared" si="9"/>
        <v>4.5611549242303315</v>
      </c>
      <c r="J39" s="380">
        <f t="shared" si="10"/>
        <v>34.56115492423033</v>
      </c>
      <c r="K39" s="476">
        <f t="shared" si="1"/>
        <v>-33.07292922469533</v>
      </c>
      <c r="L39" s="500">
        <f t="shared" si="2"/>
        <v>-286510.7858735356</v>
      </c>
      <c r="M39" s="486">
        <v>-123730.67614889234</v>
      </c>
      <c r="N39" s="486"/>
      <c r="O39" s="495">
        <v>78</v>
      </c>
      <c r="P39" s="496" t="s">
        <v>816</v>
      </c>
      <c r="Q39" s="488">
        <v>1</v>
      </c>
      <c r="R39" s="489" t="s">
        <v>786</v>
      </c>
      <c r="U39" s="490" t="s">
        <v>79</v>
      </c>
      <c r="V39" s="491">
        <v>21.75</v>
      </c>
      <c r="W39" s="492">
        <v>32915651.43</v>
      </c>
      <c r="X39" s="493">
        <f t="shared" si="11"/>
        <v>151336328.41379312</v>
      </c>
      <c r="Y39" s="492">
        <v>2612832.106972828</v>
      </c>
      <c r="Z39" s="492">
        <v>0</v>
      </c>
      <c r="AC39">
        <v>78</v>
      </c>
      <c r="AD39">
        <f t="shared" si="3"/>
        <v>0</v>
      </c>
      <c r="AF39" s="494"/>
    </row>
    <row r="40" spans="1:32" ht="12">
      <c r="A40" s="468" t="s">
        <v>817</v>
      </c>
      <c r="B40" s="483">
        <v>7240</v>
      </c>
      <c r="C40" s="484">
        <f t="shared" si="4"/>
        <v>22940283.350843374</v>
      </c>
      <c r="D40" s="484">
        <f t="shared" si="0"/>
        <v>8723733.294989819</v>
      </c>
      <c r="E40" s="484">
        <f t="shared" si="5"/>
        <v>0</v>
      </c>
      <c r="F40" s="484">
        <f t="shared" si="6"/>
        <v>31664016.645833194</v>
      </c>
      <c r="G40" s="485">
        <f t="shared" si="7"/>
        <v>4373.482962131657</v>
      </c>
      <c r="H40" s="475">
        <f t="shared" si="8"/>
        <v>-691.1829621316565</v>
      </c>
      <c r="I40" s="380">
        <f t="shared" si="9"/>
        <v>6.538404567492253</v>
      </c>
      <c r="J40" s="380">
        <f t="shared" si="10"/>
        <v>36.53840456749225</v>
      </c>
      <c r="K40" s="476">
        <f t="shared" si="1"/>
        <v>-252.5472270052414</v>
      </c>
      <c r="L40" s="500">
        <f t="shared" si="2"/>
        <v>-1828441.9235179478</v>
      </c>
      <c r="M40" s="486">
        <v>-679844.3795915728</v>
      </c>
      <c r="N40" s="486"/>
      <c r="O40" s="495">
        <v>79</v>
      </c>
      <c r="P40" s="391" t="s">
        <v>817</v>
      </c>
      <c r="Q40" s="488">
        <v>0</v>
      </c>
      <c r="R40" s="489" t="s">
        <v>798</v>
      </c>
      <c r="U40" s="490" t="s">
        <v>80</v>
      </c>
      <c r="V40" s="491">
        <v>20.75</v>
      </c>
      <c r="W40" s="492">
        <v>23920144.7</v>
      </c>
      <c r="X40" s="493">
        <f t="shared" si="11"/>
        <v>115277805.78313252</v>
      </c>
      <c r="Y40" s="492">
        <v>8723733.294989819</v>
      </c>
      <c r="Z40" s="492">
        <v>0</v>
      </c>
      <c r="AC40">
        <v>79</v>
      </c>
      <c r="AD40">
        <f t="shared" si="3"/>
        <v>0</v>
      </c>
      <c r="AF40" s="494"/>
    </row>
    <row r="41" spans="1:32" ht="12">
      <c r="A41" s="468" t="s">
        <v>818</v>
      </c>
      <c r="B41" s="483">
        <v>2924</v>
      </c>
      <c r="C41" s="484">
        <f t="shared" si="4"/>
        <v>6614858.722511628</v>
      </c>
      <c r="D41" s="484">
        <f t="shared" si="0"/>
        <v>1248670.6950216629</v>
      </c>
      <c r="E41" s="484">
        <f t="shared" si="5"/>
        <v>0</v>
      </c>
      <c r="F41" s="484">
        <f t="shared" si="6"/>
        <v>7863529.417533291</v>
      </c>
      <c r="G41" s="485">
        <f t="shared" si="7"/>
        <v>2689.3055463520145</v>
      </c>
      <c r="H41" s="475">
        <f t="shared" si="8"/>
        <v>992.9944536479857</v>
      </c>
      <c r="I41" s="380">
        <f t="shared" si="9"/>
        <v>0</v>
      </c>
      <c r="J41" s="380">
        <f t="shared" si="10"/>
        <v>0</v>
      </c>
      <c r="K41" s="476">
        <f t="shared" si="1"/>
        <v>794.3955629183886</v>
      </c>
      <c r="L41" s="500">
        <f t="shared" si="2"/>
        <v>2322812.625973368</v>
      </c>
      <c r="M41" s="486">
        <v>2403090.2864930234</v>
      </c>
      <c r="N41" s="486"/>
      <c r="O41" s="495">
        <v>81</v>
      </c>
      <c r="P41" s="391" t="s">
        <v>818</v>
      </c>
      <c r="Q41" s="488">
        <v>0</v>
      </c>
      <c r="R41" s="489" t="s">
        <v>784</v>
      </c>
      <c r="U41" s="490" t="s">
        <v>81</v>
      </c>
      <c r="V41" s="491">
        <v>21.5</v>
      </c>
      <c r="W41" s="492">
        <v>7146706.66</v>
      </c>
      <c r="X41" s="493">
        <f t="shared" si="11"/>
        <v>33240496.093023255</v>
      </c>
      <c r="Y41" s="492">
        <v>1248670.6950216629</v>
      </c>
      <c r="Z41" s="492">
        <v>0</v>
      </c>
      <c r="AC41">
        <v>81</v>
      </c>
      <c r="AD41">
        <f t="shared" si="3"/>
        <v>0</v>
      </c>
      <c r="AF41" s="494"/>
    </row>
    <row r="42" spans="1:32" ht="12">
      <c r="A42" s="468" t="s">
        <v>819</v>
      </c>
      <c r="B42" s="483">
        <v>9682</v>
      </c>
      <c r="C42" s="484">
        <f t="shared" si="4"/>
        <v>32636673.454829264</v>
      </c>
      <c r="D42" s="484">
        <f t="shared" si="0"/>
        <v>1204462.4271332955</v>
      </c>
      <c r="E42" s="484">
        <f t="shared" si="5"/>
        <v>0</v>
      </c>
      <c r="F42" s="484">
        <f t="shared" si="6"/>
        <v>33841135.88196256</v>
      </c>
      <c r="G42" s="485">
        <f t="shared" si="7"/>
        <v>3495.2629500064613</v>
      </c>
      <c r="H42" s="475">
        <f t="shared" si="8"/>
        <v>187.03704999353886</v>
      </c>
      <c r="I42" s="380">
        <f t="shared" si="9"/>
        <v>0</v>
      </c>
      <c r="J42" s="380">
        <f t="shared" si="10"/>
        <v>0</v>
      </c>
      <c r="K42" s="476">
        <f t="shared" si="1"/>
        <v>149.62963999483108</v>
      </c>
      <c r="L42" s="500">
        <f t="shared" si="2"/>
        <v>1448714.1744299545</v>
      </c>
      <c r="M42" s="486">
        <v>1631945.5436959965</v>
      </c>
      <c r="N42" s="486"/>
      <c r="O42" s="495">
        <v>82</v>
      </c>
      <c r="P42" s="391" t="s">
        <v>819</v>
      </c>
      <c r="Q42" s="488">
        <v>0</v>
      </c>
      <c r="R42" s="489" t="s">
        <v>803</v>
      </c>
      <c r="U42" s="490" t="s">
        <v>82</v>
      </c>
      <c r="V42" s="491">
        <v>20.5</v>
      </c>
      <c r="W42" s="492">
        <v>33620693.76</v>
      </c>
      <c r="X42" s="493">
        <f t="shared" si="11"/>
        <v>164003384.19512194</v>
      </c>
      <c r="Y42" s="492">
        <v>1204462.4271332955</v>
      </c>
      <c r="Z42" s="492">
        <v>0</v>
      </c>
      <c r="AC42">
        <v>82</v>
      </c>
      <c r="AD42">
        <f t="shared" si="3"/>
        <v>0</v>
      </c>
      <c r="AF42" s="494"/>
    </row>
    <row r="43" spans="1:32" ht="12">
      <c r="A43" s="468" t="s">
        <v>820</v>
      </c>
      <c r="B43" s="483">
        <v>8641</v>
      </c>
      <c r="C43" s="484">
        <f t="shared" si="4"/>
        <v>26726010.347441856</v>
      </c>
      <c r="D43" s="484">
        <f t="shared" si="0"/>
        <v>1047737.6894776043</v>
      </c>
      <c r="E43" s="484">
        <f t="shared" si="5"/>
        <v>0</v>
      </c>
      <c r="F43" s="484">
        <f t="shared" si="6"/>
        <v>27773748.03691946</v>
      </c>
      <c r="G43" s="485">
        <f t="shared" si="7"/>
        <v>3214.1821591157805</v>
      </c>
      <c r="H43" s="475">
        <f t="shared" si="8"/>
        <v>468.11784088421973</v>
      </c>
      <c r="I43" s="380">
        <f t="shared" si="9"/>
        <v>0</v>
      </c>
      <c r="J43" s="380">
        <f t="shared" si="10"/>
        <v>0</v>
      </c>
      <c r="K43" s="476">
        <f t="shared" si="1"/>
        <v>374.4942727073758</v>
      </c>
      <c r="L43" s="500">
        <f t="shared" si="2"/>
        <v>3236005.010464434</v>
      </c>
      <c r="M43" s="486">
        <v>3159904.876911626</v>
      </c>
      <c r="N43" s="486"/>
      <c r="O43" s="495">
        <v>86</v>
      </c>
      <c r="P43" s="391" t="s">
        <v>820</v>
      </c>
      <c r="Q43" s="488">
        <v>0</v>
      </c>
      <c r="R43" s="489" t="s">
        <v>803</v>
      </c>
      <c r="U43" s="490" t="s">
        <v>83</v>
      </c>
      <c r="V43" s="491">
        <v>21.5</v>
      </c>
      <c r="W43" s="492">
        <v>28874835.3</v>
      </c>
      <c r="X43" s="493">
        <f t="shared" si="11"/>
        <v>134301559.5348837</v>
      </c>
      <c r="Y43" s="492">
        <v>1047737.6894776043</v>
      </c>
      <c r="Z43" s="492">
        <v>0</v>
      </c>
      <c r="AC43">
        <v>86</v>
      </c>
      <c r="AD43">
        <f t="shared" si="3"/>
        <v>0</v>
      </c>
      <c r="AF43" s="494"/>
    </row>
    <row r="44" spans="1:32" ht="12">
      <c r="A44" s="468" t="s">
        <v>821</v>
      </c>
      <c r="B44" s="483">
        <v>3514</v>
      </c>
      <c r="C44" s="484">
        <f t="shared" si="4"/>
        <v>7876494.191036143</v>
      </c>
      <c r="D44" s="484">
        <f t="shared" si="0"/>
        <v>2007902.9969771714</v>
      </c>
      <c r="E44" s="484">
        <f t="shared" si="5"/>
        <v>0</v>
      </c>
      <c r="F44" s="484">
        <f t="shared" si="6"/>
        <v>9884397.188013315</v>
      </c>
      <c r="G44" s="485">
        <f t="shared" si="7"/>
        <v>2812.862034152907</v>
      </c>
      <c r="H44" s="475">
        <f t="shared" si="8"/>
        <v>869.437965847093</v>
      </c>
      <c r="I44" s="380">
        <f t="shared" si="9"/>
        <v>0</v>
      </c>
      <c r="J44" s="380">
        <f t="shared" si="10"/>
        <v>0</v>
      </c>
      <c r="K44" s="476">
        <f t="shared" si="1"/>
        <v>695.5503726776744</v>
      </c>
      <c r="L44" s="500">
        <f t="shared" si="2"/>
        <v>2444164.009589348</v>
      </c>
      <c r="M44" s="486">
        <v>2264416.2060260247</v>
      </c>
      <c r="N44" s="486"/>
      <c r="O44" s="495">
        <v>90</v>
      </c>
      <c r="P44" s="391" t="s">
        <v>821</v>
      </c>
      <c r="Q44" s="488">
        <v>0</v>
      </c>
      <c r="R44" s="489" t="s">
        <v>791</v>
      </c>
      <c r="U44" s="490" t="s">
        <v>85</v>
      </c>
      <c r="V44" s="491">
        <v>20.75</v>
      </c>
      <c r="W44" s="492">
        <v>8212927.36</v>
      </c>
      <c r="X44" s="493">
        <f t="shared" si="11"/>
        <v>39580372.81927711</v>
      </c>
      <c r="Y44" s="492">
        <v>2007902.9969771714</v>
      </c>
      <c r="Z44" s="492">
        <v>0</v>
      </c>
      <c r="AC44">
        <v>90</v>
      </c>
      <c r="AD44">
        <f t="shared" si="3"/>
        <v>0</v>
      </c>
      <c r="AF44" s="494"/>
    </row>
    <row r="45" spans="1:32" ht="12">
      <c r="A45" s="468" t="s">
        <v>822</v>
      </c>
      <c r="B45" s="483">
        <v>635181</v>
      </c>
      <c r="C45" s="484">
        <f t="shared" si="4"/>
        <v>2758212641.5831347</v>
      </c>
      <c r="D45" s="484">
        <f t="shared" si="0"/>
        <v>494559257.81283766</v>
      </c>
      <c r="E45" s="484">
        <f t="shared" si="5"/>
        <v>0</v>
      </c>
      <c r="F45" s="484">
        <f t="shared" si="6"/>
        <v>3252771899.3959723</v>
      </c>
      <c r="G45" s="485">
        <f t="shared" si="7"/>
        <v>5121.015741018658</v>
      </c>
      <c r="H45" s="475">
        <f t="shared" si="8"/>
        <v>-1438.7157410186583</v>
      </c>
      <c r="I45" s="380">
        <f t="shared" si="9"/>
        <v>7.2715061481235095</v>
      </c>
      <c r="J45" s="380">
        <f t="shared" si="10"/>
        <v>37.27150614812351</v>
      </c>
      <c r="K45" s="476">
        <f t="shared" si="1"/>
        <v>-536.2310258677899</v>
      </c>
      <c r="L45" s="500">
        <f t="shared" si="2"/>
        <v>-340603759.24172866</v>
      </c>
      <c r="M45" s="486">
        <v>-319276692.5010444</v>
      </c>
      <c r="N45" s="486"/>
      <c r="O45" s="495">
        <v>91</v>
      </c>
      <c r="P45" s="496" t="s">
        <v>823</v>
      </c>
      <c r="Q45" s="488">
        <v>1</v>
      </c>
      <c r="R45" s="489" t="s">
        <v>786</v>
      </c>
      <c r="U45" s="490" t="s">
        <v>86</v>
      </c>
      <c r="V45" s="491">
        <v>18.5</v>
      </c>
      <c r="W45" s="492">
        <v>2564167531.12</v>
      </c>
      <c r="X45" s="493">
        <f t="shared" si="11"/>
        <v>13860365033.081081</v>
      </c>
      <c r="Y45" s="492">
        <v>494559257.81283766</v>
      </c>
      <c r="Z45" s="492">
        <v>0</v>
      </c>
      <c r="AC45">
        <v>91</v>
      </c>
      <c r="AD45">
        <f t="shared" si="3"/>
        <v>0</v>
      </c>
      <c r="AF45" s="494"/>
    </row>
    <row r="46" spans="1:32" ht="12">
      <c r="A46" s="468" t="s">
        <v>824</v>
      </c>
      <c r="B46" s="483">
        <v>219341</v>
      </c>
      <c r="C46" s="484">
        <f t="shared" si="4"/>
        <v>844234515.2381577</v>
      </c>
      <c r="D46" s="484">
        <f t="shared" si="0"/>
        <v>74936486.0734798</v>
      </c>
      <c r="E46" s="484">
        <f t="shared" si="5"/>
        <v>0</v>
      </c>
      <c r="F46" s="484">
        <f t="shared" si="6"/>
        <v>919171001.3116375</v>
      </c>
      <c r="G46" s="485">
        <f t="shared" si="7"/>
        <v>4190.602766065795</v>
      </c>
      <c r="H46" s="475">
        <f t="shared" si="8"/>
        <v>-508.30276606579446</v>
      </c>
      <c r="I46" s="380">
        <f t="shared" si="9"/>
        <v>6.231077266235797</v>
      </c>
      <c r="J46" s="380">
        <f t="shared" si="10"/>
        <v>36.2310772662358</v>
      </c>
      <c r="K46" s="476">
        <f t="shared" si="1"/>
        <v>-184.1635679197118</v>
      </c>
      <c r="L46" s="500">
        <f t="shared" si="2"/>
        <v>-40394621.1510775</v>
      </c>
      <c r="M46" s="486">
        <v>-41649402.5241368</v>
      </c>
      <c r="N46" s="486"/>
      <c r="O46" s="495">
        <v>92</v>
      </c>
      <c r="P46" s="496" t="s">
        <v>825</v>
      </c>
      <c r="Q46" s="488">
        <v>1</v>
      </c>
      <c r="R46" s="489" t="s">
        <v>786</v>
      </c>
      <c r="U46" s="490" t="s">
        <v>334</v>
      </c>
      <c r="V46" s="491">
        <v>19</v>
      </c>
      <c r="W46" s="492">
        <v>806053054.75</v>
      </c>
      <c r="X46" s="493">
        <f t="shared" si="11"/>
        <v>4242384498.6842103</v>
      </c>
      <c r="Y46" s="492">
        <v>74936486.0734798</v>
      </c>
      <c r="Z46" s="492">
        <v>0</v>
      </c>
      <c r="AC46">
        <v>92</v>
      </c>
      <c r="AD46">
        <f t="shared" si="3"/>
        <v>0</v>
      </c>
      <c r="AF46" s="494"/>
    </row>
    <row r="47" spans="1:32" ht="12">
      <c r="A47" s="468" t="s">
        <v>826</v>
      </c>
      <c r="B47" s="483">
        <v>2274</v>
      </c>
      <c r="C47" s="484">
        <f t="shared" si="4"/>
        <v>5550020.2709</v>
      </c>
      <c r="D47" s="484">
        <f t="shared" si="0"/>
        <v>846383.3749121219</v>
      </c>
      <c r="E47" s="484">
        <f t="shared" si="5"/>
        <v>0</v>
      </c>
      <c r="F47" s="484">
        <f t="shared" si="6"/>
        <v>6396403.645812122</v>
      </c>
      <c r="G47" s="485">
        <f t="shared" si="7"/>
        <v>2812.8424124063863</v>
      </c>
      <c r="H47" s="475">
        <f t="shared" si="8"/>
        <v>869.4575875936139</v>
      </c>
      <c r="I47" s="380">
        <f t="shared" si="9"/>
        <v>0</v>
      </c>
      <c r="J47" s="380">
        <f t="shared" si="10"/>
        <v>0</v>
      </c>
      <c r="K47" s="476">
        <f t="shared" si="1"/>
        <v>695.5660700748912</v>
      </c>
      <c r="L47" s="500">
        <f t="shared" si="2"/>
        <v>1581717.2433503026</v>
      </c>
      <c r="M47" s="486">
        <v>1574441.9140841027</v>
      </c>
      <c r="N47" s="486"/>
      <c r="O47" s="495">
        <v>97</v>
      </c>
      <c r="P47" s="391" t="s">
        <v>826</v>
      </c>
      <c r="Q47" s="488">
        <v>0</v>
      </c>
      <c r="R47" s="489" t="s">
        <v>791</v>
      </c>
      <c r="U47" s="490" t="s">
        <v>87</v>
      </c>
      <c r="V47" s="491">
        <v>20</v>
      </c>
      <c r="W47" s="492">
        <v>5577909.82</v>
      </c>
      <c r="X47" s="493">
        <f t="shared" si="11"/>
        <v>27889549.1</v>
      </c>
      <c r="Y47" s="492">
        <v>846383.3749121219</v>
      </c>
      <c r="Z47" s="492">
        <v>0</v>
      </c>
      <c r="AC47">
        <v>97</v>
      </c>
      <c r="AD47">
        <f t="shared" si="3"/>
        <v>0</v>
      </c>
      <c r="AF47" s="494"/>
    </row>
    <row r="48" spans="1:32" s="1" customFormat="1" ht="12.75">
      <c r="A48" s="468" t="s">
        <v>827</v>
      </c>
      <c r="B48" s="483">
        <v>23791</v>
      </c>
      <c r="C48" s="484">
        <f t="shared" si="4"/>
        <v>76692452.13614285</v>
      </c>
      <c r="D48" s="484">
        <f t="shared" si="0"/>
        <v>2690800.2131461576</v>
      </c>
      <c r="E48" s="484">
        <f t="shared" si="5"/>
        <v>0</v>
      </c>
      <c r="F48" s="484">
        <f t="shared" si="6"/>
        <v>79383252.349289</v>
      </c>
      <c r="G48" s="485">
        <f t="shared" si="7"/>
        <v>3336.6925454705142</v>
      </c>
      <c r="H48" s="475">
        <f t="shared" si="8"/>
        <v>345.60745452948595</v>
      </c>
      <c r="I48" s="380">
        <f t="shared" si="9"/>
        <v>0</v>
      </c>
      <c r="J48" s="380">
        <f t="shared" si="10"/>
        <v>0</v>
      </c>
      <c r="K48" s="476">
        <f t="shared" si="1"/>
        <v>276.48596362358876</v>
      </c>
      <c r="L48" s="500">
        <f t="shared" si="2"/>
        <v>6577877.5605688</v>
      </c>
      <c r="M48" s="497">
        <v>6257280.169436187</v>
      </c>
      <c r="N48" s="486"/>
      <c r="O48" s="495">
        <v>98</v>
      </c>
      <c r="P48" s="391" t="s">
        <v>827</v>
      </c>
      <c r="Q48" s="488">
        <v>0</v>
      </c>
      <c r="R48" s="489" t="s">
        <v>784</v>
      </c>
      <c r="S48"/>
      <c r="T48"/>
      <c r="U48" s="490" t="s">
        <v>88</v>
      </c>
      <c r="V48" s="491">
        <v>21</v>
      </c>
      <c r="W48" s="492">
        <v>80931733.41</v>
      </c>
      <c r="X48" s="493">
        <f t="shared" si="11"/>
        <v>385389206.71428573</v>
      </c>
      <c r="Y48" s="492">
        <v>2690800.2131461576</v>
      </c>
      <c r="Z48" s="492">
        <v>0</v>
      </c>
      <c r="AA48"/>
      <c r="AC48" s="1">
        <v>98</v>
      </c>
      <c r="AD48">
        <f t="shared" si="3"/>
        <v>0</v>
      </c>
      <c r="AF48" s="494"/>
    </row>
    <row r="49" spans="1:32" ht="12">
      <c r="A49" s="468" t="s">
        <v>828</v>
      </c>
      <c r="B49" s="483">
        <v>1759</v>
      </c>
      <c r="C49" s="484">
        <f t="shared" si="4"/>
        <v>3903420.5305454545</v>
      </c>
      <c r="D49" s="484">
        <f t="shared" si="0"/>
        <v>783996.7063103843</v>
      </c>
      <c r="E49" s="484">
        <f t="shared" si="5"/>
        <v>0</v>
      </c>
      <c r="F49" s="484">
        <f t="shared" si="6"/>
        <v>4687417.236855838</v>
      </c>
      <c r="G49" s="485">
        <f t="shared" si="7"/>
        <v>2664.8193501170203</v>
      </c>
      <c r="H49" s="475">
        <f t="shared" si="8"/>
        <v>1017.4806498829798</v>
      </c>
      <c r="I49" s="380">
        <f t="shared" si="9"/>
        <v>0</v>
      </c>
      <c r="J49" s="380">
        <f t="shared" si="10"/>
        <v>0</v>
      </c>
      <c r="K49" s="476">
        <f t="shared" si="1"/>
        <v>813.9845199063839</v>
      </c>
      <c r="L49" s="500">
        <f t="shared" si="2"/>
        <v>1431798.7705153292</v>
      </c>
      <c r="M49" s="486">
        <v>1185194.0850902314</v>
      </c>
      <c r="N49" s="486"/>
      <c r="O49" s="495">
        <v>99</v>
      </c>
      <c r="P49" s="391" t="s">
        <v>828</v>
      </c>
      <c r="Q49" s="488">
        <v>0</v>
      </c>
      <c r="R49" s="489" t="s">
        <v>798</v>
      </c>
      <c r="U49" s="490" t="s">
        <v>89</v>
      </c>
      <c r="V49" s="491">
        <v>22</v>
      </c>
      <c r="W49" s="492">
        <v>4315339.28</v>
      </c>
      <c r="X49" s="493">
        <f t="shared" si="11"/>
        <v>19615178.545454547</v>
      </c>
      <c r="Y49" s="492">
        <v>783996.7063103843</v>
      </c>
      <c r="Z49" s="492">
        <v>0</v>
      </c>
      <c r="AC49">
        <v>99</v>
      </c>
      <c r="AD49">
        <f t="shared" si="3"/>
        <v>0</v>
      </c>
      <c r="AF49" s="494"/>
    </row>
    <row r="50" spans="1:32" ht="12">
      <c r="A50" s="482" t="s">
        <v>829</v>
      </c>
      <c r="B50" s="483">
        <v>10403</v>
      </c>
      <c r="C50" s="484">
        <f t="shared" si="4"/>
        <v>27618873.675614454</v>
      </c>
      <c r="D50" s="484">
        <f t="shared" si="0"/>
        <v>1796350.069093162</v>
      </c>
      <c r="E50" s="484">
        <f t="shared" si="5"/>
        <v>0</v>
      </c>
      <c r="F50" s="484">
        <f t="shared" si="6"/>
        <v>29415223.744707614</v>
      </c>
      <c r="G50" s="485">
        <f t="shared" si="7"/>
        <v>2827.5712529758353</v>
      </c>
      <c r="H50" s="475">
        <f t="shared" si="8"/>
        <v>854.7287470241649</v>
      </c>
      <c r="I50" s="380">
        <f t="shared" si="9"/>
        <v>0</v>
      </c>
      <c r="J50" s="380">
        <f t="shared" si="10"/>
        <v>0</v>
      </c>
      <c r="K50" s="476">
        <f t="shared" si="1"/>
        <v>683.782997619332</v>
      </c>
      <c r="L50" s="500">
        <f t="shared" si="2"/>
        <v>7113394.524233911</v>
      </c>
      <c r="M50" s="486">
        <v>7073339.609201951</v>
      </c>
      <c r="N50" s="486"/>
      <c r="O50" s="487">
        <v>102</v>
      </c>
      <c r="P50" s="391" t="s">
        <v>829</v>
      </c>
      <c r="Q50" s="488">
        <v>0</v>
      </c>
      <c r="R50" s="489" t="s">
        <v>798</v>
      </c>
      <c r="U50" s="490" t="s">
        <v>90</v>
      </c>
      <c r="V50" s="491">
        <v>20.75</v>
      </c>
      <c r="W50" s="492">
        <v>28798574.31</v>
      </c>
      <c r="X50" s="493">
        <f t="shared" si="11"/>
        <v>138788309.92771083</v>
      </c>
      <c r="Y50" s="492">
        <v>1796350.069093162</v>
      </c>
      <c r="Z50" s="492">
        <v>0</v>
      </c>
      <c r="AC50">
        <v>102</v>
      </c>
      <c r="AD50">
        <f t="shared" si="3"/>
        <v>0</v>
      </c>
      <c r="AF50" s="494"/>
    </row>
    <row r="51" spans="1:32" ht="12">
      <c r="A51" s="468" t="s">
        <v>830</v>
      </c>
      <c r="B51" s="483">
        <v>2345</v>
      </c>
      <c r="C51" s="484">
        <f t="shared" si="4"/>
        <v>5841060.754090909</v>
      </c>
      <c r="D51" s="484">
        <f t="shared" si="0"/>
        <v>418048.9530341598</v>
      </c>
      <c r="E51" s="484">
        <f t="shared" si="5"/>
        <v>0</v>
      </c>
      <c r="F51" s="484">
        <f t="shared" si="6"/>
        <v>6259109.707125069</v>
      </c>
      <c r="G51" s="485">
        <f t="shared" si="7"/>
        <v>2669.129939072524</v>
      </c>
      <c r="H51" s="475">
        <f t="shared" si="8"/>
        <v>1013.1700609274762</v>
      </c>
      <c r="I51" s="380">
        <f t="shared" si="9"/>
        <v>0</v>
      </c>
      <c r="J51" s="380">
        <f t="shared" si="10"/>
        <v>0</v>
      </c>
      <c r="K51" s="476">
        <f t="shared" si="1"/>
        <v>810.5360487419811</v>
      </c>
      <c r="L51" s="500">
        <f t="shared" si="2"/>
        <v>1900707.0342999457</v>
      </c>
      <c r="M51" s="486">
        <v>1907418.235207442</v>
      </c>
      <c r="N51" s="486"/>
      <c r="O51" s="495">
        <v>103</v>
      </c>
      <c r="P51" s="391" t="s">
        <v>830</v>
      </c>
      <c r="Q51" s="488">
        <v>0</v>
      </c>
      <c r="R51" s="489" t="s">
        <v>803</v>
      </c>
      <c r="U51" s="490" t="s">
        <v>91</v>
      </c>
      <c r="V51" s="491">
        <v>22</v>
      </c>
      <c r="W51" s="492">
        <v>6457454.1</v>
      </c>
      <c r="X51" s="493">
        <f t="shared" si="11"/>
        <v>29352064.09090909</v>
      </c>
      <c r="Y51" s="492">
        <v>418048.9530341598</v>
      </c>
      <c r="Z51" s="492">
        <v>0</v>
      </c>
      <c r="AC51">
        <v>103</v>
      </c>
      <c r="AD51">
        <f t="shared" si="3"/>
        <v>0</v>
      </c>
      <c r="AF51" s="494"/>
    </row>
    <row r="52" spans="1:32" ht="12">
      <c r="A52" s="468" t="s">
        <v>831</v>
      </c>
      <c r="B52" s="483">
        <v>2406</v>
      </c>
      <c r="C52" s="484">
        <f t="shared" si="4"/>
        <v>5502999.773885057</v>
      </c>
      <c r="D52" s="484">
        <f t="shared" si="0"/>
        <v>720737.8990255776</v>
      </c>
      <c r="E52" s="484">
        <f t="shared" si="5"/>
        <v>0</v>
      </c>
      <c r="F52" s="484">
        <f t="shared" si="6"/>
        <v>6223737.672910634</v>
      </c>
      <c r="G52" s="485">
        <f t="shared" si="7"/>
        <v>2586.757137535592</v>
      </c>
      <c r="H52" s="475">
        <f t="shared" si="8"/>
        <v>1095.5428624644082</v>
      </c>
      <c r="I52" s="380">
        <f t="shared" si="9"/>
        <v>0</v>
      </c>
      <c r="J52" s="380">
        <f t="shared" si="10"/>
        <v>0</v>
      </c>
      <c r="K52" s="476">
        <f t="shared" si="1"/>
        <v>876.4342899715266</v>
      </c>
      <c r="L52" s="500">
        <f t="shared" si="2"/>
        <v>2108700.901671493</v>
      </c>
      <c r="M52" s="486">
        <v>2071529.1849305753</v>
      </c>
      <c r="N52" s="486"/>
      <c r="O52" s="495">
        <v>105</v>
      </c>
      <c r="P52" s="391" t="s">
        <v>831</v>
      </c>
      <c r="Q52" s="488">
        <v>0</v>
      </c>
      <c r="R52" s="489" t="s">
        <v>832</v>
      </c>
      <c r="U52" s="490" t="s">
        <v>92</v>
      </c>
      <c r="V52" s="491">
        <v>21.75</v>
      </c>
      <c r="W52" s="492">
        <v>6014585.18</v>
      </c>
      <c r="X52" s="493">
        <f t="shared" si="11"/>
        <v>27653265.195402298</v>
      </c>
      <c r="Y52" s="492">
        <v>720737.8990255776</v>
      </c>
      <c r="Z52" s="492">
        <v>0</v>
      </c>
      <c r="AC52">
        <v>105</v>
      </c>
      <c r="AD52">
        <f t="shared" si="3"/>
        <v>0</v>
      </c>
      <c r="AF52" s="494"/>
    </row>
    <row r="53" spans="1:32" ht="12">
      <c r="A53" s="468" t="s">
        <v>833</v>
      </c>
      <c r="B53" s="483">
        <v>46596</v>
      </c>
      <c r="C53" s="484">
        <f t="shared" si="4"/>
        <v>172083820.99863294</v>
      </c>
      <c r="D53" s="484">
        <f t="shared" si="0"/>
        <v>10022780.706589786</v>
      </c>
      <c r="E53" s="484">
        <f t="shared" si="5"/>
        <v>0</v>
      </c>
      <c r="F53" s="484">
        <f t="shared" si="6"/>
        <v>182106601.70522273</v>
      </c>
      <c r="G53" s="485">
        <f t="shared" si="7"/>
        <v>3908.2024574045568</v>
      </c>
      <c r="H53" s="475">
        <f t="shared" si="8"/>
        <v>-225.90245740455657</v>
      </c>
      <c r="I53" s="380">
        <f t="shared" si="9"/>
        <v>5.420103301699679</v>
      </c>
      <c r="J53" s="380">
        <f t="shared" si="10"/>
        <v>35.420103301699676</v>
      </c>
      <c r="K53" s="476">
        <f t="shared" si="1"/>
        <v>-80.01488377377204</v>
      </c>
      <c r="L53" s="500">
        <f t="shared" si="2"/>
        <v>-3728373.524322682</v>
      </c>
      <c r="M53" s="486">
        <v>-4228862.172385606</v>
      </c>
      <c r="N53" s="486"/>
      <c r="O53" s="495">
        <v>106</v>
      </c>
      <c r="P53" s="496" t="s">
        <v>834</v>
      </c>
      <c r="Q53" s="488">
        <v>0</v>
      </c>
      <c r="R53" s="489" t="s">
        <v>786</v>
      </c>
      <c r="U53" s="490" t="s">
        <v>93</v>
      </c>
      <c r="V53" s="491">
        <v>19.75</v>
      </c>
      <c r="W53" s="492">
        <v>170786706.77</v>
      </c>
      <c r="X53" s="493">
        <f t="shared" si="11"/>
        <v>864742819.0886077</v>
      </c>
      <c r="Y53" s="492">
        <v>10022780.706589786</v>
      </c>
      <c r="Z53" s="492">
        <v>0</v>
      </c>
      <c r="AC53">
        <v>106</v>
      </c>
      <c r="AD53">
        <f t="shared" si="3"/>
        <v>0</v>
      </c>
      <c r="AF53" s="494"/>
    </row>
    <row r="54" spans="1:32" ht="12.75">
      <c r="A54" s="468" t="s">
        <v>835</v>
      </c>
      <c r="B54" s="483">
        <v>10681</v>
      </c>
      <c r="C54" s="484">
        <f t="shared" si="4"/>
        <v>30507132.35463636</v>
      </c>
      <c r="D54" s="484">
        <f t="shared" si="0"/>
        <v>1524261.740964413</v>
      </c>
      <c r="E54" s="484">
        <f t="shared" si="5"/>
        <v>0</v>
      </c>
      <c r="F54" s="484">
        <f t="shared" si="6"/>
        <v>32031394.095600773</v>
      </c>
      <c r="G54" s="485">
        <f t="shared" si="7"/>
        <v>2998.9134065724907</v>
      </c>
      <c r="H54" s="475">
        <f t="shared" si="8"/>
        <v>683.3865934275095</v>
      </c>
      <c r="I54" s="380">
        <f t="shared" si="9"/>
        <v>0</v>
      </c>
      <c r="J54" s="380">
        <f t="shared" si="10"/>
        <v>0</v>
      </c>
      <c r="K54" s="476">
        <f t="shared" si="1"/>
        <v>546.7092747420077</v>
      </c>
      <c r="L54" s="500">
        <f t="shared" si="2"/>
        <v>5839401.763519384</v>
      </c>
      <c r="M54" s="486">
        <v>5876712.689310476</v>
      </c>
      <c r="N54" s="486"/>
      <c r="O54" s="495">
        <v>108</v>
      </c>
      <c r="P54" s="496" t="s">
        <v>836</v>
      </c>
      <c r="Q54" s="488">
        <v>0</v>
      </c>
      <c r="R54" s="489" t="s">
        <v>789</v>
      </c>
      <c r="U54" s="490" t="s">
        <v>94</v>
      </c>
      <c r="V54" s="491">
        <v>22</v>
      </c>
      <c r="W54" s="492">
        <v>33726477.98</v>
      </c>
      <c r="X54" s="493">
        <f t="shared" si="11"/>
        <v>153302172.63636363</v>
      </c>
      <c r="Y54" s="492">
        <v>1524261.740964413</v>
      </c>
      <c r="Z54" s="492">
        <v>0</v>
      </c>
      <c r="AA54" s="1"/>
      <c r="AC54">
        <v>108</v>
      </c>
      <c r="AD54">
        <f t="shared" si="3"/>
        <v>0</v>
      </c>
      <c r="AF54" s="494"/>
    </row>
    <row r="55" spans="1:32" ht="12">
      <c r="A55" s="482" t="s">
        <v>837</v>
      </c>
      <c r="B55" s="483">
        <v>67850</v>
      </c>
      <c r="C55" s="484">
        <f t="shared" si="4"/>
        <v>225465988.97450602</v>
      </c>
      <c r="D55" s="484">
        <f t="shared" si="0"/>
        <v>14742718.47156731</v>
      </c>
      <c r="E55" s="484">
        <f t="shared" si="5"/>
        <v>0</v>
      </c>
      <c r="F55" s="484">
        <f t="shared" si="6"/>
        <v>240208707.44607332</v>
      </c>
      <c r="G55" s="485">
        <f t="shared" si="7"/>
        <v>3540.290456095406</v>
      </c>
      <c r="H55" s="475">
        <f t="shared" si="8"/>
        <v>142.009543904594</v>
      </c>
      <c r="I55" s="380">
        <f t="shared" si="9"/>
        <v>0</v>
      </c>
      <c r="J55" s="380">
        <f t="shared" si="10"/>
        <v>0</v>
      </c>
      <c r="K55" s="476">
        <f t="shared" si="1"/>
        <v>113.60763512367521</v>
      </c>
      <c r="L55" s="500">
        <f t="shared" si="2"/>
        <v>7708278.043141363</v>
      </c>
      <c r="M55" s="486">
        <v>8014693.39818927</v>
      </c>
      <c r="N55" s="486"/>
      <c r="O55" s="487">
        <v>109</v>
      </c>
      <c r="P55" s="496" t="s">
        <v>838</v>
      </c>
      <c r="Q55" s="488">
        <v>0</v>
      </c>
      <c r="R55" s="489" t="s">
        <v>803</v>
      </c>
      <c r="U55" s="490" t="s">
        <v>95</v>
      </c>
      <c r="V55" s="491">
        <v>20.75</v>
      </c>
      <c r="W55" s="492">
        <v>235096445.79</v>
      </c>
      <c r="X55" s="493">
        <f t="shared" si="11"/>
        <v>1132994919.4698796</v>
      </c>
      <c r="Y55" s="492">
        <v>14742718.47156731</v>
      </c>
      <c r="Z55" s="492">
        <v>0</v>
      </c>
      <c r="AC55">
        <v>109</v>
      </c>
      <c r="AD55">
        <f t="shared" si="3"/>
        <v>0</v>
      </c>
      <c r="AF55" s="494"/>
    </row>
    <row r="56" spans="1:32" ht="12">
      <c r="A56" s="468" t="s">
        <v>839</v>
      </c>
      <c r="B56" s="483">
        <v>19350</v>
      </c>
      <c r="C56" s="484">
        <f t="shared" si="4"/>
        <v>57755809.033121936</v>
      </c>
      <c r="D56" s="484">
        <f t="shared" si="0"/>
        <v>2867002.259684955</v>
      </c>
      <c r="E56" s="484">
        <f t="shared" si="5"/>
        <v>0</v>
      </c>
      <c r="F56" s="484">
        <f t="shared" si="6"/>
        <v>60622811.29280689</v>
      </c>
      <c r="G56" s="485">
        <f t="shared" si="7"/>
        <v>3132.961823917669</v>
      </c>
      <c r="H56" s="475">
        <f t="shared" si="8"/>
        <v>549.3381760823313</v>
      </c>
      <c r="I56" s="380">
        <f t="shared" si="9"/>
        <v>0</v>
      </c>
      <c r="J56" s="380">
        <f t="shared" si="10"/>
        <v>0</v>
      </c>
      <c r="K56" s="476">
        <f t="shared" si="1"/>
        <v>439.4705408658651</v>
      </c>
      <c r="L56" s="500">
        <f t="shared" si="2"/>
        <v>8503754.965754488</v>
      </c>
      <c r="M56" s="486">
        <v>8421615.509069268</v>
      </c>
      <c r="N56" s="486"/>
      <c r="O56" s="495">
        <v>111</v>
      </c>
      <c r="P56" s="391" t="s">
        <v>839</v>
      </c>
      <c r="Q56" s="488">
        <v>0</v>
      </c>
      <c r="R56" s="489" t="s">
        <v>784</v>
      </c>
      <c r="U56" s="490" t="s">
        <v>84</v>
      </c>
      <c r="V56" s="491">
        <v>20.5</v>
      </c>
      <c r="W56" s="492">
        <v>59497190.21</v>
      </c>
      <c r="X56" s="493">
        <f t="shared" si="11"/>
        <v>290230196.14634144</v>
      </c>
      <c r="Y56" s="492">
        <v>2867002.259684955</v>
      </c>
      <c r="Z56" s="492">
        <v>0</v>
      </c>
      <c r="AC56">
        <v>111</v>
      </c>
      <c r="AD56">
        <f t="shared" si="3"/>
        <v>0</v>
      </c>
      <c r="AF56" s="494"/>
    </row>
    <row r="57" spans="1:32" ht="12">
      <c r="A57" s="468" t="s">
        <v>840</v>
      </c>
      <c r="B57" s="483">
        <v>9628</v>
      </c>
      <c r="C57" s="484">
        <f t="shared" si="4"/>
        <v>24582890.288</v>
      </c>
      <c r="D57" s="484">
        <f t="shared" si="0"/>
        <v>1376439.4386901343</v>
      </c>
      <c r="E57" s="484">
        <f t="shared" si="5"/>
        <v>0</v>
      </c>
      <c r="F57" s="484">
        <f t="shared" si="6"/>
        <v>25959329.726690132</v>
      </c>
      <c r="G57" s="485">
        <f t="shared" si="7"/>
        <v>2696.2328340974377</v>
      </c>
      <c r="H57" s="475">
        <f t="shared" si="8"/>
        <v>986.0671659025625</v>
      </c>
      <c r="I57" s="380">
        <f t="shared" si="9"/>
        <v>0</v>
      </c>
      <c r="J57" s="380">
        <f t="shared" si="10"/>
        <v>0</v>
      </c>
      <c r="K57" s="476">
        <f t="shared" si="1"/>
        <v>788.85373272205</v>
      </c>
      <c r="L57" s="500">
        <f t="shared" si="2"/>
        <v>7595083.738647898</v>
      </c>
      <c r="M57" s="486">
        <v>7766950.0123632895</v>
      </c>
      <c r="N57" s="486"/>
      <c r="O57" s="495">
        <v>139</v>
      </c>
      <c r="P57" s="391" t="s">
        <v>840</v>
      </c>
      <c r="Q57" s="488">
        <v>0</v>
      </c>
      <c r="R57" s="489" t="s">
        <v>781</v>
      </c>
      <c r="U57" s="490" t="s">
        <v>96</v>
      </c>
      <c r="V57" s="491">
        <v>21.25</v>
      </c>
      <c r="W57" s="492">
        <v>26250573.8</v>
      </c>
      <c r="X57" s="493">
        <f t="shared" si="11"/>
        <v>123532112</v>
      </c>
      <c r="Y57" s="492">
        <v>1376439.4386901343</v>
      </c>
      <c r="Z57" s="492">
        <v>0</v>
      </c>
      <c r="AC57">
        <v>139</v>
      </c>
      <c r="AD57">
        <f t="shared" si="3"/>
        <v>0</v>
      </c>
      <c r="AF57" s="494"/>
    </row>
    <row r="58" spans="1:32" ht="12">
      <c r="A58" s="468" t="s">
        <v>841</v>
      </c>
      <c r="B58" s="483">
        <v>21767</v>
      </c>
      <c r="C58" s="484">
        <f t="shared" si="4"/>
        <v>61387180.719560966</v>
      </c>
      <c r="D58" s="484">
        <f t="shared" si="0"/>
        <v>4816809.660543883</v>
      </c>
      <c r="E58" s="484">
        <f t="shared" si="5"/>
        <v>0</v>
      </c>
      <c r="F58" s="484">
        <f t="shared" si="6"/>
        <v>66203990.38010485</v>
      </c>
      <c r="G58" s="485">
        <f t="shared" si="7"/>
        <v>3041.4843745166927</v>
      </c>
      <c r="H58" s="475">
        <f t="shared" si="8"/>
        <v>640.8156254833075</v>
      </c>
      <c r="I58" s="380">
        <f t="shared" si="9"/>
        <v>0</v>
      </c>
      <c r="J58" s="380">
        <f t="shared" si="10"/>
        <v>0</v>
      </c>
      <c r="K58" s="476">
        <f t="shared" si="1"/>
        <v>512.652500386646</v>
      </c>
      <c r="L58" s="500">
        <f t="shared" si="2"/>
        <v>11158906.975916123</v>
      </c>
      <c r="M58" s="486">
        <v>11327331.453205856</v>
      </c>
      <c r="N58" s="486"/>
      <c r="O58" s="495">
        <v>140</v>
      </c>
      <c r="P58" s="496" t="s">
        <v>842</v>
      </c>
      <c r="Q58" s="488">
        <v>0</v>
      </c>
      <c r="R58" s="489" t="s">
        <v>843</v>
      </c>
      <c r="U58" s="490" t="s">
        <v>97</v>
      </c>
      <c r="V58" s="491">
        <v>20.5</v>
      </c>
      <c r="W58" s="492">
        <v>63238050.49</v>
      </c>
      <c r="X58" s="493">
        <f t="shared" si="11"/>
        <v>308478295.0731707</v>
      </c>
      <c r="Y58" s="492">
        <v>4816809.660543883</v>
      </c>
      <c r="Z58" s="492">
        <v>0</v>
      </c>
      <c r="AC58">
        <v>140</v>
      </c>
      <c r="AD58">
        <f t="shared" si="3"/>
        <v>0</v>
      </c>
      <c r="AF58" s="494"/>
    </row>
    <row r="59" spans="1:32" ht="12">
      <c r="A59" s="468" t="s">
        <v>844</v>
      </c>
      <c r="B59" s="483">
        <v>6889</v>
      </c>
      <c r="C59" s="484">
        <f t="shared" si="4"/>
        <v>18914344.13590123</v>
      </c>
      <c r="D59" s="484">
        <f t="shared" si="0"/>
        <v>1362582.8255772514</v>
      </c>
      <c r="E59" s="484">
        <f t="shared" si="5"/>
        <v>0</v>
      </c>
      <c r="F59" s="484">
        <f t="shared" si="6"/>
        <v>20276926.961478483</v>
      </c>
      <c r="G59" s="485">
        <f t="shared" si="7"/>
        <v>2943.377407675785</v>
      </c>
      <c r="H59" s="475">
        <f t="shared" si="8"/>
        <v>738.9225923242152</v>
      </c>
      <c r="I59" s="380">
        <f t="shared" si="9"/>
        <v>0</v>
      </c>
      <c r="J59" s="380">
        <f t="shared" si="10"/>
        <v>0</v>
      </c>
      <c r="K59" s="476">
        <f t="shared" si="1"/>
        <v>591.1380738593722</v>
      </c>
      <c r="L59" s="500">
        <f t="shared" si="2"/>
        <v>4072350.190817215</v>
      </c>
      <c r="M59" s="486">
        <v>3772029.900772344</v>
      </c>
      <c r="N59" s="486"/>
      <c r="O59" s="495">
        <v>142</v>
      </c>
      <c r="P59" s="391" t="s">
        <v>844</v>
      </c>
      <c r="Q59" s="488">
        <v>0</v>
      </c>
      <c r="R59" s="489" t="s">
        <v>812</v>
      </c>
      <c r="U59" s="490" t="s">
        <v>98</v>
      </c>
      <c r="V59" s="491">
        <v>20.25</v>
      </c>
      <c r="W59" s="492">
        <v>19247008.48</v>
      </c>
      <c r="X59" s="493">
        <f t="shared" si="11"/>
        <v>95046955.45679012</v>
      </c>
      <c r="Y59" s="492">
        <v>1362582.8255772514</v>
      </c>
      <c r="Z59" s="492">
        <v>0</v>
      </c>
      <c r="AC59">
        <v>142</v>
      </c>
      <c r="AD59">
        <f t="shared" si="3"/>
        <v>0</v>
      </c>
      <c r="AF59" s="494"/>
    </row>
    <row r="60" spans="1:32" ht="12">
      <c r="A60" s="468" t="s">
        <v>845</v>
      </c>
      <c r="B60" s="483">
        <v>7128</v>
      </c>
      <c r="C60" s="484">
        <f t="shared" si="4"/>
        <v>18820548.5392</v>
      </c>
      <c r="D60" s="484">
        <f t="shared" si="0"/>
        <v>1566800.9835232757</v>
      </c>
      <c r="E60" s="484">
        <f t="shared" si="5"/>
        <v>0</v>
      </c>
      <c r="F60" s="484">
        <f t="shared" si="6"/>
        <v>20387349.522723276</v>
      </c>
      <c r="G60" s="485">
        <f t="shared" si="7"/>
        <v>2860.1781036368234</v>
      </c>
      <c r="H60" s="475">
        <f t="shared" si="8"/>
        <v>822.1218963631768</v>
      </c>
      <c r="I60" s="380">
        <f t="shared" si="9"/>
        <v>0</v>
      </c>
      <c r="J60" s="380">
        <f t="shared" si="10"/>
        <v>0</v>
      </c>
      <c r="K60" s="476">
        <f t="shared" si="1"/>
        <v>657.6975170905415</v>
      </c>
      <c r="L60" s="500">
        <f t="shared" si="2"/>
        <v>4688067.90182138</v>
      </c>
      <c r="M60" s="486">
        <v>4649217.30523859</v>
      </c>
      <c r="N60" s="486"/>
      <c r="O60" s="495">
        <v>143</v>
      </c>
      <c r="P60" s="496" t="s">
        <v>846</v>
      </c>
      <c r="Q60" s="488">
        <v>0</v>
      </c>
      <c r="R60" s="489" t="s">
        <v>789</v>
      </c>
      <c r="U60" s="490" t="s">
        <v>99</v>
      </c>
      <c r="V60" s="491">
        <v>21.25</v>
      </c>
      <c r="W60" s="492">
        <v>20097319.42</v>
      </c>
      <c r="X60" s="493">
        <f t="shared" si="11"/>
        <v>94575620.80000001</v>
      </c>
      <c r="Y60" s="492">
        <v>1566800.9835232757</v>
      </c>
      <c r="Z60" s="492">
        <v>0</v>
      </c>
      <c r="AC60">
        <v>143</v>
      </c>
      <c r="AD60">
        <f t="shared" si="3"/>
        <v>0</v>
      </c>
      <c r="AF60" s="494"/>
    </row>
    <row r="61" spans="1:32" ht="12">
      <c r="A61" s="468" t="s">
        <v>847</v>
      </c>
      <c r="B61" s="483">
        <v>12167</v>
      </c>
      <c r="C61" s="484">
        <f t="shared" si="4"/>
        <v>33543293.88977778</v>
      </c>
      <c r="D61" s="484">
        <f t="shared" si="0"/>
        <v>1339079.276774948</v>
      </c>
      <c r="E61" s="484">
        <f t="shared" si="5"/>
        <v>0</v>
      </c>
      <c r="F61" s="484">
        <f t="shared" si="6"/>
        <v>34882373.16655273</v>
      </c>
      <c r="G61" s="485">
        <f t="shared" si="7"/>
        <v>2866.965822844804</v>
      </c>
      <c r="H61" s="475">
        <f t="shared" si="8"/>
        <v>815.3341771551964</v>
      </c>
      <c r="I61" s="380">
        <f t="shared" si="9"/>
        <v>0</v>
      </c>
      <c r="J61" s="380">
        <f t="shared" si="10"/>
        <v>0</v>
      </c>
      <c r="K61" s="476">
        <f t="shared" si="1"/>
        <v>652.2673417241572</v>
      </c>
      <c r="L61" s="500">
        <f t="shared" si="2"/>
        <v>7936136.74675782</v>
      </c>
      <c r="M61" s="486">
        <v>7677768.437906171</v>
      </c>
      <c r="N61" s="486"/>
      <c r="O61" s="495">
        <v>145</v>
      </c>
      <c r="P61" s="391" t="s">
        <v>847</v>
      </c>
      <c r="Q61" s="488">
        <v>0</v>
      </c>
      <c r="R61" s="489" t="s">
        <v>779</v>
      </c>
      <c r="U61" s="490" t="s">
        <v>100</v>
      </c>
      <c r="V61" s="491">
        <v>20.25</v>
      </c>
      <c r="W61" s="492">
        <v>34133251.32</v>
      </c>
      <c r="X61" s="493">
        <f t="shared" si="11"/>
        <v>168559265.7777778</v>
      </c>
      <c r="Y61" s="492">
        <v>1339079.276774948</v>
      </c>
      <c r="Z61" s="492">
        <v>0</v>
      </c>
      <c r="AC61">
        <v>145</v>
      </c>
      <c r="AD61">
        <f t="shared" si="3"/>
        <v>0</v>
      </c>
      <c r="AF61" s="494"/>
    </row>
    <row r="62" spans="1:32" ht="12">
      <c r="A62" s="468" t="s">
        <v>848</v>
      </c>
      <c r="B62" s="483">
        <v>5237</v>
      </c>
      <c r="C62" s="484">
        <f t="shared" si="4"/>
        <v>12392736.153590359</v>
      </c>
      <c r="D62" s="484">
        <f t="shared" si="0"/>
        <v>3092889.7620301694</v>
      </c>
      <c r="E62" s="484">
        <f t="shared" si="5"/>
        <v>0</v>
      </c>
      <c r="F62" s="484">
        <f t="shared" si="6"/>
        <v>15485625.915620528</v>
      </c>
      <c r="G62" s="485">
        <f t="shared" si="7"/>
        <v>2956.9650402177826</v>
      </c>
      <c r="H62" s="475">
        <f t="shared" si="8"/>
        <v>725.3349597822175</v>
      </c>
      <c r="I62" s="380">
        <f t="shared" si="9"/>
        <v>0</v>
      </c>
      <c r="J62" s="380">
        <f t="shared" si="10"/>
        <v>0</v>
      </c>
      <c r="K62" s="476">
        <f t="shared" si="1"/>
        <v>580.267967825774</v>
      </c>
      <c r="L62" s="500">
        <f t="shared" si="2"/>
        <v>3038863.3475035783</v>
      </c>
      <c r="M62" s="486">
        <v>2835271.3676183135</v>
      </c>
      <c r="N62" s="486"/>
      <c r="O62" s="495">
        <v>146</v>
      </c>
      <c r="P62" s="496" t="s">
        <v>849</v>
      </c>
      <c r="Q62" s="488">
        <v>0</v>
      </c>
      <c r="R62" s="489" t="s">
        <v>850</v>
      </c>
      <c r="U62" s="490" t="s">
        <v>101</v>
      </c>
      <c r="V62" s="491">
        <v>20.75</v>
      </c>
      <c r="W62" s="492">
        <v>12922074.13</v>
      </c>
      <c r="X62" s="493">
        <f t="shared" si="11"/>
        <v>62275056.04819277</v>
      </c>
      <c r="Y62" s="492">
        <v>3092889.7620301694</v>
      </c>
      <c r="Z62" s="492">
        <v>0</v>
      </c>
      <c r="AC62">
        <v>146</v>
      </c>
      <c r="AD62">
        <f t="shared" si="3"/>
        <v>0</v>
      </c>
      <c r="AF62" s="494"/>
    </row>
    <row r="63" spans="1:32" ht="12">
      <c r="A63" s="468" t="s">
        <v>851</v>
      </c>
      <c r="B63" s="483">
        <v>6825</v>
      </c>
      <c r="C63" s="484">
        <f t="shared" si="4"/>
        <v>21006643.68173684</v>
      </c>
      <c r="D63" s="484">
        <f t="shared" si="0"/>
        <v>2360796.3136126534</v>
      </c>
      <c r="E63" s="484">
        <f t="shared" si="5"/>
        <v>0</v>
      </c>
      <c r="F63" s="484">
        <f t="shared" si="6"/>
        <v>23367439.995349497</v>
      </c>
      <c r="G63" s="485">
        <f t="shared" si="7"/>
        <v>3423.8007319193403</v>
      </c>
      <c r="H63" s="475">
        <f t="shared" si="8"/>
        <v>258.49926808065993</v>
      </c>
      <c r="I63" s="380">
        <f t="shared" si="9"/>
        <v>0</v>
      </c>
      <c r="J63" s="380">
        <f t="shared" si="10"/>
        <v>0</v>
      </c>
      <c r="K63" s="476">
        <f t="shared" si="1"/>
        <v>206.79941446452796</v>
      </c>
      <c r="L63" s="500">
        <f t="shared" si="2"/>
        <v>1411406.0037204034</v>
      </c>
      <c r="M63" s="486">
        <v>2036412.6503578941</v>
      </c>
      <c r="N63" s="486"/>
      <c r="O63" s="495">
        <v>148</v>
      </c>
      <c r="P63" s="496" t="s">
        <v>852</v>
      </c>
      <c r="Q63" s="488">
        <v>0</v>
      </c>
      <c r="R63" s="489" t="s">
        <v>794</v>
      </c>
      <c r="U63" s="490" t="s">
        <v>103</v>
      </c>
      <c r="V63" s="491">
        <v>19</v>
      </c>
      <c r="W63" s="492">
        <v>20056594.47</v>
      </c>
      <c r="X63" s="493">
        <f t="shared" si="11"/>
        <v>105561023.5263158</v>
      </c>
      <c r="Y63" s="492">
        <v>2360796.3136126534</v>
      </c>
      <c r="Z63" s="492">
        <v>0</v>
      </c>
      <c r="AC63">
        <v>148</v>
      </c>
      <c r="AD63">
        <f t="shared" si="3"/>
        <v>0</v>
      </c>
      <c r="AF63" s="494"/>
    </row>
    <row r="64" spans="1:32" ht="12">
      <c r="A64" s="468" t="s">
        <v>853</v>
      </c>
      <c r="B64" s="483">
        <v>5585</v>
      </c>
      <c r="C64" s="484">
        <f t="shared" si="4"/>
        <v>20711588.183084335</v>
      </c>
      <c r="D64" s="484">
        <f t="shared" si="0"/>
        <v>868178.3100119071</v>
      </c>
      <c r="E64" s="484">
        <f t="shared" si="5"/>
        <v>0</v>
      </c>
      <c r="F64" s="484">
        <f t="shared" si="6"/>
        <v>21579766.493096244</v>
      </c>
      <c r="G64" s="485">
        <f t="shared" si="7"/>
        <v>3863.879407895478</v>
      </c>
      <c r="H64" s="475">
        <f t="shared" si="8"/>
        <v>-181.57940789547774</v>
      </c>
      <c r="I64" s="380">
        <f t="shared" si="9"/>
        <v>5.201693067091713</v>
      </c>
      <c r="J64" s="380">
        <f t="shared" si="10"/>
        <v>35.20169306709171</v>
      </c>
      <c r="K64" s="476">
        <f t="shared" si="1"/>
        <v>-63.919025840408565</v>
      </c>
      <c r="L64" s="500">
        <f t="shared" si="2"/>
        <v>-356987.75931868184</v>
      </c>
      <c r="M64" s="486">
        <v>-390967.468002547</v>
      </c>
      <c r="N64" s="486"/>
      <c r="O64" s="495">
        <v>149</v>
      </c>
      <c r="P64" s="496" t="s">
        <v>854</v>
      </c>
      <c r="Q64" s="488">
        <v>3</v>
      </c>
      <c r="R64" s="489" t="s">
        <v>786</v>
      </c>
      <c r="U64" s="490" t="s">
        <v>104</v>
      </c>
      <c r="V64" s="491">
        <v>20.75</v>
      </c>
      <c r="W64" s="492">
        <v>21596254.01</v>
      </c>
      <c r="X64" s="493">
        <f t="shared" si="11"/>
        <v>104078332.57831325</v>
      </c>
      <c r="Y64" s="492">
        <v>868178.3100119071</v>
      </c>
      <c r="Z64" s="492">
        <v>0</v>
      </c>
      <c r="AC64">
        <v>149</v>
      </c>
      <c r="AD64">
        <f t="shared" si="3"/>
        <v>0</v>
      </c>
      <c r="AF64" s="494"/>
    </row>
    <row r="65" spans="1:32" ht="12">
      <c r="A65" s="468" t="s">
        <v>855</v>
      </c>
      <c r="B65" s="483">
        <v>2079</v>
      </c>
      <c r="C65" s="484">
        <f t="shared" si="4"/>
        <v>4678679.990727272</v>
      </c>
      <c r="D65" s="484">
        <f t="shared" si="0"/>
        <v>600456.6476823634</v>
      </c>
      <c r="E65" s="484">
        <f t="shared" si="5"/>
        <v>0</v>
      </c>
      <c r="F65" s="484">
        <f t="shared" si="6"/>
        <v>5279136.638409635</v>
      </c>
      <c r="G65" s="485">
        <f t="shared" si="7"/>
        <v>2539.267262342297</v>
      </c>
      <c r="H65" s="475">
        <f t="shared" si="8"/>
        <v>1143.0327376577034</v>
      </c>
      <c r="I65" s="380">
        <f t="shared" si="9"/>
        <v>0</v>
      </c>
      <c r="J65" s="380">
        <f t="shared" si="10"/>
        <v>0</v>
      </c>
      <c r="K65" s="476">
        <f t="shared" si="1"/>
        <v>914.4261901261627</v>
      </c>
      <c r="L65" s="500">
        <f t="shared" si="2"/>
        <v>1901092.0492722923</v>
      </c>
      <c r="M65" s="486">
        <v>1980545.9536909086</v>
      </c>
      <c r="N65" s="486"/>
      <c r="O65" s="495">
        <v>151</v>
      </c>
      <c r="P65" s="496" t="s">
        <v>856</v>
      </c>
      <c r="Q65" s="488">
        <v>0</v>
      </c>
      <c r="R65" s="489" t="s">
        <v>779</v>
      </c>
      <c r="U65" s="490" t="s">
        <v>105</v>
      </c>
      <c r="V65" s="491">
        <v>22</v>
      </c>
      <c r="W65" s="492">
        <v>5172410.04</v>
      </c>
      <c r="X65" s="493">
        <f t="shared" si="11"/>
        <v>23510954.727272727</v>
      </c>
      <c r="Y65" s="492">
        <v>600456.6476823634</v>
      </c>
      <c r="Z65" s="492">
        <v>0</v>
      </c>
      <c r="AC65">
        <v>151</v>
      </c>
      <c r="AD65">
        <f t="shared" si="3"/>
        <v>0</v>
      </c>
      <c r="AF65" s="494"/>
    </row>
    <row r="66" spans="1:32" ht="12">
      <c r="A66" s="468" t="s">
        <v>857</v>
      </c>
      <c r="B66" s="483">
        <v>4712</v>
      </c>
      <c r="C66" s="484">
        <f t="shared" si="4"/>
        <v>12322485.858186048</v>
      </c>
      <c r="D66" s="484">
        <f t="shared" si="0"/>
        <v>582992.7147181636</v>
      </c>
      <c r="E66" s="484">
        <f t="shared" si="5"/>
        <v>0</v>
      </c>
      <c r="F66" s="484">
        <f t="shared" si="6"/>
        <v>12905478.57290421</v>
      </c>
      <c r="G66" s="485">
        <f t="shared" si="7"/>
        <v>2738.853686949111</v>
      </c>
      <c r="H66" s="475">
        <f t="shared" si="8"/>
        <v>943.4463130508893</v>
      </c>
      <c r="I66" s="380">
        <f t="shared" si="9"/>
        <v>0</v>
      </c>
      <c r="J66" s="380">
        <f t="shared" si="10"/>
        <v>0</v>
      </c>
      <c r="K66" s="476">
        <f t="shared" si="1"/>
        <v>754.7570504407115</v>
      </c>
      <c r="L66" s="500">
        <f t="shared" si="2"/>
        <v>3556415.2216766328</v>
      </c>
      <c r="M66" s="486">
        <v>3555002.7781693013</v>
      </c>
      <c r="N66" s="486"/>
      <c r="O66" s="495">
        <v>152</v>
      </c>
      <c r="P66" s="496" t="s">
        <v>858</v>
      </c>
      <c r="Q66" s="488">
        <v>0</v>
      </c>
      <c r="R66" s="489" t="s">
        <v>859</v>
      </c>
      <c r="U66" s="490" t="s">
        <v>106</v>
      </c>
      <c r="V66" s="491">
        <v>21.5</v>
      </c>
      <c r="W66" s="492">
        <v>13313238.49</v>
      </c>
      <c r="X66" s="493">
        <f t="shared" si="11"/>
        <v>61922039.488372095</v>
      </c>
      <c r="Y66" s="492">
        <v>582992.7147181636</v>
      </c>
      <c r="Z66" s="492">
        <v>0</v>
      </c>
      <c r="AC66">
        <v>152</v>
      </c>
      <c r="AD66">
        <f t="shared" si="3"/>
        <v>0</v>
      </c>
      <c r="AF66" s="494"/>
    </row>
    <row r="67" spans="1:32" ht="12">
      <c r="A67" s="468" t="s">
        <v>860</v>
      </c>
      <c r="B67" s="483">
        <v>27517</v>
      </c>
      <c r="C67" s="484">
        <f t="shared" si="4"/>
        <v>89063870.1038</v>
      </c>
      <c r="D67" s="484">
        <f t="shared" si="0"/>
        <v>4025273.5874884306</v>
      </c>
      <c r="E67" s="484">
        <f t="shared" si="5"/>
        <v>0</v>
      </c>
      <c r="F67" s="484">
        <f t="shared" si="6"/>
        <v>93089143.69128843</v>
      </c>
      <c r="G67" s="485">
        <f t="shared" si="7"/>
        <v>3382.9684809858786</v>
      </c>
      <c r="H67" s="475">
        <f t="shared" si="8"/>
        <v>299.33151901412157</v>
      </c>
      <c r="I67" s="380">
        <f t="shared" si="9"/>
        <v>0</v>
      </c>
      <c r="J67" s="380">
        <f t="shared" si="10"/>
        <v>0</v>
      </c>
      <c r="K67" s="476">
        <f t="shared" si="1"/>
        <v>239.46521521129728</v>
      </c>
      <c r="L67" s="500">
        <f t="shared" si="2"/>
        <v>6589364.326969267</v>
      </c>
      <c r="M67" s="486">
        <v>6178094.335072006</v>
      </c>
      <c r="N67" s="486"/>
      <c r="O67" s="495">
        <v>153</v>
      </c>
      <c r="P67" s="391" t="s">
        <v>860</v>
      </c>
      <c r="Q67" s="488">
        <v>0</v>
      </c>
      <c r="R67" s="489" t="s">
        <v>861</v>
      </c>
      <c r="U67" s="490" t="s">
        <v>102</v>
      </c>
      <c r="V67" s="491">
        <v>20</v>
      </c>
      <c r="W67" s="492">
        <v>89511427.24</v>
      </c>
      <c r="X67" s="493">
        <f t="shared" si="11"/>
        <v>447557136.2</v>
      </c>
      <c r="Y67" s="492">
        <v>4025273.5874884306</v>
      </c>
      <c r="Z67" s="492">
        <v>0</v>
      </c>
      <c r="AC67">
        <v>153</v>
      </c>
      <c r="AD67">
        <f t="shared" si="3"/>
        <v>0</v>
      </c>
      <c r="AF67" s="494"/>
    </row>
    <row r="68" spans="1:32" ht="12">
      <c r="A68" s="468" t="s">
        <v>862</v>
      </c>
      <c r="B68" s="483">
        <v>16709</v>
      </c>
      <c r="C68" s="484">
        <f t="shared" si="4"/>
        <v>54142802.03695237</v>
      </c>
      <c r="D68" s="484">
        <f t="shared" si="0"/>
        <v>2417049.1733508413</v>
      </c>
      <c r="E68" s="484">
        <f t="shared" si="5"/>
        <v>0</v>
      </c>
      <c r="F68" s="484">
        <f t="shared" si="6"/>
        <v>56559851.21030321</v>
      </c>
      <c r="G68" s="485">
        <f t="shared" si="7"/>
        <v>3384.9931899158064</v>
      </c>
      <c r="H68" s="475">
        <f t="shared" si="8"/>
        <v>297.3068100841938</v>
      </c>
      <c r="I68" s="380">
        <f t="shared" si="9"/>
        <v>0</v>
      </c>
      <c r="J68" s="380">
        <f t="shared" si="10"/>
        <v>0</v>
      </c>
      <c r="K68" s="476">
        <f t="shared" si="1"/>
        <v>237.84544806735505</v>
      </c>
      <c r="L68" s="500">
        <f t="shared" si="2"/>
        <v>3974159.5917574354</v>
      </c>
      <c r="M68" s="486">
        <v>3907779.9157853643</v>
      </c>
      <c r="N68" s="486"/>
      <c r="O68" s="495">
        <v>165</v>
      </c>
      <c r="P68" s="391" t="s">
        <v>862</v>
      </c>
      <c r="Q68" s="488">
        <v>0</v>
      </c>
      <c r="R68" s="489" t="s">
        <v>803</v>
      </c>
      <c r="U68" s="490" t="s">
        <v>107</v>
      </c>
      <c r="V68" s="491">
        <v>21</v>
      </c>
      <c r="W68" s="492">
        <v>57135620.24</v>
      </c>
      <c r="X68" s="493">
        <f t="shared" si="11"/>
        <v>272074382.0952381</v>
      </c>
      <c r="Y68" s="492">
        <v>2417049.1733508413</v>
      </c>
      <c r="Z68" s="492">
        <v>0</v>
      </c>
      <c r="AC68">
        <v>165</v>
      </c>
      <c r="AD68">
        <f t="shared" si="3"/>
        <v>0</v>
      </c>
      <c r="AF68" s="494"/>
    </row>
    <row r="69" spans="1:32" ht="12">
      <c r="A69" s="482" t="s">
        <v>863</v>
      </c>
      <c r="B69" s="483">
        <v>75848</v>
      </c>
      <c r="C69" s="484">
        <f t="shared" si="4"/>
        <v>210329508.2077073</v>
      </c>
      <c r="D69" s="484">
        <f t="shared" si="0"/>
        <v>19740507.061900597</v>
      </c>
      <c r="E69" s="484">
        <f t="shared" si="5"/>
        <v>0</v>
      </c>
      <c r="F69" s="484">
        <f t="shared" si="6"/>
        <v>230070015.26960787</v>
      </c>
      <c r="G69" s="485">
        <f t="shared" si="7"/>
        <v>3033.3036503218</v>
      </c>
      <c r="H69" s="475">
        <f t="shared" si="8"/>
        <v>648.9963496782002</v>
      </c>
      <c r="I69" s="380">
        <f t="shared" si="9"/>
        <v>0</v>
      </c>
      <c r="J69" s="380">
        <f t="shared" si="10"/>
        <v>0</v>
      </c>
      <c r="K69" s="476">
        <f t="shared" si="1"/>
        <v>519.1970797425602</v>
      </c>
      <c r="L69" s="500">
        <f t="shared" si="2"/>
        <v>39380060.1043137</v>
      </c>
      <c r="M69" s="486">
        <v>38702627.78384782</v>
      </c>
      <c r="N69" s="486"/>
      <c r="O69" s="487">
        <v>167</v>
      </c>
      <c r="P69" s="391" t="s">
        <v>863</v>
      </c>
      <c r="Q69" s="488">
        <v>0</v>
      </c>
      <c r="R69" s="489" t="s">
        <v>850</v>
      </c>
      <c r="U69" s="490" t="s">
        <v>108</v>
      </c>
      <c r="V69" s="491">
        <v>20.5</v>
      </c>
      <c r="W69" s="492">
        <v>216671101.42</v>
      </c>
      <c r="X69" s="493">
        <f t="shared" si="11"/>
        <v>1056932202.0487804</v>
      </c>
      <c r="Y69" s="492">
        <v>19740507.061900597</v>
      </c>
      <c r="Z69" s="492">
        <v>0</v>
      </c>
      <c r="AC69">
        <v>167</v>
      </c>
      <c r="AD69">
        <f t="shared" si="3"/>
        <v>0</v>
      </c>
      <c r="AF69" s="494"/>
    </row>
    <row r="70" spans="1:32" ht="12">
      <c r="A70" s="468" t="s">
        <v>864</v>
      </c>
      <c r="B70" s="483">
        <v>5341</v>
      </c>
      <c r="C70" s="484">
        <f t="shared" si="4"/>
        <v>15734418.210829265</v>
      </c>
      <c r="D70" s="484">
        <f t="shared" si="0"/>
        <v>1002711.0343609059</v>
      </c>
      <c r="E70" s="484">
        <f t="shared" si="5"/>
        <v>0</v>
      </c>
      <c r="F70" s="484">
        <f t="shared" si="6"/>
        <v>16737129.245190172</v>
      </c>
      <c r="G70" s="485">
        <f t="shared" si="7"/>
        <v>3133.7070296180814</v>
      </c>
      <c r="H70" s="475">
        <f t="shared" si="8"/>
        <v>548.5929703819188</v>
      </c>
      <c r="I70" s="380">
        <f t="shared" si="9"/>
        <v>0</v>
      </c>
      <c r="J70" s="380">
        <f t="shared" si="10"/>
        <v>0</v>
      </c>
      <c r="K70" s="476">
        <f t="shared" si="1"/>
        <v>438.87437630553507</v>
      </c>
      <c r="L70" s="500">
        <f t="shared" si="2"/>
        <v>2344028.0438478626</v>
      </c>
      <c r="M70" s="486">
        <v>2412915.476148289</v>
      </c>
      <c r="N70" s="486"/>
      <c r="O70" s="495">
        <v>169</v>
      </c>
      <c r="P70" s="496" t="s">
        <v>865</v>
      </c>
      <c r="Q70" s="488">
        <v>0</v>
      </c>
      <c r="R70" s="489" t="s">
        <v>803</v>
      </c>
      <c r="U70" s="490" t="s">
        <v>109</v>
      </c>
      <c r="V70" s="491">
        <v>20.5</v>
      </c>
      <c r="W70" s="492">
        <v>16208822.78</v>
      </c>
      <c r="X70" s="493">
        <f t="shared" si="11"/>
        <v>79067428.19512194</v>
      </c>
      <c r="Y70" s="492">
        <v>1002711.0343609059</v>
      </c>
      <c r="Z70" s="492">
        <v>0</v>
      </c>
      <c r="AC70">
        <v>169</v>
      </c>
      <c r="AD70">
        <f t="shared" si="3"/>
        <v>0</v>
      </c>
      <c r="AF70" s="494"/>
    </row>
    <row r="71" spans="1:32" ht="12">
      <c r="A71" s="468" t="s">
        <v>866</v>
      </c>
      <c r="B71" s="483">
        <v>5039</v>
      </c>
      <c r="C71" s="484">
        <f t="shared" si="4"/>
        <v>13533861.99744578</v>
      </c>
      <c r="D71" s="484">
        <f t="shared" si="0"/>
        <v>1354580.8550423577</v>
      </c>
      <c r="E71" s="484">
        <f t="shared" si="5"/>
        <v>0</v>
      </c>
      <c r="F71" s="484">
        <f t="shared" si="6"/>
        <v>14888442.852488138</v>
      </c>
      <c r="G71" s="485">
        <f t="shared" si="7"/>
        <v>2954.642360088934</v>
      </c>
      <c r="H71" s="475">
        <f t="shared" si="8"/>
        <v>727.6576399110663</v>
      </c>
      <c r="I71" s="380">
        <f t="shared" si="9"/>
        <v>0</v>
      </c>
      <c r="J71" s="380">
        <f t="shared" si="10"/>
        <v>0</v>
      </c>
      <c r="K71" s="476">
        <f t="shared" si="1"/>
        <v>582.1261119288531</v>
      </c>
      <c r="L71" s="500">
        <f t="shared" si="2"/>
        <v>2933333.4780094908</v>
      </c>
      <c r="M71" s="486">
        <v>2732989.019602964</v>
      </c>
      <c r="N71" s="486"/>
      <c r="O71" s="495">
        <v>171</v>
      </c>
      <c r="P71" s="496" t="s">
        <v>867</v>
      </c>
      <c r="Q71" s="488">
        <v>0</v>
      </c>
      <c r="R71" s="489" t="s">
        <v>791</v>
      </c>
      <c r="U71" s="490" t="s">
        <v>110</v>
      </c>
      <c r="V71" s="491">
        <v>20.75</v>
      </c>
      <c r="W71" s="492">
        <v>14111941.53</v>
      </c>
      <c r="X71" s="493">
        <f t="shared" si="11"/>
        <v>68009356.77108434</v>
      </c>
      <c r="Y71" s="492">
        <v>1354580.8550423577</v>
      </c>
      <c r="Z71" s="492">
        <v>0</v>
      </c>
      <c r="AC71">
        <v>171</v>
      </c>
      <c r="AD71">
        <f t="shared" si="3"/>
        <v>0</v>
      </c>
      <c r="AF71" s="494"/>
    </row>
    <row r="72" spans="1:32" ht="12">
      <c r="A72" s="468" t="s">
        <v>868</v>
      </c>
      <c r="B72" s="483">
        <v>4673</v>
      </c>
      <c r="C72" s="484">
        <f t="shared" si="4"/>
        <v>11245747.94190476</v>
      </c>
      <c r="D72" s="484">
        <f t="shared" si="0"/>
        <v>1364965.1241791546</v>
      </c>
      <c r="E72" s="484">
        <f t="shared" si="5"/>
        <v>0</v>
      </c>
      <c r="F72" s="484">
        <f t="shared" si="6"/>
        <v>12610713.066083916</v>
      </c>
      <c r="G72" s="485">
        <f t="shared" si="7"/>
        <v>2698.6332262109813</v>
      </c>
      <c r="H72" s="475">
        <f t="shared" si="8"/>
        <v>983.6667737890189</v>
      </c>
      <c r="I72" s="380">
        <f t="shared" si="9"/>
        <v>0</v>
      </c>
      <c r="J72" s="380">
        <f t="shared" si="10"/>
        <v>0</v>
      </c>
      <c r="K72" s="476">
        <f t="shared" si="1"/>
        <v>786.9334190312152</v>
      </c>
      <c r="L72" s="500">
        <f t="shared" si="2"/>
        <v>3677339.8671328686</v>
      </c>
      <c r="M72" s="486">
        <v>3653532.6680495245</v>
      </c>
      <c r="N72" s="486"/>
      <c r="O72" s="495">
        <v>172</v>
      </c>
      <c r="P72" s="391" t="s">
        <v>868</v>
      </c>
      <c r="Q72" s="488">
        <v>0</v>
      </c>
      <c r="R72" s="489" t="s">
        <v>814</v>
      </c>
      <c r="U72" s="490" t="s">
        <v>111</v>
      </c>
      <c r="V72" s="491">
        <v>21</v>
      </c>
      <c r="W72" s="492">
        <v>11867372.2</v>
      </c>
      <c r="X72" s="493">
        <f t="shared" si="11"/>
        <v>56511296.190476194</v>
      </c>
      <c r="Y72" s="492">
        <v>1364965.1241791546</v>
      </c>
      <c r="Z72" s="492">
        <v>0</v>
      </c>
      <c r="AC72">
        <v>172</v>
      </c>
      <c r="AD72">
        <f t="shared" si="3"/>
        <v>0</v>
      </c>
      <c r="AF72" s="494"/>
    </row>
    <row r="73" spans="1:32" ht="12">
      <c r="A73" s="468" t="s">
        <v>869</v>
      </c>
      <c r="B73" s="483">
        <v>4938</v>
      </c>
      <c r="C73" s="484">
        <f t="shared" si="4"/>
        <v>10679005.599855421</v>
      </c>
      <c r="D73" s="484">
        <f t="shared" si="0"/>
        <v>1662572.42470358</v>
      </c>
      <c r="E73" s="484">
        <f t="shared" si="5"/>
        <v>0</v>
      </c>
      <c r="F73" s="484">
        <f t="shared" si="6"/>
        <v>12341578.024559</v>
      </c>
      <c r="G73" s="485">
        <f t="shared" si="7"/>
        <v>2499.30701185885</v>
      </c>
      <c r="H73" s="475">
        <f t="shared" si="8"/>
        <v>1182.9929881411504</v>
      </c>
      <c r="I73" s="380">
        <f t="shared" si="9"/>
        <v>0</v>
      </c>
      <c r="J73" s="380">
        <f t="shared" si="10"/>
        <v>0</v>
      </c>
      <c r="K73" s="476">
        <f t="shared" si="1"/>
        <v>946.3943905129204</v>
      </c>
      <c r="L73" s="500">
        <f t="shared" si="2"/>
        <v>4673295.500352801</v>
      </c>
      <c r="M73" s="486">
        <v>4513105.228167709</v>
      </c>
      <c r="N73" s="486"/>
      <c r="O73" s="495">
        <v>176</v>
      </c>
      <c r="P73" s="391" t="s">
        <v>869</v>
      </c>
      <c r="Q73" s="488">
        <v>0</v>
      </c>
      <c r="R73" s="489" t="s">
        <v>850</v>
      </c>
      <c r="U73" s="490" t="s">
        <v>112</v>
      </c>
      <c r="V73" s="491">
        <v>20.75</v>
      </c>
      <c r="W73" s="492">
        <v>11135144.03</v>
      </c>
      <c r="X73" s="493">
        <f t="shared" si="11"/>
        <v>53663344.72289157</v>
      </c>
      <c r="Y73" s="492">
        <v>1662572.42470358</v>
      </c>
      <c r="Z73" s="492">
        <v>0</v>
      </c>
      <c r="AC73">
        <v>176</v>
      </c>
      <c r="AD73">
        <f t="shared" si="3"/>
        <v>0</v>
      </c>
      <c r="AF73" s="494"/>
    </row>
    <row r="74" spans="1:32" ht="12">
      <c r="A74" s="468" t="s">
        <v>870</v>
      </c>
      <c r="B74" s="483">
        <v>1957</v>
      </c>
      <c r="C74" s="484">
        <f t="shared" si="4"/>
        <v>5247429.900761905</v>
      </c>
      <c r="D74" s="484">
        <f t="shared" si="0"/>
        <v>850172.937790932</v>
      </c>
      <c r="E74" s="484">
        <f t="shared" si="5"/>
        <v>0</v>
      </c>
      <c r="F74" s="484">
        <f t="shared" si="6"/>
        <v>6097602.838552837</v>
      </c>
      <c r="G74" s="485">
        <f t="shared" si="7"/>
        <v>3115.7909241455477</v>
      </c>
      <c r="H74" s="475">
        <f t="shared" si="8"/>
        <v>566.5090758544525</v>
      </c>
      <c r="I74" s="380">
        <f t="shared" si="9"/>
        <v>0</v>
      </c>
      <c r="J74" s="380">
        <f t="shared" si="10"/>
        <v>0</v>
      </c>
      <c r="K74" s="476">
        <f t="shared" si="1"/>
        <v>453.207260683562</v>
      </c>
      <c r="L74" s="500">
        <f t="shared" si="2"/>
        <v>886926.6091577309</v>
      </c>
      <c r="M74" s="486">
        <v>911863.8755695245</v>
      </c>
      <c r="N74" s="486"/>
      <c r="O74" s="495">
        <v>177</v>
      </c>
      <c r="P74" s="391" t="s">
        <v>870</v>
      </c>
      <c r="Q74" s="488">
        <v>0</v>
      </c>
      <c r="R74" s="489" t="s">
        <v>789</v>
      </c>
      <c r="U74" s="490" t="s">
        <v>113</v>
      </c>
      <c r="V74" s="491">
        <v>21</v>
      </c>
      <c r="W74" s="492">
        <v>5537488.84</v>
      </c>
      <c r="X74" s="493">
        <f t="shared" si="11"/>
        <v>26368994.476190478</v>
      </c>
      <c r="Y74" s="492">
        <v>850172.937790932</v>
      </c>
      <c r="Z74" s="492">
        <v>0</v>
      </c>
      <c r="AC74">
        <v>177</v>
      </c>
      <c r="AD74">
        <f t="shared" si="3"/>
        <v>0</v>
      </c>
      <c r="AF74" s="494"/>
    </row>
    <row r="75" spans="1:32" ht="12">
      <c r="A75" s="468" t="s">
        <v>871</v>
      </c>
      <c r="B75" s="483">
        <v>6421</v>
      </c>
      <c r="C75" s="484">
        <f t="shared" si="4"/>
        <v>15013092.584455695</v>
      </c>
      <c r="D75" s="484">
        <f t="shared" si="0"/>
        <v>2297176.9449822535</v>
      </c>
      <c r="E75" s="484">
        <f t="shared" si="5"/>
        <v>0</v>
      </c>
      <c r="F75" s="484">
        <f t="shared" si="6"/>
        <v>17310269.529437948</v>
      </c>
      <c r="G75" s="485">
        <f t="shared" si="7"/>
        <v>2695.883745434971</v>
      </c>
      <c r="H75" s="475">
        <f t="shared" si="8"/>
        <v>986.4162545650292</v>
      </c>
      <c r="I75" s="380">
        <f t="shared" si="9"/>
        <v>0</v>
      </c>
      <c r="J75" s="380">
        <f t="shared" si="10"/>
        <v>0</v>
      </c>
      <c r="K75" s="476">
        <f t="shared" si="1"/>
        <v>789.1330036520235</v>
      </c>
      <c r="L75" s="500">
        <f t="shared" si="2"/>
        <v>5067023.016449642</v>
      </c>
      <c r="M75" s="486">
        <v>5099394.684893165</v>
      </c>
      <c r="N75" s="486"/>
      <c r="O75" s="495">
        <v>178</v>
      </c>
      <c r="P75" s="391" t="s">
        <v>871</v>
      </c>
      <c r="Q75" s="488">
        <v>0</v>
      </c>
      <c r="R75" s="489" t="s">
        <v>791</v>
      </c>
      <c r="U75" s="490" t="s">
        <v>114</v>
      </c>
      <c r="V75" s="491">
        <v>19.75</v>
      </c>
      <c r="W75" s="492">
        <v>14899928.57</v>
      </c>
      <c r="X75" s="493">
        <f t="shared" si="11"/>
        <v>75442676.30379747</v>
      </c>
      <c r="Y75" s="492">
        <v>2297176.9449822535</v>
      </c>
      <c r="Z75" s="492">
        <v>0</v>
      </c>
      <c r="AC75">
        <v>178</v>
      </c>
      <c r="AD75">
        <f t="shared" si="3"/>
        <v>0</v>
      </c>
      <c r="AF75" s="494"/>
    </row>
    <row r="76" spans="1:32" ht="12">
      <c r="A76" s="482" t="s">
        <v>872</v>
      </c>
      <c r="B76" s="483">
        <v>138850</v>
      </c>
      <c r="C76" s="484">
        <f t="shared" si="4"/>
        <v>428809295.6090499</v>
      </c>
      <c r="D76" s="484">
        <f t="shared" si="0"/>
        <v>24986819.17196588</v>
      </c>
      <c r="E76" s="484">
        <f t="shared" si="5"/>
        <v>0</v>
      </c>
      <c r="F76" s="484">
        <f t="shared" si="6"/>
        <v>453796114.7810158</v>
      </c>
      <c r="G76" s="485">
        <f t="shared" si="7"/>
        <v>3268.2471356212877</v>
      </c>
      <c r="H76" s="475">
        <f t="shared" si="8"/>
        <v>414.05286437871246</v>
      </c>
      <c r="I76" s="380">
        <f t="shared" si="9"/>
        <v>0</v>
      </c>
      <c r="J76" s="380">
        <f t="shared" si="10"/>
        <v>0</v>
      </c>
      <c r="K76" s="476">
        <f t="shared" si="1"/>
        <v>331.24229150297</v>
      </c>
      <c r="L76" s="500">
        <f t="shared" si="2"/>
        <v>45992992.17518738</v>
      </c>
      <c r="M76" s="486">
        <v>45356083.63888801</v>
      </c>
      <c r="N76" s="486"/>
      <c r="O76" s="487">
        <v>179</v>
      </c>
      <c r="P76" s="391" t="s">
        <v>872</v>
      </c>
      <c r="Q76" s="488">
        <v>0</v>
      </c>
      <c r="R76" s="489" t="s">
        <v>814</v>
      </c>
      <c r="U76" s="490" t="s">
        <v>115</v>
      </c>
      <c r="V76" s="491">
        <v>20</v>
      </c>
      <c r="W76" s="492">
        <v>430964116.19</v>
      </c>
      <c r="X76" s="493">
        <f t="shared" si="11"/>
        <v>2154820580.95</v>
      </c>
      <c r="Y76" s="492">
        <v>24986819.17196588</v>
      </c>
      <c r="Z76" s="492">
        <v>0</v>
      </c>
      <c r="AC76">
        <v>179</v>
      </c>
      <c r="AD76">
        <f t="shared" si="3"/>
        <v>0</v>
      </c>
      <c r="AF76" s="494"/>
    </row>
    <row r="77" spans="1:32" ht="12">
      <c r="A77" s="468" t="s">
        <v>873</v>
      </c>
      <c r="B77" s="483">
        <v>1915</v>
      </c>
      <c r="C77" s="484">
        <f t="shared" si="4"/>
        <v>4340081.894355554</v>
      </c>
      <c r="D77" s="484">
        <f t="shared" si="0"/>
        <v>272220.5737713588</v>
      </c>
      <c r="E77" s="484">
        <f t="shared" si="5"/>
        <v>0</v>
      </c>
      <c r="F77" s="484">
        <f t="shared" si="6"/>
        <v>4612302.468126913</v>
      </c>
      <c r="G77" s="485">
        <f t="shared" si="7"/>
        <v>2408.5130381863773</v>
      </c>
      <c r="H77" s="475">
        <f t="shared" si="8"/>
        <v>1273.7869618136228</v>
      </c>
      <c r="I77" s="380">
        <f t="shared" si="9"/>
        <v>0</v>
      </c>
      <c r="J77" s="380">
        <f t="shared" si="10"/>
        <v>0</v>
      </c>
      <c r="K77" s="476">
        <f t="shared" si="1"/>
        <v>1019.0295694508983</v>
      </c>
      <c r="L77" s="500">
        <f t="shared" si="2"/>
        <v>1951441.6254984702</v>
      </c>
      <c r="M77" s="486">
        <v>1972858.5255739535</v>
      </c>
      <c r="N77" s="486"/>
      <c r="O77" s="495">
        <v>181</v>
      </c>
      <c r="P77" s="391" t="s">
        <v>873</v>
      </c>
      <c r="Q77" s="488">
        <v>0</v>
      </c>
      <c r="R77" s="489" t="s">
        <v>798</v>
      </c>
      <c r="U77" s="490" t="s">
        <v>116</v>
      </c>
      <c r="V77" s="491">
        <v>22.5</v>
      </c>
      <c r="W77" s="492">
        <v>4907127.77</v>
      </c>
      <c r="X77" s="493">
        <f t="shared" si="11"/>
        <v>21809456.75555555</v>
      </c>
      <c r="Y77" s="492">
        <v>272220.5737713588</v>
      </c>
      <c r="Z77" s="492">
        <v>0</v>
      </c>
      <c r="AC77">
        <v>181</v>
      </c>
      <c r="AD77">
        <f t="shared" si="3"/>
        <v>0</v>
      </c>
      <c r="AF77" s="494"/>
    </row>
    <row r="78" spans="1:32" ht="12">
      <c r="A78" s="468" t="s">
        <v>117</v>
      </c>
      <c r="B78" s="483">
        <v>21259</v>
      </c>
      <c r="C78" s="484">
        <f t="shared" si="4"/>
        <v>65627192.92995236</v>
      </c>
      <c r="D78" s="484">
        <f t="shared" si="0"/>
        <v>8247704.7807238335</v>
      </c>
      <c r="E78" s="484">
        <f t="shared" si="5"/>
        <v>0</v>
      </c>
      <c r="F78" s="484">
        <f t="shared" si="6"/>
        <v>73874897.7106762</v>
      </c>
      <c r="G78" s="485">
        <f t="shared" si="7"/>
        <v>3474.994012450077</v>
      </c>
      <c r="H78" s="475">
        <f t="shared" si="8"/>
        <v>207.30598754992297</v>
      </c>
      <c r="I78" s="380">
        <f t="shared" si="9"/>
        <v>0</v>
      </c>
      <c r="J78" s="380">
        <f t="shared" si="10"/>
        <v>0</v>
      </c>
      <c r="K78" s="476">
        <f t="shared" si="1"/>
        <v>165.8447900399384</v>
      </c>
      <c r="L78" s="500">
        <f t="shared" si="2"/>
        <v>3525694.3914590506</v>
      </c>
      <c r="M78" s="486">
        <v>2629096.625108576</v>
      </c>
      <c r="N78" s="486"/>
      <c r="O78" s="495">
        <v>182</v>
      </c>
      <c r="P78" s="391" t="s">
        <v>874</v>
      </c>
      <c r="Q78" s="488">
        <v>0</v>
      </c>
      <c r="R78" s="489" t="s">
        <v>814</v>
      </c>
      <c r="U78" s="490" t="s">
        <v>117</v>
      </c>
      <c r="V78" s="491">
        <v>21</v>
      </c>
      <c r="W78" s="492">
        <v>69254826.71</v>
      </c>
      <c r="X78" s="493">
        <f t="shared" si="11"/>
        <v>329784889.09523803</v>
      </c>
      <c r="Y78" s="492">
        <v>8247704.7807238335</v>
      </c>
      <c r="Z78" s="492">
        <v>0</v>
      </c>
      <c r="AC78">
        <v>182</v>
      </c>
      <c r="AD78">
        <f t="shared" si="3"/>
        <v>0</v>
      </c>
      <c r="AF78" s="494"/>
    </row>
    <row r="79" spans="1:32" ht="12">
      <c r="A79" s="468" t="s">
        <v>875</v>
      </c>
      <c r="B79" s="483">
        <v>41529</v>
      </c>
      <c r="C79" s="484">
        <f t="shared" si="4"/>
        <v>163619954.06668356</v>
      </c>
      <c r="D79" s="484">
        <f t="shared" si="0"/>
        <v>4995695.696389273</v>
      </c>
      <c r="E79" s="484">
        <f t="shared" si="5"/>
        <v>0</v>
      </c>
      <c r="F79" s="484">
        <f t="shared" si="6"/>
        <v>168615649.76307285</v>
      </c>
      <c r="G79" s="485">
        <f t="shared" si="7"/>
        <v>4060.190463605501</v>
      </c>
      <c r="H79" s="475">
        <f t="shared" si="8"/>
        <v>-377.8904636055008</v>
      </c>
      <c r="I79" s="380">
        <f t="shared" si="9"/>
        <v>5.934604374804166</v>
      </c>
      <c r="J79" s="380">
        <f t="shared" si="10"/>
        <v>35.93460437480417</v>
      </c>
      <c r="K79" s="476">
        <f t="shared" si="1"/>
        <v>-135.79344306675003</v>
      </c>
      <c r="L79" s="500">
        <f t="shared" si="2"/>
        <v>-5639365.897119062</v>
      </c>
      <c r="M79" s="486">
        <v>-5426595.668831927</v>
      </c>
      <c r="N79" s="486"/>
      <c r="O79" s="495">
        <v>186</v>
      </c>
      <c r="P79" s="496" t="s">
        <v>876</v>
      </c>
      <c r="Q79" s="488">
        <v>0</v>
      </c>
      <c r="R79" s="489" t="s">
        <v>786</v>
      </c>
      <c r="U79" s="490" t="s">
        <v>118</v>
      </c>
      <c r="V79" s="491">
        <v>19.75</v>
      </c>
      <c r="W79" s="492">
        <v>162386637.83</v>
      </c>
      <c r="X79" s="493">
        <f t="shared" si="11"/>
        <v>822210824.4556963</v>
      </c>
      <c r="Y79" s="492">
        <v>4995695.696389273</v>
      </c>
      <c r="Z79" s="492">
        <v>0</v>
      </c>
      <c r="AC79">
        <v>186</v>
      </c>
      <c r="AD79">
        <f t="shared" si="3"/>
        <v>0</v>
      </c>
      <c r="AF79" s="494"/>
    </row>
    <row r="80" spans="1:32" ht="12">
      <c r="A80" s="482" t="s">
        <v>877</v>
      </c>
      <c r="B80" s="483">
        <v>32738</v>
      </c>
      <c r="C80" s="484">
        <f t="shared" si="4"/>
        <v>125212708.10268354</v>
      </c>
      <c r="D80" s="484">
        <f t="shared" si="0"/>
        <v>4483935.092048283</v>
      </c>
      <c r="E80" s="484">
        <f t="shared" si="5"/>
        <v>0</v>
      </c>
      <c r="F80" s="484">
        <f t="shared" si="6"/>
        <v>129696643.19473183</v>
      </c>
      <c r="G80" s="485">
        <f t="shared" si="7"/>
        <v>3961.6544442156464</v>
      </c>
      <c r="H80" s="475">
        <f t="shared" si="8"/>
        <v>-279.35444421564625</v>
      </c>
      <c r="I80" s="380">
        <f t="shared" si="9"/>
        <v>5.632481384909256</v>
      </c>
      <c r="J80" s="380">
        <f t="shared" si="10"/>
        <v>35.632481384909255</v>
      </c>
      <c r="K80" s="476">
        <f t="shared" si="1"/>
        <v>-99.54092033305686</v>
      </c>
      <c r="L80" s="500">
        <f t="shared" si="2"/>
        <v>-3258770.6498636156</v>
      </c>
      <c r="M80" s="486">
        <v>-3339643.903589018</v>
      </c>
      <c r="N80" s="486"/>
      <c r="O80" s="487">
        <v>202</v>
      </c>
      <c r="P80" s="496" t="s">
        <v>878</v>
      </c>
      <c r="Q80" s="488">
        <v>0</v>
      </c>
      <c r="R80" s="489" t="s">
        <v>788</v>
      </c>
      <c r="U80" s="490" t="s">
        <v>119</v>
      </c>
      <c r="V80" s="491">
        <v>19.75</v>
      </c>
      <c r="W80" s="492">
        <v>124268893.72</v>
      </c>
      <c r="X80" s="493">
        <f t="shared" si="11"/>
        <v>629209588.4556962</v>
      </c>
      <c r="Y80" s="492">
        <v>4483935.092048283</v>
      </c>
      <c r="Z80" s="492">
        <v>0</v>
      </c>
      <c r="AC80">
        <v>202</v>
      </c>
      <c r="AD80">
        <f t="shared" si="3"/>
        <v>0</v>
      </c>
      <c r="AF80" s="494"/>
    </row>
    <row r="81" spans="1:32" ht="12">
      <c r="A81" s="468" t="s">
        <v>879</v>
      </c>
      <c r="B81" s="483">
        <v>3154</v>
      </c>
      <c r="C81" s="484">
        <f t="shared" si="4"/>
        <v>6604627.828376469</v>
      </c>
      <c r="D81" s="484">
        <f t="shared" si="0"/>
        <v>910890.0691445483</v>
      </c>
      <c r="E81" s="484">
        <f t="shared" si="5"/>
        <v>0</v>
      </c>
      <c r="F81" s="484">
        <f t="shared" si="6"/>
        <v>7515517.897521017</v>
      </c>
      <c r="G81" s="485">
        <f t="shared" si="7"/>
        <v>2382.85285273336</v>
      </c>
      <c r="H81" s="475">
        <f t="shared" si="8"/>
        <v>1299.44714726664</v>
      </c>
      <c r="I81" s="380">
        <f t="shared" si="9"/>
        <v>0</v>
      </c>
      <c r="J81" s="380">
        <f t="shared" si="10"/>
        <v>0</v>
      </c>
      <c r="K81" s="476">
        <f t="shared" si="1"/>
        <v>1039.5577178133121</v>
      </c>
      <c r="L81" s="500">
        <f t="shared" si="2"/>
        <v>3278765.0419831863</v>
      </c>
      <c r="M81" s="486">
        <v>3441883.8375378833</v>
      </c>
      <c r="N81" s="486"/>
      <c r="O81" s="495">
        <v>204</v>
      </c>
      <c r="P81" s="391" t="s">
        <v>879</v>
      </c>
      <c r="Q81" s="488">
        <v>0</v>
      </c>
      <c r="R81" s="489" t="s">
        <v>843</v>
      </c>
      <c r="U81" s="490" t="s">
        <v>120</v>
      </c>
      <c r="V81" s="491">
        <v>21.25</v>
      </c>
      <c r="W81" s="492">
        <v>7052680.47</v>
      </c>
      <c r="X81" s="493">
        <f t="shared" si="11"/>
        <v>33189084.564705882</v>
      </c>
      <c r="Y81" s="492">
        <v>910890.0691445483</v>
      </c>
      <c r="Z81" s="492">
        <v>0</v>
      </c>
      <c r="AC81">
        <v>204</v>
      </c>
      <c r="AD81">
        <f t="shared" si="3"/>
        <v>0</v>
      </c>
      <c r="AF81" s="494"/>
    </row>
    <row r="82" spans="1:32" ht="12">
      <c r="A82" s="468" t="s">
        <v>880</v>
      </c>
      <c r="B82" s="483">
        <v>37521</v>
      </c>
      <c r="C82" s="484">
        <f t="shared" si="4"/>
        <v>113314823.53809522</v>
      </c>
      <c r="D82" s="484">
        <f t="shared" si="0"/>
        <v>5164632.252642859</v>
      </c>
      <c r="E82" s="484">
        <f t="shared" si="5"/>
        <v>0</v>
      </c>
      <c r="F82" s="484">
        <f t="shared" si="6"/>
        <v>118479455.79073808</v>
      </c>
      <c r="G82" s="485">
        <f t="shared" si="7"/>
        <v>3157.683851462863</v>
      </c>
      <c r="H82" s="475">
        <f t="shared" si="8"/>
        <v>524.6161485371372</v>
      </c>
      <c r="I82" s="380">
        <f t="shared" si="9"/>
        <v>0</v>
      </c>
      <c r="J82" s="380">
        <f t="shared" si="10"/>
        <v>0</v>
      </c>
      <c r="K82" s="476">
        <f t="shared" si="1"/>
        <v>419.69291882970975</v>
      </c>
      <c r="L82" s="500">
        <f t="shared" si="2"/>
        <v>15747298.00740954</v>
      </c>
      <c r="M82" s="486">
        <v>15350319.868190475</v>
      </c>
      <c r="N82" s="486"/>
      <c r="O82" s="495">
        <v>205</v>
      </c>
      <c r="P82" s="496" t="s">
        <v>881</v>
      </c>
      <c r="Q82" s="488">
        <v>0</v>
      </c>
      <c r="R82" s="489" t="s">
        <v>832</v>
      </c>
      <c r="U82" s="490" t="s">
        <v>121</v>
      </c>
      <c r="V82" s="491">
        <v>21</v>
      </c>
      <c r="W82" s="492">
        <v>119578457</v>
      </c>
      <c r="X82" s="493">
        <f t="shared" si="11"/>
        <v>569421223.8095238</v>
      </c>
      <c r="Y82" s="492">
        <v>5164632.252642859</v>
      </c>
      <c r="Z82" s="492">
        <v>0</v>
      </c>
      <c r="AC82">
        <v>205</v>
      </c>
      <c r="AD82">
        <f t="shared" si="3"/>
        <v>0</v>
      </c>
      <c r="AF82" s="494"/>
    </row>
    <row r="83" spans="1:32" ht="12">
      <c r="A83" s="468" t="s">
        <v>882</v>
      </c>
      <c r="B83" s="483">
        <v>12586</v>
      </c>
      <c r="C83" s="484">
        <f t="shared" si="4"/>
        <v>31695651.350099996</v>
      </c>
      <c r="D83" s="484">
        <f aca="true" t="shared" si="12" ref="D83:D146">Y83</f>
        <v>2340390.213719579</v>
      </c>
      <c r="E83" s="484">
        <f t="shared" si="5"/>
        <v>0</v>
      </c>
      <c r="F83" s="484">
        <f t="shared" si="6"/>
        <v>34036041.56381957</v>
      </c>
      <c r="G83" s="485">
        <f t="shared" si="7"/>
        <v>2704.2778932003475</v>
      </c>
      <c r="H83" s="475">
        <f t="shared" si="8"/>
        <v>978.0221067996526</v>
      </c>
      <c r="I83" s="380">
        <f t="shared" si="9"/>
        <v>0</v>
      </c>
      <c r="J83" s="380">
        <f t="shared" si="10"/>
        <v>0</v>
      </c>
      <c r="K83" s="476">
        <f aca="true" t="shared" si="13" ref="K83:K146">IF(H83&gt;0,H83*0.8,J83*H83/100)</f>
        <v>782.4176854397222</v>
      </c>
      <c r="L83" s="500">
        <f aca="true" t="shared" si="14" ref="L83:L146">K83*B83</f>
        <v>9847508.988944342</v>
      </c>
      <c r="M83" s="486">
        <v>9245728.627128001</v>
      </c>
      <c r="N83" s="486"/>
      <c r="O83" s="495">
        <v>208</v>
      </c>
      <c r="P83" s="391" t="s">
        <v>882</v>
      </c>
      <c r="Q83" s="488">
        <v>0</v>
      </c>
      <c r="R83" s="489" t="s">
        <v>781</v>
      </c>
      <c r="U83" s="490" t="s">
        <v>122</v>
      </c>
      <c r="V83" s="491">
        <v>20</v>
      </c>
      <c r="W83" s="492">
        <v>31854925.98</v>
      </c>
      <c r="X83" s="493">
        <f t="shared" si="11"/>
        <v>159274629.9</v>
      </c>
      <c r="Y83" s="492">
        <v>2340390.213719579</v>
      </c>
      <c r="Z83" s="492">
        <v>0</v>
      </c>
      <c r="AC83">
        <v>208</v>
      </c>
      <c r="AD83">
        <f aca="true" t="shared" si="15" ref="AD83:AD146">O83-AC83</f>
        <v>0</v>
      </c>
      <c r="AF83" s="494"/>
    </row>
    <row r="84" spans="1:32" ht="12">
      <c r="A84" s="468" t="s">
        <v>883</v>
      </c>
      <c r="B84" s="483">
        <v>31190</v>
      </c>
      <c r="C84" s="484">
        <f aca="true" t="shared" si="16" ref="C84:C147">$V$15*X84/100</f>
        <v>107223509.96357141</v>
      </c>
      <c r="D84" s="484">
        <f t="shared" si="12"/>
        <v>3762668.3810918047</v>
      </c>
      <c r="E84" s="484">
        <f aca="true" t="shared" si="17" ref="E84:E147">IF(Z84=0,0,3.1*Z84/100/2)</f>
        <v>0</v>
      </c>
      <c r="F84" s="484">
        <f aca="true" t="shared" si="18" ref="F84:F147">C84+D84+E84</f>
        <v>110986178.34466322</v>
      </c>
      <c r="G84" s="485">
        <f aca="true" t="shared" si="19" ref="G84:G147">F84/B84</f>
        <v>3558.389815474935</v>
      </c>
      <c r="H84" s="475">
        <f aca="true" t="shared" si="20" ref="H84:H147">$G$15-G84</f>
        <v>123.91018452506523</v>
      </c>
      <c r="I84" s="380">
        <f aca="true" t="shared" si="21" ref="I84:I147">IF(H84&lt;0,LN(-H84),0)</f>
        <v>0</v>
      </c>
      <c r="J84" s="380">
        <f aca="true" t="shared" si="22" ref="J84:J147">IF(H84&lt;0,30+I84,0)</f>
        <v>0</v>
      </c>
      <c r="K84" s="476">
        <f t="shared" si="13"/>
        <v>99.12814762005219</v>
      </c>
      <c r="L84" s="500">
        <f t="shared" si="14"/>
        <v>3091806.924269428</v>
      </c>
      <c r="M84" s="486">
        <v>1824057.0945523689</v>
      </c>
      <c r="N84" s="486"/>
      <c r="O84" s="495">
        <v>211</v>
      </c>
      <c r="P84" s="391" t="s">
        <v>883</v>
      </c>
      <c r="Q84" s="488">
        <v>0</v>
      </c>
      <c r="R84" s="489" t="s">
        <v>789</v>
      </c>
      <c r="U84" s="490" t="s">
        <v>123</v>
      </c>
      <c r="V84" s="491">
        <v>21</v>
      </c>
      <c r="W84" s="492">
        <v>113150437.65</v>
      </c>
      <c r="X84" s="493">
        <f aca="true" t="shared" si="23" ref="X84:X147">100*W84/V84</f>
        <v>538811607.8571428</v>
      </c>
      <c r="Y84" s="492">
        <v>3762668.3810918047</v>
      </c>
      <c r="Z84" s="492">
        <v>0</v>
      </c>
      <c r="AC84">
        <v>211</v>
      </c>
      <c r="AD84">
        <f t="shared" si="15"/>
        <v>0</v>
      </c>
      <c r="AF84" s="494"/>
    </row>
    <row r="85" spans="1:32" ht="12">
      <c r="A85" s="468" t="s">
        <v>884</v>
      </c>
      <c r="B85" s="483">
        <v>5603</v>
      </c>
      <c r="C85" s="484">
        <f t="shared" si="16"/>
        <v>13144933.12713253</v>
      </c>
      <c r="D85" s="484">
        <f t="shared" si="12"/>
        <v>2528773.363739278</v>
      </c>
      <c r="E85" s="484">
        <f t="shared" si="17"/>
        <v>0</v>
      </c>
      <c r="F85" s="484">
        <f t="shared" si="18"/>
        <v>15673706.490871808</v>
      </c>
      <c r="G85" s="485">
        <f t="shared" si="19"/>
        <v>2797.377563960701</v>
      </c>
      <c r="H85" s="475">
        <f t="shared" si="20"/>
        <v>884.9224360392991</v>
      </c>
      <c r="I85" s="380">
        <f t="shared" si="21"/>
        <v>0</v>
      </c>
      <c r="J85" s="380">
        <f t="shared" si="22"/>
        <v>0</v>
      </c>
      <c r="K85" s="476">
        <f t="shared" si="13"/>
        <v>707.9379488314394</v>
      </c>
      <c r="L85" s="500">
        <f t="shared" si="14"/>
        <v>3966576.3273025546</v>
      </c>
      <c r="M85" s="486">
        <v>3822502.3160440023</v>
      </c>
      <c r="N85" s="486"/>
      <c r="O85" s="495">
        <v>213</v>
      </c>
      <c r="P85" s="391" t="s">
        <v>884</v>
      </c>
      <c r="Q85" s="488">
        <v>0</v>
      </c>
      <c r="R85" s="489" t="s">
        <v>791</v>
      </c>
      <c r="U85" s="490" t="s">
        <v>124</v>
      </c>
      <c r="V85" s="491">
        <v>20.75</v>
      </c>
      <c r="W85" s="492">
        <v>13706400.12</v>
      </c>
      <c r="X85" s="493">
        <f t="shared" si="23"/>
        <v>66054940.3373494</v>
      </c>
      <c r="Y85" s="492">
        <v>2528773.363739278</v>
      </c>
      <c r="Z85" s="492">
        <v>0</v>
      </c>
      <c r="AC85">
        <v>213</v>
      </c>
      <c r="AD85">
        <f t="shared" si="15"/>
        <v>0</v>
      </c>
      <c r="AF85" s="494"/>
    </row>
    <row r="86" spans="1:32" ht="12">
      <c r="A86" s="468" t="s">
        <v>885</v>
      </c>
      <c r="B86" s="483">
        <v>11637</v>
      </c>
      <c r="C86" s="484">
        <f t="shared" si="16"/>
        <v>31221908.74897674</v>
      </c>
      <c r="D86" s="484">
        <f t="shared" si="12"/>
        <v>2519955.5655691363</v>
      </c>
      <c r="E86" s="484">
        <f t="shared" si="17"/>
        <v>0</v>
      </c>
      <c r="F86" s="484">
        <f t="shared" si="18"/>
        <v>33741864.31454588</v>
      </c>
      <c r="G86" s="485">
        <f t="shared" si="19"/>
        <v>2899.5328963260185</v>
      </c>
      <c r="H86" s="475">
        <f t="shared" si="20"/>
        <v>782.7671036739816</v>
      </c>
      <c r="I86" s="380">
        <f t="shared" si="21"/>
        <v>0</v>
      </c>
      <c r="J86" s="380">
        <f t="shared" si="22"/>
        <v>0</v>
      </c>
      <c r="K86" s="476">
        <f t="shared" si="13"/>
        <v>626.2136829391853</v>
      </c>
      <c r="L86" s="500">
        <f t="shared" si="14"/>
        <v>7287248.6283633</v>
      </c>
      <c r="M86" s="486">
        <v>7416091.790184189</v>
      </c>
      <c r="N86" s="486"/>
      <c r="O86" s="495">
        <v>214</v>
      </c>
      <c r="P86" s="391" t="s">
        <v>885</v>
      </c>
      <c r="Q86" s="488">
        <v>0</v>
      </c>
      <c r="R86" s="489" t="s">
        <v>798</v>
      </c>
      <c r="U86" s="490" t="s">
        <v>125</v>
      </c>
      <c r="V86" s="491">
        <v>21.5</v>
      </c>
      <c r="W86" s="492">
        <v>33732212.97</v>
      </c>
      <c r="X86" s="493">
        <f t="shared" si="23"/>
        <v>156894013.8139535</v>
      </c>
      <c r="Y86" s="492">
        <v>2519955.5655691363</v>
      </c>
      <c r="Z86" s="492">
        <v>0</v>
      </c>
      <c r="AC86">
        <v>214</v>
      </c>
      <c r="AD86">
        <f t="shared" si="15"/>
        <v>0</v>
      </c>
      <c r="AF86" s="494"/>
    </row>
    <row r="87" spans="1:32" s="1" customFormat="1" ht="12.75">
      <c r="A87" s="468" t="s">
        <v>886</v>
      </c>
      <c r="B87" s="483">
        <v>1424</v>
      </c>
      <c r="C87" s="484">
        <f t="shared" si="16"/>
        <v>2918247.2789047617</v>
      </c>
      <c r="D87" s="484">
        <f t="shared" si="12"/>
        <v>513792.4093300928</v>
      </c>
      <c r="E87" s="484">
        <f t="shared" si="17"/>
        <v>0</v>
      </c>
      <c r="F87" s="484">
        <f t="shared" si="18"/>
        <v>3432039.6882348545</v>
      </c>
      <c r="G87" s="485">
        <f t="shared" si="19"/>
        <v>2410.1402305020047</v>
      </c>
      <c r="H87" s="475">
        <f t="shared" si="20"/>
        <v>1272.1597694979955</v>
      </c>
      <c r="I87" s="380">
        <f t="shared" si="21"/>
        <v>0</v>
      </c>
      <c r="J87" s="380">
        <f t="shared" si="22"/>
        <v>0</v>
      </c>
      <c r="K87" s="476">
        <f t="shared" si="13"/>
        <v>1017.7278155983964</v>
      </c>
      <c r="L87" s="500">
        <f t="shared" si="14"/>
        <v>1449244.4094121165</v>
      </c>
      <c r="M87" s="486">
        <v>1441922.8247961907</v>
      </c>
      <c r="N87" s="486"/>
      <c r="O87" s="495">
        <v>216</v>
      </c>
      <c r="P87" s="391" t="s">
        <v>886</v>
      </c>
      <c r="Q87" s="488">
        <v>0</v>
      </c>
      <c r="R87" s="489" t="s">
        <v>814</v>
      </c>
      <c r="S87"/>
      <c r="T87"/>
      <c r="U87" s="490" t="s">
        <v>126</v>
      </c>
      <c r="V87" s="491">
        <v>21</v>
      </c>
      <c r="W87" s="492">
        <v>3079557.43</v>
      </c>
      <c r="X87" s="493">
        <f t="shared" si="23"/>
        <v>14664559.19047619</v>
      </c>
      <c r="Y87" s="492">
        <v>513792.4093300928</v>
      </c>
      <c r="Z87" s="492">
        <v>0</v>
      </c>
      <c r="AA87"/>
      <c r="AC87" s="1">
        <v>216</v>
      </c>
      <c r="AD87">
        <f t="shared" si="15"/>
        <v>0</v>
      </c>
      <c r="AF87" s="494"/>
    </row>
    <row r="88" spans="1:32" ht="12">
      <c r="A88" s="468" t="s">
        <v>887</v>
      </c>
      <c r="B88" s="483">
        <v>5578</v>
      </c>
      <c r="C88" s="484">
        <f t="shared" si="16"/>
        <v>14332832.933414632</v>
      </c>
      <c r="D88" s="484">
        <f t="shared" si="12"/>
        <v>1175932.5200745875</v>
      </c>
      <c r="E88" s="484">
        <f t="shared" si="17"/>
        <v>0</v>
      </c>
      <c r="F88" s="484">
        <f t="shared" si="18"/>
        <v>15508765.45348922</v>
      </c>
      <c r="G88" s="485">
        <f t="shared" si="19"/>
        <v>2780.3451870722874</v>
      </c>
      <c r="H88" s="475">
        <f t="shared" si="20"/>
        <v>901.9548129277127</v>
      </c>
      <c r="I88" s="380">
        <f t="shared" si="21"/>
        <v>0</v>
      </c>
      <c r="J88" s="380">
        <f t="shared" si="22"/>
        <v>0</v>
      </c>
      <c r="K88" s="476">
        <f t="shared" si="13"/>
        <v>721.5638503421702</v>
      </c>
      <c r="L88" s="500">
        <f t="shared" si="14"/>
        <v>4024883.157208625</v>
      </c>
      <c r="M88" s="486">
        <v>3971421.3415765828</v>
      </c>
      <c r="N88" s="486"/>
      <c r="O88" s="495">
        <v>217</v>
      </c>
      <c r="P88" s="391" t="s">
        <v>887</v>
      </c>
      <c r="Q88" s="488">
        <v>0</v>
      </c>
      <c r="R88" s="489" t="s">
        <v>809</v>
      </c>
      <c r="U88" s="490" t="s">
        <v>127</v>
      </c>
      <c r="V88" s="491">
        <v>20.5</v>
      </c>
      <c r="W88" s="492">
        <v>14764978.65</v>
      </c>
      <c r="X88" s="493">
        <f t="shared" si="23"/>
        <v>72024286.09756097</v>
      </c>
      <c r="Y88" s="492">
        <v>1175932.5200745875</v>
      </c>
      <c r="Z88" s="492">
        <v>0</v>
      </c>
      <c r="AC88">
        <v>217</v>
      </c>
      <c r="AD88">
        <f t="shared" si="15"/>
        <v>0</v>
      </c>
      <c r="AF88" s="494"/>
    </row>
    <row r="89" spans="1:32" ht="12">
      <c r="A89" s="468" t="s">
        <v>888</v>
      </c>
      <c r="B89" s="483">
        <v>1349</v>
      </c>
      <c r="C89" s="484">
        <f t="shared" si="16"/>
        <v>3212638.379454545</v>
      </c>
      <c r="D89" s="484">
        <f t="shared" si="12"/>
        <v>281399.6158452491</v>
      </c>
      <c r="E89" s="484">
        <f t="shared" si="17"/>
        <v>0</v>
      </c>
      <c r="F89" s="484">
        <f t="shared" si="18"/>
        <v>3494037.9952997942</v>
      </c>
      <c r="G89" s="485">
        <f t="shared" si="19"/>
        <v>2590.0948816158593</v>
      </c>
      <c r="H89" s="475">
        <f t="shared" si="20"/>
        <v>1092.2051183841409</v>
      </c>
      <c r="I89" s="380">
        <f t="shared" si="21"/>
        <v>0</v>
      </c>
      <c r="J89" s="380">
        <f t="shared" si="22"/>
        <v>0</v>
      </c>
      <c r="K89" s="476">
        <f t="shared" si="13"/>
        <v>873.7640947073128</v>
      </c>
      <c r="L89" s="500">
        <f t="shared" si="14"/>
        <v>1178707.7637601648</v>
      </c>
      <c r="M89" s="486">
        <v>1226554.326818182</v>
      </c>
      <c r="N89" s="486"/>
      <c r="O89" s="495">
        <v>218</v>
      </c>
      <c r="P89" s="496" t="s">
        <v>889</v>
      </c>
      <c r="Q89" s="488">
        <v>0</v>
      </c>
      <c r="R89" s="489" t="s">
        <v>779</v>
      </c>
      <c r="U89" s="490" t="s">
        <v>128</v>
      </c>
      <c r="V89" s="491">
        <v>22</v>
      </c>
      <c r="W89" s="492">
        <v>3551660.52</v>
      </c>
      <c r="X89" s="493">
        <f t="shared" si="23"/>
        <v>16143911.454545455</v>
      </c>
      <c r="Y89" s="492">
        <v>281399.6158452491</v>
      </c>
      <c r="Z89" s="492">
        <v>0</v>
      </c>
      <c r="AC89">
        <v>218</v>
      </c>
      <c r="AD89">
        <f t="shared" si="15"/>
        <v>0</v>
      </c>
      <c r="AF89" s="494"/>
    </row>
    <row r="90" spans="1:32" ht="12">
      <c r="A90" s="468" t="s">
        <v>890</v>
      </c>
      <c r="B90" s="483">
        <v>8911</v>
      </c>
      <c r="C90" s="484">
        <f t="shared" si="16"/>
        <v>26156345.89518072</v>
      </c>
      <c r="D90" s="484">
        <f t="shared" si="12"/>
        <v>1210782.233094193</v>
      </c>
      <c r="E90" s="484">
        <f t="shared" si="17"/>
        <v>0</v>
      </c>
      <c r="F90" s="484">
        <f t="shared" si="18"/>
        <v>27367128.128274914</v>
      </c>
      <c r="G90" s="485">
        <f t="shared" si="19"/>
        <v>3071.1623979659876</v>
      </c>
      <c r="H90" s="475">
        <f t="shared" si="20"/>
        <v>611.1376020340126</v>
      </c>
      <c r="I90" s="380">
        <f t="shared" si="21"/>
        <v>0</v>
      </c>
      <c r="J90" s="380">
        <f t="shared" si="22"/>
        <v>0</v>
      </c>
      <c r="K90" s="476">
        <f t="shared" si="13"/>
        <v>488.9100816272101</v>
      </c>
      <c r="L90" s="500">
        <f t="shared" si="14"/>
        <v>4356677.73738007</v>
      </c>
      <c r="M90" s="486">
        <v>4168610.8436819245</v>
      </c>
      <c r="N90" s="486"/>
      <c r="O90" s="495">
        <v>224</v>
      </c>
      <c r="P90" s="496" t="s">
        <v>891</v>
      </c>
      <c r="Q90" s="488">
        <v>0</v>
      </c>
      <c r="R90" s="489" t="s">
        <v>786</v>
      </c>
      <c r="U90" s="490" t="s">
        <v>129</v>
      </c>
      <c r="V90" s="491">
        <v>20.75</v>
      </c>
      <c r="W90" s="492">
        <v>27273576.75</v>
      </c>
      <c r="X90" s="493">
        <f t="shared" si="23"/>
        <v>131438924.09638554</v>
      </c>
      <c r="Y90" s="492">
        <v>1210782.233094193</v>
      </c>
      <c r="Z90" s="492">
        <v>0</v>
      </c>
      <c r="AC90">
        <v>224</v>
      </c>
      <c r="AD90">
        <f t="shared" si="15"/>
        <v>0</v>
      </c>
      <c r="AF90" s="494"/>
    </row>
    <row r="91" spans="1:32" ht="12">
      <c r="A91" s="468" t="s">
        <v>892</v>
      </c>
      <c r="B91" s="483">
        <v>4232</v>
      </c>
      <c r="C91" s="484">
        <f t="shared" si="16"/>
        <v>9352473.0281</v>
      </c>
      <c r="D91" s="484">
        <f t="shared" si="12"/>
        <v>1242291.677140784</v>
      </c>
      <c r="E91" s="484">
        <f t="shared" si="17"/>
        <v>0</v>
      </c>
      <c r="F91" s="484">
        <f t="shared" si="18"/>
        <v>10594764.705240784</v>
      </c>
      <c r="G91" s="485">
        <f t="shared" si="19"/>
        <v>2503.4888244897884</v>
      </c>
      <c r="H91" s="475">
        <f t="shared" si="20"/>
        <v>1178.8111755102118</v>
      </c>
      <c r="I91" s="380">
        <f t="shared" si="21"/>
        <v>0</v>
      </c>
      <c r="J91" s="380">
        <f t="shared" si="22"/>
        <v>0</v>
      </c>
      <c r="K91" s="476">
        <f t="shared" si="13"/>
        <v>943.0489404081695</v>
      </c>
      <c r="L91" s="500">
        <f t="shared" si="14"/>
        <v>3990983.1158073735</v>
      </c>
      <c r="M91" s="486">
        <v>3907228.2042199993</v>
      </c>
      <c r="N91" s="486"/>
      <c r="O91" s="495">
        <v>226</v>
      </c>
      <c r="P91" s="391" t="s">
        <v>892</v>
      </c>
      <c r="Q91" s="488">
        <v>0</v>
      </c>
      <c r="R91" s="489" t="s">
        <v>814</v>
      </c>
      <c r="U91" s="490" t="s">
        <v>130</v>
      </c>
      <c r="V91" s="491">
        <v>20</v>
      </c>
      <c r="W91" s="492">
        <v>9399470.38</v>
      </c>
      <c r="X91" s="493">
        <f t="shared" si="23"/>
        <v>46997351.900000006</v>
      </c>
      <c r="Y91" s="492">
        <v>1242291.677140784</v>
      </c>
      <c r="Z91" s="492">
        <v>0</v>
      </c>
      <c r="AC91">
        <v>226</v>
      </c>
      <c r="AD91">
        <f t="shared" si="15"/>
        <v>0</v>
      </c>
      <c r="AF91" s="494"/>
    </row>
    <row r="92" spans="1:32" ht="12">
      <c r="A92" s="468" t="s">
        <v>893</v>
      </c>
      <c r="B92" s="483">
        <v>2449</v>
      </c>
      <c r="C92" s="484">
        <f t="shared" si="16"/>
        <v>5141879.858379746</v>
      </c>
      <c r="D92" s="484">
        <f t="shared" si="12"/>
        <v>640448.9244843312</v>
      </c>
      <c r="E92" s="484">
        <f t="shared" si="17"/>
        <v>0</v>
      </c>
      <c r="F92" s="484">
        <f t="shared" si="18"/>
        <v>5782328.782864077</v>
      </c>
      <c r="G92" s="485">
        <f t="shared" si="19"/>
        <v>2361.0979105202437</v>
      </c>
      <c r="H92" s="475">
        <f t="shared" si="20"/>
        <v>1321.2020894797565</v>
      </c>
      <c r="I92" s="380">
        <f t="shared" si="21"/>
        <v>0</v>
      </c>
      <c r="J92" s="380">
        <f t="shared" si="22"/>
        <v>0</v>
      </c>
      <c r="K92" s="476">
        <f t="shared" si="13"/>
        <v>1056.9616715838054</v>
      </c>
      <c r="L92" s="500">
        <f t="shared" si="14"/>
        <v>2588499.133708739</v>
      </c>
      <c r="M92" s="486">
        <v>2487982.831489621</v>
      </c>
      <c r="N92" s="486"/>
      <c r="O92" s="495">
        <v>230</v>
      </c>
      <c r="P92" s="391" t="s">
        <v>893</v>
      </c>
      <c r="Q92" s="488">
        <v>0</v>
      </c>
      <c r="R92" s="489" t="s">
        <v>798</v>
      </c>
      <c r="U92" s="490" t="s">
        <v>131</v>
      </c>
      <c r="V92" s="491">
        <v>19.75</v>
      </c>
      <c r="W92" s="492">
        <v>5103121.97</v>
      </c>
      <c r="X92" s="493">
        <f t="shared" si="23"/>
        <v>25838592.253164556</v>
      </c>
      <c r="Y92" s="492">
        <v>640448.9244843312</v>
      </c>
      <c r="Z92" s="492">
        <v>0</v>
      </c>
      <c r="AC92">
        <v>230</v>
      </c>
      <c r="AD92">
        <f t="shared" si="15"/>
        <v>0</v>
      </c>
      <c r="AF92" s="494"/>
    </row>
    <row r="93" spans="1:32" ht="12.75">
      <c r="A93" s="468" t="s">
        <v>894</v>
      </c>
      <c r="B93" s="483">
        <v>1296</v>
      </c>
      <c r="C93" s="484">
        <f t="shared" si="16"/>
        <v>4423822.8164090905</v>
      </c>
      <c r="D93" s="484">
        <f t="shared" si="12"/>
        <v>1115229.0398840792</v>
      </c>
      <c r="E93" s="484">
        <f t="shared" si="17"/>
        <v>0</v>
      </c>
      <c r="F93" s="484">
        <f t="shared" si="18"/>
        <v>5539051.85629317</v>
      </c>
      <c r="G93" s="485">
        <f t="shared" si="19"/>
        <v>4273.95976565831</v>
      </c>
      <c r="H93" s="475">
        <f t="shared" si="20"/>
        <v>-591.6597656583099</v>
      </c>
      <c r="I93" s="380">
        <f t="shared" si="21"/>
        <v>6.382931749497289</v>
      </c>
      <c r="J93" s="380">
        <f t="shared" si="22"/>
        <v>36.38293174949729</v>
      </c>
      <c r="K93" s="476">
        <f t="shared" si="13"/>
        <v>-215.26316872869847</v>
      </c>
      <c r="L93" s="500">
        <f t="shared" si="14"/>
        <v>-278981.06667239324</v>
      </c>
      <c r="M93" s="486">
        <v>-235134.98933359762</v>
      </c>
      <c r="N93" s="486"/>
      <c r="O93" s="495">
        <v>231</v>
      </c>
      <c r="P93" s="496" t="s">
        <v>895</v>
      </c>
      <c r="Q93" s="488">
        <v>1</v>
      </c>
      <c r="R93" s="489" t="s">
        <v>859</v>
      </c>
      <c r="U93" s="490" t="s">
        <v>132</v>
      </c>
      <c r="V93" s="491">
        <v>22</v>
      </c>
      <c r="W93" s="492">
        <v>4890658.39</v>
      </c>
      <c r="X93" s="493">
        <f t="shared" si="23"/>
        <v>22230265.409090906</v>
      </c>
      <c r="Y93" s="492">
        <v>1115229.0398840792</v>
      </c>
      <c r="Z93" s="492">
        <v>0</v>
      </c>
      <c r="AA93" s="1"/>
      <c r="AC93">
        <v>231</v>
      </c>
      <c r="AD93">
        <f t="shared" si="15"/>
        <v>0</v>
      </c>
      <c r="AF93" s="494"/>
    </row>
    <row r="94" spans="1:32" s="1" customFormat="1" ht="12.75">
      <c r="A94" s="468" t="s">
        <v>896</v>
      </c>
      <c r="B94" s="483">
        <v>13772</v>
      </c>
      <c r="C94" s="484">
        <f t="shared" si="16"/>
        <v>33848200.88372727</v>
      </c>
      <c r="D94" s="484">
        <f t="shared" si="12"/>
        <v>3627811.953537605</v>
      </c>
      <c r="E94" s="484">
        <f t="shared" si="17"/>
        <v>0</v>
      </c>
      <c r="F94" s="484">
        <f t="shared" si="18"/>
        <v>37476012.83726487</v>
      </c>
      <c r="G94" s="485">
        <f t="shared" si="19"/>
        <v>2721.17432742266</v>
      </c>
      <c r="H94" s="475">
        <f t="shared" si="20"/>
        <v>961.1256725773401</v>
      </c>
      <c r="I94" s="380">
        <f t="shared" si="21"/>
        <v>0</v>
      </c>
      <c r="J94" s="380">
        <f t="shared" si="22"/>
        <v>0</v>
      </c>
      <c r="K94" s="476">
        <f t="shared" si="13"/>
        <v>768.9005380618721</v>
      </c>
      <c r="L94" s="500">
        <f t="shared" si="14"/>
        <v>10589298.210188102</v>
      </c>
      <c r="M94" s="486">
        <v>10441756.988210913</v>
      </c>
      <c r="N94" s="486"/>
      <c r="O94" s="495">
        <v>232</v>
      </c>
      <c r="P94" s="391" t="s">
        <v>896</v>
      </c>
      <c r="Q94" s="488">
        <v>0</v>
      </c>
      <c r="R94" s="489" t="s">
        <v>779</v>
      </c>
      <c r="S94"/>
      <c r="T94"/>
      <c r="U94" s="490" t="s">
        <v>133</v>
      </c>
      <c r="V94" s="491">
        <v>22</v>
      </c>
      <c r="W94" s="492">
        <v>37420121.58</v>
      </c>
      <c r="X94" s="493">
        <f t="shared" si="23"/>
        <v>170091461.72727272</v>
      </c>
      <c r="Y94" s="492">
        <v>3627811.953537605</v>
      </c>
      <c r="Z94" s="492">
        <v>0</v>
      </c>
      <c r="AA94"/>
      <c r="AC94" s="1">
        <v>232</v>
      </c>
      <c r="AD94">
        <f t="shared" si="15"/>
        <v>0</v>
      </c>
      <c r="AF94" s="494"/>
    </row>
    <row r="95" spans="1:32" ht="12">
      <c r="A95" s="482" t="s">
        <v>897</v>
      </c>
      <c r="B95" s="483">
        <v>16599</v>
      </c>
      <c r="C95" s="484">
        <f t="shared" si="16"/>
        <v>41785587.94583908</v>
      </c>
      <c r="D95" s="484">
        <f t="shared" si="12"/>
        <v>3482026.7460781336</v>
      </c>
      <c r="E95" s="484">
        <f t="shared" si="17"/>
        <v>0</v>
      </c>
      <c r="F95" s="484">
        <f t="shared" si="18"/>
        <v>45267614.69191721</v>
      </c>
      <c r="G95" s="485">
        <f t="shared" si="19"/>
        <v>2727.129025357986</v>
      </c>
      <c r="H95" s="475">
        <f t="shared" si="20"/>
        <v>955.1709746420142</v>
      </c>
      <c r="I95" s="380">
        <f t="shared" si="21"/>
        <v>0</v>
      </c>
      <c r="J95" s="380">
        <f t="shared" si="22"/>
        <v>0</v>
      </c>
      <c r="K95" s="476">
        <f t="shared" si="13"/>
        <v>764.1367797136114</v>
      </c>
      <c r="L95" s="500">
        <f t="shared" si="14"/>
        <v>12683906.406466236</v>
      </c>
      <c r="M95" s="486">
        <v>12088565.117013333</v>
      </c>
      <c r="N95" s="486"/>
      <c r="O95" s="487">
        <v>233</v>
      </c>
      <c r="P95" s="391" t="s">
        <v>897</v>
      </c>
      <c r="Q95" s="488">
        <v>0</v>
      </c>
      <c r="R95" s="489" t="s">
        <v>779</v>
      </c>
      <c r="U95" s="490" t="s">
        <v>134</v>
      </c>
      <c r="V95" s="491">
        <v>21.75</v>
      </c>
      <c r="W95" s="492">
        <v>45670177.78</v>
      </c>
      <c r="X95" s="493">
        <f t="shared" si="23"/>
        <v>209977828.87356323</v>
      </c>
      <c r="Y95" s="492">
        <v>3482026.7460781336</v>
      </c>
      <c r="Z95" s="492">
        <v>0</v>
      </c>
      <c r="AC95">
        <v>233</v>
      </c>
      <c r="AD95">
        <f t="shared" si="15"/>
        <v>0</v>
      </c>
      <c r="AF95" s="494"/>
    </row>
    <row r="96" spans="1:32" ht="12">
      <c r="A96" s="468" t="s">
        <v>898</v>
      </c>
      <c r="B96" s="483">
        <v>9397</v>
      </c>
      <c r="C96" s="484">
        <f t="shared" si="16"/>
        <v>69933960.00647059</v>
      </c>
      <c r="D96" s="484">
        <f t="shared" si="12"/>
        <v>2048726.288333345</v>
      </c>
      <c r="E96" s="484">
        <f t="shared" si="17"/>
        <v>0</v>
      </c>
      <c r="F96" s="484">
        <f t="shared" si="18"/>
        <v>71982686.29480393</v>
      </c>
      <c r="G96" s="485">
        <f t="shared" si="19"/>
        <v>7660.1773219968</v>
      </c>
      <c r="H96" s="475">
        <f t="shared" si="20"/>
        <v>-3977.8773219967998</v>
      </c>
      <c r="I96" s="380">
        <f t="shared" si="21"/>
        <v>8.288503619822444</v>
      </c>
      <c r="J96" s="380">
        <f t="shared" si="22"/>
        <v>38.28850361982244</v>
      </c>
      <c r="K96" s="476">
        <f t="shared" si="13"/>
        <v>-1523.0697024248407</v>
      </c>
      <c r="L96" s="500">
        <f t="shared" si="14"/>
        <v>-14312285.993686227</v>
      </c>
      <c r="M96" s="486">
        <v>-14316598.70749314</v>
      </c>
      <c r="N96" s="486"/>
      <c r="O96" s="495">
        <v>235</v>
      </c>
      <c r="P96" s="496" t="s">
        <v>899</v>
      </c>
      <c r="Q96" s="488">
        <v>1</v>
      </c>
      <c r="R96" s="489" t="s">
        <v>786</v>
      </c>
      <c r="U96" s="490" t="s">
        <v>135</v>
      </c>
      <c r="V96" s="491">
        <v>17</v>
      </c>
      <c r="W96" s="492">
        <v>59742578.9</v>
      </c>
      <c r="X96" s="493">
        <f t="shared" si="23"/>
        <v>351426934.7058824</v>
      </c>
      <c r="Y96" s="492">
        <v>2048726.288333345</v>
      </c>
      <c r="Z96" s="492">
        <v>0</v>
      </c>
      <c r="AC96">
        <v>235</v>
      </c>
      <c r="AD96">
        <f t="shared" si="15"/>
        <v>0</v>
      </c>
      <c r="AF96" s="494"/>
    </row>
    <row r="97" spans="1:32" ht="12">
      <c r="A97" s="468" t="s">
        <v>900</v>
      </c>
      <c r="B97" s="483">
        <v>4298</v>
      </c>
      <c r="C97" s="484">
        <f t="shared" si="16"/>
        <v>11029012.089162791</v>
      </c>
      <c r="D97" s="484">
        <f t="shared" si="12"/>
        <v>1268422.2216437033</v>
      </c>
      <c r="E97" s="484">
        <f t="shared" si="17"/>
        <v>0</v>
      </c>
      <c r="F97" s="484">
        <f t="shared" si="18"/>
        <v>12297434.310806494</v>
      </c>
      <c r="G97" s="485">
        <f t="shared" si="19"/>
        <v>2861.1992347153314</v>
      </c>
      <c r="H97" s="475">
        <f t="shared" si="20"/>
        <v>821.1007652846688</v>
      </c>
      <c r="I97" s="380">
        <f t="shared" si="21"/>
        <v>0</v>
      </c>
      <c r="J97" s="380">
        <f t="shared" si="22"/>
        <v>0</v>
      </c>
      <c r="K97" s="476">
        <f t="shared" si="13"/>
        <v>656.8806122277351</v>
      </c>
      <c r="L97" s="500">
        <f t="shared" si="14"/>
        <v>2823272.871354806</v>
      </c>
      <c r="M97" s="486">
        <v>2687516.3313041884</v>
      </c>
      <c r="N97" s="486"/>
      <c r="O97" s="495">
        <v>236</v>
      </c>
      <c r="P97" s="496" t="s">
        <v>901</v>
      </c>
      <c r="Q97" s="488">
        <v>0</v>
      </c>
      <c r="R97" s="489" t="s">
        <v>809</v>
      </c>
      <c r="U97" s="490" t="s">
        <v>136</v>
      </c>
      <c r="V97" s="491">
        <v>21.5</v>
      </c>
      <c r="W97" s="492">
        <v>11915766.83</v>
      </c>
      <c r="X97" s="493">
        <f t="shared" si="23"/>
        <v>55422171.302325584</v>
      </c>
      <c r="Y97" s="492">
        <v>1268422.2216437033</v>
      </c>
      <c r="Z97" s="492">
        <v>0</v>
      </c>
      <c r="AC97">
        <v>236</v>
      </c>
      <c r="AD97">
        <f t="shared" si="15"/>
        <v>0</v>
      </c>
      <c r="AF97" s="494"/>
    </row>
    <row r="98" spans="1:32" ht="12">
      <c r="A98" s="468" t="s">
        <v>902</v>
      </c>
      <c r="B98" s="483">
        <v>2346</v>
      </c>
      <c r="C98" s="484">
        <f t="shared" si="16"/>
        <v>5629522.658487805</v>
      </c>
      <c r="D98" s="484">
        <f t="shared" si="12"/>
        <v>613914.4761929506</v>
      </c>
      <c r="E98" s="484">
        <f t="shared" si="17"/>
        <v>0</v>
      </c>
      <c r="F98" s="484">
        <f t="shared" si="18"/>
        <v>6243437.134680755</v>
      </c>
      <c r="G98" s="485">
        <f t="shared" si="19"/>
        <v>2661.311651611575</v>
      </c>
      <c r="H98" s="475">
        <f t="shared" si="20"/>
        <v>1020.988348388425</v>
      </c>
      <c r="I98" s="380">
        <f t="shared" si="21"/>
        <v>0</v>
      </c>
      <c r="J98" s="380">
        <f t="shared" si="22"/>
        <v>0</v>
      </c>
      <c r="K98" s="476">
        <f t="shared" si="13"/>
        <v>816.79067871074</v>
      </c>
      <c r="L98" s="500">
        <f t="shared" si="14"/>
        <v>1916190.9322553962</v>
      </c>
      <c r="M98" s="486">
        <v>1644994.6218215395</v>
      </c>
      <c r="N98" s="486"/>
      <c r="O98" s="495">
        <v>239</v>
      </c>
      <c r="P98" s="391" t="s">
        <v>902</v>
      </c>
      <c r="Q98" s="488">
        <v>0</v>
      </c>
      <c r="R98" s="489" t="s">
        <v>843</v>
      </c>
      <c r="U98" s="490" t="s">
        <v>137</v>
      </c>
      <c r="V98" s="491">
        <v>20.5</v>
      </c>
      <c r="W98" s="492">
        <v>5799257.01</v>
      </c>
      <c r="X98" s="493">
        <f t="shared" si="23"/>
        <v>28289058.585365854</v>
      </c>
      <c r="Y98" s="492">
        <v>613914.4761929506</v>
      </c>
      <c r="Z98" s="492">
        <v>0</v>
      </c>
      <c r="AC98">
        <v>239</v>
      </c>
      <c r="AD98">
        <f t="shared" si="15"/>
        <v>0</v>
      </c>
      <c r="AF98" s="494"/>
    </row>
    <row r="99" spans="1:32" ht="12">
      <c r="A99" s="468" t="s">
        <v>903</v>
      </c>
      <c r="B99" s="483">
        <v>21602</v>
      </c>
      <c r="C99" s="484">
        <f t="shared" si="16"/>
        <v>66943654.23101176</v>
      </c>
      <c r="D99" s="484">
        <f t="shared" si="12"/>
        <v>7611923.018266626</v>
      </c>
      <c r="E99" s="484">
        <f t="shared" si="17"/>
        <v>0</v>
      </c>
      <c r="F99" s="484">
        <f t="shared" si="18"/>
        <v>74555577.2492784</v>
      </c>
      <c r="G99" s="485">
        <f t="shared" si="19"/>
        <v>3451.3275275103415</v>
      </c>
      <c r="H99" s="475">
        <f t="shared" si="20"/>
        <v>230.97247248965868</v>
      </c>
      <c r="I99" s="380">
        <f t="shared" si="21"/>
        <v>0</v>
      </c>
      <c r="J99" s="380">
        <f t="shared" si="22"/>
        <v>0</v>
      </c>
      <c r="K99" s="476">
        <f t="shared" si="13"/>
        <v>184.77797799172697</v>
      </c>
      <c r="L99" s="500">
        <f t="shared" si="14"/>
        <v>3991573.8805772862</v>
      </c>
      <c r="M99" s="486">
        <v>4480215.153088002</v>
      </c>
      <c r="N99" s="486"/>
      <c r="O99" s="495">
        <v>240</v>
      </c>
      <c r="P99" s="391" t="s">
        <v>903</v>
      </c>
      <c r="Q99" s="488">
        <v>0</v>
      </c>
      <c r="R99" s="489" t="s">
        <v>794</v>
      </c>
      <c r="U99" s="490" t="s">
        <v>138</v>
      </c>
      <c r="V99" s="491">
        <v>21.25</v>
      </c>
      <c r="W99" s="492">
        <v>71485057.91</v>
      </c>
      <c r="X99" s="493">
        <f t="shared" si="23"/>
        <v>336400272.5176471</v>
      </c>
      <c r="Y99" s="492">
        <v>7611923.018266626</v>
      </c>
      <c r="Z99" s="492">
        <v>0</v>
      </c>
      <c r="AC99">
        <v>240</v>
      </c>
      <c r="AD99">
        <f t="shared" si="15"/>
        <v>0</v>
      </c>
      <c r="AF99" s="494"/>
    </row>
    <row r="100" spans="1:32" ht="12">
      <c r="A100" s="468" t="s">
        <v>904</v>
      </c>
      <c r="B100" s="483">
        <v>8316</v>
      </c>
      <c r="C100" s="484">
        <f t="shared" si="16"/>
        <v>27702857.21985882</v>
      </c>
      <c r="D100" s="484">
        <f t="shared" si="12"/>
        <v>858192.4841983278</v>
      </c>
      <c r="E100" s="484">
        <f t="shared" si="17"/>
        <v>0</v>
      </c>
      <c r="F100" s="484">
        <f t="shared" si="18"/>
        <v>28561049.70405715</v>
      </c>
      <c r="G100" s="485">
        <f t="shared" si="19"/>
        <v>3434.4696613825336</v>
      </c>
      <c r="H100" s="475">
        <f t="shared" si="20"/>
        <v>247.83033861746662</v>
      </c>
      <c r="I100" s="380">
        <f t="shared" si="21"/>
        <v>0</v>
      </c>
      <c r="J100" s="380">
        <f t="shared" si="22"/>
        <v>0</v>
      </c>
      <c r="K100" s="476">
        <f t="shared" si="13"/>
        <v>198.2642708939733</v>
      </c>
      <c r="L100" s="500">
        <f t="shared" si="14"/>
        <v>1648765.676754282</v>
      </c>
      <c r="M100" s="486">
        <v>1825800.8688301162</v>
      </c>
      <c r="N100" s="486"/>
      <c r="O100" s="495">
        <v>241</v>
      </c>
      <c r="P100" s="391" t="s">
        <v>904</v>
      </c>
      <c r="Q100" s="488">
        <v>0</v>
      </c>
      <c r="R100" s="489" t="s">
        <v>794</v>
      </c>
      <c r="U100" s="490" t="s">
        <v>140</v>
      </c>
      <c r="V100" s="491">
        <v>21.25</v>
      </c>
      <c r="W100" s="492">
        <v>29582196.78</v>
      </c>
      <c r="X100" s="493">
        <f t="shared" si="23"/>
        <v>139210337.7882353</v>
      </c>
      <c r="Y100" s="492">
        <v>858192.4841983278</v>
      </c>
      <c r="Z100" s="492">
        <v>0</v>
      </c>
      <c r="AC100">
        <v>241</v>
      </c>
      <c r="AD100">
        <f t="shared" si="15"/>
        <v>0</v>
      </c>
      <c r="AF100" s="494"/>
    </row>
    <row r="101" spans="1:32" ht="12">
      <c r="A101" s="468" t="s">
        <v>905</v>
      </c>
      <c r="B101" s="483">
        <v>17297</v>
      </c>
      <c r="C101" s="484">
        <f t="shared" si="16"/>
        <v>57730042.25102438</v>
      </c>
      <c r="D101" s="484">
        <f t="shared" si="12"/>
        <v>3207840.2341796686</v>
      </c>
      <c r="E101" s="484">
        <f t="shared" si="17"/>
        <v>0</v>
      </c>
      <c r="F101" s="484">
        <f t="shared" si="18"/>
        <v>60937882.48520405</v>
      </c>
      <c r="G101" s="485">
        <f t="shared" si="19"/>
        <v>3523.031883286353</v>
      </c>
      <c r="H101" s="475">
        <f t="shared" si="20"/>
        <v>159.26811671364703</v>
      </c>
      <c r="I101" s="380">
        <f t="shared" si="21"/>
        <v>0</v>
      </c>
      <c r="J101" s="380">
        <f t="shared" si="22"/>
        <v>0</v>
      </c>
      <c r="K101" s="476">
        <f t="shared" si="13"/>
        <v>127.41449337091763</v>
      </c>
      <c r="L101" s="500">
        <f t="shared" si="14"/>
        <v>2203888.491836762</v>
      </c>
      <c r="M101" s="486">
        <v>2619410.168710247</v>
      </c>
      <c r="N101" s="486"/>
      <c r="O101" s="495">
        <v>244</v>
      </c>
      <c r="P101" s="391" t="s">
        <v>905</v>
      </c>
      <c r="Q101" s="488">
        <v>0</v>
      </c>
      <c r="R101" s="489" t="s">
        <v>781</v>
      </c>
      <c r="U101" s="490" t="s">
        <v>142</v>
      </c>
      <c r="V101" s="491">
        <v>20.5</v>
      </c>
      <c r="W101" s="492">
        <v>59470646.54</v>
      </c>
      <c r="X101" s="493">
        <f t="shared" si="23"/>
        <v>290100714.8292683</v>
      </c>
      <c r="Y101" s="492">
        <v>3207840.2341796686</v>
      </c>
      <c r="Z101" s="492">
        <v>0</v>
      </c>
      <c r="AC101">
        <v>244</v>
      </c>
      <c r="AD101">
        <f t="shared" si="15"/>
        <v>0</v>
      </c>
      <c r="AF101" s="494"/>
    </row>
    <row r="102" spans="1:32" ht="12.75">
      <c r="A102" s="468" t="s">
        <v>906</v>
      </c>
      <c r="B102" s="483">
        <v>35511</v>
      </c>
      <c r="C102" s="484">
        <f t="shared" si="16"/>
        <v>136454777.9204675</v>
      </c>
      <c r="D102" s="484">
        <f t="shared" si="12"/>
        <v>10561653.544700706</v>
      </c>
      <c r="E102" s="484">
        <f t="shared" si="17"/>
        <v>0</v>
      </c>
      <c r="F102" s="484">
        <f t="shared" si="18"/>
        <v>147016431.4651682</v>
      </c>
      <c r="G102" s="485">
        <f t="shared" si="19"/>
        <v>4140.025103916201</v>
      </c>
      <c r="H102" s="475">
        <f t="shared" si="20"/>
        <v>-457.7251039162011</v>
      </c>
      <c r="I102" s="380">
        <f t="shared" si="21"/>
        <v>6.126268794126227</v>
      </c>
      <c r="J102" s="380">
        <f t="shared" si="22"/>
        <v>36.126268794126226</v>
      </c>
      <c r="K102" s="476">
        <f t="shared" si="13"/>
        <v>-165.3590013789604</v>
      </c>
      <c r="L102" s="500">
        <f t="shared" si="14"/>
        <v>-5872063.497968262</v>
      </c>
      <c r="M102" s="486">
        <v>-6706706.75185185</v>
      </c>
      <c r="N102" s="486"/>
      <c r="O102" s="495">
        <v>245</v>
      </c>
      <c r="P102" s="496" t="s">
        <v>907</v>
      </c>
      <c r="Q102" s="488">
        <v>0</v>
      </c>
      <c r="R102" s="489" t="s">
        <v>786</v>
      </c>
      <c r="U102" s="490" t="s">
        <v>143</v>
      </c>
      <c r="V102" s="491">
        <v>19.25</v>
      </c>
      <c r="W102" s="492">
        <v>131997712.31</v>
      </c>
      <c r="X102" s="493">
        <f t="shared" si="23"/>
        <v>685702401.6103896</v>
      </c>
      <c r="Y102" s="492">
        <v>10561653.544700706</v>
      </c>
      <c r="Z102" s="492">
        <v>0</v>
      </c>
      <c r="AB102" s="1"/>
      <c r="AC102" s="1">
        <v>245</v>
      </c>
      <c r="AD102">
        <f t="shared" si="15"/>
        <v>0</v>
      </c>
      <c r="AE102" s="1"/>
      <c r="AF102" s="494"/>
    </row>
    <row r="103" spans="1:32" ht="12">
      <c r="A103" s="468" t="s">
        <v>908</v>
      </c>
      <c r="B103" s="483">
        <v>9992</v>
      </c>
      <c r="C103" s="484">
        <f t="shared" si="16"/>
        <v>27294289.371853657</v>
      </c>
      <c r="D103" s="484">
        <f t="shared" si="12"/>
        <v>2350076.908421552</v>
      </c>
      <c r="E103" s="484">
        <f t="shared" si="17"/>
        <v>0</v>
      </c>
      <c r="F103" s="484">
        <f t="shared" si="18"/>
        <v>29644366.28027521</v>
      </c>
      <c r="G103" s="485">
        <f t="shared" si="19"/>
        <v>2966.8100760883917</v>
      </c>
      <c r="H103" s="475">
        <f t="shared" si="20"/>
        <v>715.4899239116085</v>
      </c>
      <c r="I103" s="380">
        <f t="shared" si="21"/>
        <v>0</v>
      </c>
      <c r="J103" s="380">
        <f t="shared" si="22"/>
        <v>0</v>
      </c>
      <c r="K103" s="476">
        <f t="shared" si="13"/>
        <v>572.3919391292868</v>
      </c>
      <c r="L103" s="500">
        <f t="shared" si="14"/>
        <v>5719340.2557798335</v>
      </c>
      <c r="M103" s="486">
        <v>5754028.057877075</v>
      </c>
      <c r="N103" s="486"/>
      <c r="O103" s="495">
        <v>249</v>
      </c>
      <c r="P103" s="391" t="s">
        <v>908</v>
      </c>
      <c r="Q103" s="488">
        <v>0</v>
      </c>
      <c r="R103" s="489" t="s">
        <v>814</v>
      </c>
      <c r="U103" s="490" t="s">
        <v>144</v>
      </c>
      <c r="V103" s="491">
        <v>20.5</v>
      </c>
      <c r="W103" s="492">
        <v>28117232.77</v>
      </c>
      <c r="X103" s="493">
        <f t="shared" si="23"/>
        <v>137157233.02439025</v>
      </c>
      <c r="Y103" s="492">
        <v>2350076.908421552</v>
      </c>
      <c r="Z103" s="492">
        <v>0</v>
      </c>
      <c r="AC103">
        <v>249</v>
      </c>
      <c r="AD103">
        <f t="shared" si="15"/>
        <v>0</v>
      </c>
      <c r="AF103" s="494"/>
    </row>
    <row r="104" spans="1:32" s="1" customFormat="1" ht="12.75">
      <c r="A104" s="468" t="s">
        <v>909</v>
      </c>
      <c r="B104" s="483">
        <v>1994</v>
      </c>
      <c r="C104" s="484">
        <f t="shared" si="16"/>
        <v>4272174.669302326</v>
      </c>
      <c r="D104" s="484">
        <f t="shared" si="12"/>
        <v>648621.0226394598</v>
      </c>
      <c r="E104" s="484">
        <f t="shared" si="17"/>
        <v>0</v>
      </c>
      <c r="F104" s="484">
        <f t="shared" si="18"/>
        <v>4920795.691941786</v>
      </c>
      <c r="G104" s="485">
        <f t="shared" si="19"/>
        <v>2467.801249720053</v>
      </c>
      <c r="H104" s="475">
        <f t="shared" si="20"/>
        <v>1214.4987502799472</v>
      </c>
      <c r="I104" s="380">
        <f t="shared" si="21"/>
        <v>0</v>
      </c>
      <c r="J104" s="380">
        <f t="shared" si="22"/>
        <v>0</v>
      </c>
      <c r="K104" s="476">
        <f t="shared" si="13"/>
        <v>971.5990002239578</v>
      </c>
      <c r="L104" s="500">
        <f t="shared" si="14"/>
        <v>1937368.4064465717</v>
      </c>
      <c r="M104" s="486">
        <v>1955022.6133544187</v>
      </c>
      <c r="N104" s="486"/>
      <c r="O104" s="495">
        <v>250</v>
      </c>
      <c r="P104" s="391" t="s">
        <v>909</v>
      </c>
      <c r="Q104" s="488">
        <v>0</v>
      </c>
      <c r="R104" s="489" t="s">
        <v>789</v>
      </c>
      <c r="S104"/>
      <c r="T104"/>
      <c r="U104" s="490" t="s">
        <v>145</v>
      </c>
      <c r="V104" s="491">
        <v>21.5</v>
      </c>
      <c r="W104" s="492">
        <v>4615666.1</v>
      </c>
      <c r="X104" s="493">
        <f t="shared" si="23"/>
        <v>21468214.41860465</v>
      </c>
      <c r="Y104" s="492">
        <v>648621.0226394598</v>
      </c>
      <c r="Z104" s="492">
        <v>0</v>
      </c>
      <c r="AA104"/>
      <c r="AB104"/>
      <c r="AC104">
        <v>250</v>
      </c>
      <c r="AD104">
        <f t="shared" si="15"/>
        <v>0</v>
      </c>
      <c r="AE104"/>
      <c r="AF104" s="494"/>
    </row>
    <row r="105" spans="1:32" ht="12.75">
      <c r="A105" s="468" t="s">
        <v>910</v>
      </c>
      <c r="B105" s="483">
        <v>1699</v>
      </c>
      <c r="C105" s="484">
        <f t="shared" si="16"/>
        <v>3578963.7356585367</v>
      </c>
      <c r="D105" s="484">
        <f t="shared" si="12"/>
        <v>522689.3842462618</v>
      </c>
      <c r="E105" s="484">
        <f t="shared" si="17"/>
        <v>0</v>
      </c>
      <c r="F105" s="484">
        <f t="shared" si="18"/>
        <v>4101653.1199047985</v>
      </c>
      <c r="G105" s="485">
        <f t="shared" si="19"/>
        <v>2414.1572218391984</v>
      </c>
      <c r="H105" s="475">
        <f t="shared" si="20"/>
        <v>1268.1427781608018</v>
      </c>
      <c r="I105" s="380">
        <f t="shared" si="21"/>
        <v>0</v>
      </c>
      <c r="J105" s="380">
        <f t="shared" si="22"/>
        <v>0</v>
      </c>
      <c r="K105" s="476">
        <f t="shared" si="13"/>
        <v>1014.5142225286414</v>
      </c>
      <c r="L105" s="500">
        <f t="shared" si="14"/>
        <v>1723659.6640761618</v>
      </c>
      <c r="M105" s="486">
        <v>1754672.3059239027</v>
      </c>
      <c r="N105" s="486"/>
      <c r="O105" s="495">
        <v>256</v>
      </c>
      <c r="P105" s="391" t="s">
        <v>910</v>
      </c>
      <c r="Q105" s="488">
        <v>0</v>
      </c>
      <c r="R105" s="489" t="s">
        <v>814</v>
      </c>
      <c r="U105" s="490" t="s">
        <v>146</v>
      </c>
      <c r="V105" s="491">
        <v>20.5</v>
      </c>
      <c r="W105" s="492">
        <v>3686872.19</v>
      </c>
      <c r="X105" s="493">
        <f t="shared" si="23"/>
        <v>17984742.390243903</v>
      </c>
      <c r="Y105" s="492">
        <v>522689.3842462618</v>
      </c>
      <c r="Z105" s="492">
        <v>0</v>
      </c>
      <c r="AB105" s="1"/>
      <c r="AC105" s="1">
        <v>256</v>
      </c>
      <c r="AD105">
        <f t="shared" si="15"/>
        <v>0</v>
      </c>
      <c r="AE105" s="1"/>
      <c r="AF105" s="494"/>
    </row>
    <row r="106" spans="1:32" ht="12">
      <c r="A106" s="468" t="s">
        <v>911</v>
      </c>
      <c r="B106" s="483">
        <v>39033</v>
      </c>
      <c r="C106" s="484">
        <f t="shared" si="16"/>
        <v>170905419.8205128</v>
      </c>
      <c r="D106" s="484">
        <f t="shared" si="12"/>
        <v>6517209.97013864</v>
      </c>
      <c r="E106" s="484">
        <f t="shared" si="17"/>
        <v>0</v>
      </c>
      <c r="F106" s="484">
        <f t="shared" si="18"/>
        <v>177422629.79065144</v>
      </c>
      <c r="G106" s="485">
        <f t="shared" si="19"/>
        <v>4545.452048027347</v>
      </c>
      <c r="H106" s="475">
        <f t="shared" si="20"/>
        <v>-863.1520480273466</v>
      </c>
      <c r="I106" s="380">
        <f t="shared" si="21"/>
        <v>6.760590860996054</v>
      </c>
      <c r="J106" s="380">
        <f t="shared" si="22"/>
        <v>36.760590860996054</v>
      </c>
      <c r="K106" s="476">
        <f t="shared" si="13"/>
        <v>-317.29979288364103</v>
      </c>
      <c r="L106" s="500">
        <f t="shared" si="14"/>
        <v>-12385162.81562716</v>
      </c>
      <c r="M106" s="486">
        <v>-12321572.486630253</v>
      </c>
      <c r="N106" s="486"/>
      <c r="O106" s="495">
        <v>257</v>
      </c>
      <c r="P106" s="496" t="s">
        <v>912</v>
      </c>
      <c r="Q106" s="488">
        <v>1</v>
      </c>
      <c r="R106" s="489" t="s">
        <v>786</v>
      </c>
      <c r="U106" s="490" t="s">
        <v>147</v>
      </c>
      <c r="V106" s="491">
        <v>19.5</v>
      </c>
      <c r="W106" s="492">
        <v>167470135</v>
      </c>
      <c r="X106" s="493">
        <f t="shared" si="23"/>
        <v>858821205.1282052</v>
      </c>
      <c r="Y106" s="492">
        <v>6517209.97013864</v>
      </c>
      <c r="Z106" s="492">
        <v>0</v>
      </c>
      <c r="AC106">
        <v>257</v>
      </c>
      <c r="AD106">
        <f t="shared" si="15"/>
        <v>0</v>
      </c>
      <c r="AF106" s="494"/>
    </row>
    <row r="107" spans="1:32" s="1" customFormat="1" ht="12.75">
      <c r="A107" s="468" t="s">
        <v>913</v>
      </c>
      <c r="B107" s="483">
        <v>10719</v>
      </c>
      <c r="C107" s="484">
        <f t="shared" si="16"/>
        <v>25656229.192604646</v>
      </c>
      <c r="D107" s="484">
        <f t="shared" si="12"/>
        <v>2341844.745148747</v>
      </c>
      <c r="E107" s="484">
        <f t="shared" si="17"/>
        <v>0</v>
      </c>
      <c r="F107" s="484">
        <f t="shared" si="18"/>
        <v>27998073.937753394</v>
      </c>
      <c r="G107" s="485">
        <f t="shared" si="19"/>
        <v>2612.0042856379696</v>
      </c>
      <c r="H107" s="475">
        <f t="shared" si="20"/>
        <v>1070.2957143620306</v>
      </c>
      <c r="I107" s="380">
        <f t="shared" si="21"/>
        <v>0</v>
      </c>
      <c r="J107" s="380">
        <f t="shared" si="22"/>
        <v>0</v>
      </c>
      <c r="K107" s="476">
        <f t="shared" si="13"/>
        <v>856.2365714896246</v>
      </c>
      <c r="L107" s="500">
        <f t="shared" si="14"/>
        <v>9177999.809797285</v>
      </c>
      <c r="M107" s="486">
        <v>8952248.605716364</v>
      </c>
      <c r="N107" s="486"/>
      <c r="O107" s="495">
        <v>260</v>
      </c>
      <c r="P107" s="391" t="s">
        <v>913</v>
      </c>
      <c r="Q107" s="488">
        <v>0</v>
      </c>
      <c r="R107" s="489" t="s">
        <v>850</v>
      </c>
      <c r="S107"/>
      <c r="T107"/>
      <c r="U107" s="490" t="s">
        <v>148</v>
      </c>
      <c r="V107" s="491">
        <v>21.5</v>
      </c>
      <c r="W107" s="492">
        <v>27719041.59</v>
      </c>
      <c r="X107" s="493">
        <f t="shared" si="23"/>
        <v>128925774.8372093</v>
      </c>
      <c r="Y107" s="492">
        <v>2341844.745148747</v>
      </c>
      <c r="Z107" s="492">
        <v>0</v>
      </c>
      <c r="AA107"/>
      <c r="AB107"/>
      <c r="AC107">
        <v>260</v>
      </c>
      <c r="AD107">
        <f t="shared" si="15"/>
        <v>0</v>
      </c>
      <c r="AE107"/>
      <c r="AF107" s="494"/>
    </row>
    <row r="108" spans="1:32" ht="12.75">
      <c r="A108" s="468" t="s">
        <v>914</v>
      </c>
      <c r="B108" s="483">
        <v>6383</v>
      </c>
      <c r="C108" s="484">
        <f t="shared" si="16"/>
        <v>18734398.62666667</v>
      </c>
      <c r="D108" s="484">
        <f t="shared" si="12"/>
        <v>1753695.4742060357</v>
      </c>
      <c r="E108" s="484">
        <f t="shared" si="17"/>
        <v>0</v>
      </c>
      <c r="F108" s="484">
        <f t="shared" si="18"/>
        <v>20488094.100872703</v>
      </c>
      <c r="G108" s="485">
        <f t="shared" si="19"/>
        <v>3209.790709834357</v>
      </c>
      <c r="H108" s="475">
        <f t="shared" si="20"/>
        <v>472.50929016564305</v>
      </c>
      <c r="I108" s="380">
        <f t="shared" si="21"/>
        <v>0</v>
      </c>
      <c r="J108" s="380">
        <f t="shared" si="22"/>
        <v>0</v>
      </c>
      <c r="K108" s="476">
        <f t="shared" si="13"/>
        <v>378.00743213251445</v>
      </c>
      <c r="L108" s="500">
        <f t="shared" si="14"/>
        <v>2412821.4393018396</v>
      </c>
      <c r="M108" s="486">
        <v>1015690.9304098749</v>
      </c>
      <c r="N108" s="486"/>
      <c r="O108" s="495">
        <v>261</v>
      </c>
      <c r="P108" s="391" t="s">
        <v>914</v>
      </c>
      <c r="Q108" s="488">
        <v>0</v>
      </c>
      <c r="R108" s="489" t="s">
        <v>794</v>
      </c>
      <c r="U108" s="490" t="s">
        <v>149</v>
      </c>
      <c r="V108" s="491">
        <v>20.25</v>
      </c>
      <c r="W108" s="492">
        <v>19063898.1</v>
      </c>
      <c r="X108" s="493">
        <f t="shared" si="23"/>
        <v>94142706.66666667</v>
      </c>
      <c r="Y108" s="492">
        <v>1753695.4742060357</v>
      </c>
      <c r="Z108" s="492">
        <v>0</v>
      </c>
      <c r="AA108" s="1"/>
      <c r="AC108">
        <v>261</v>
      </c>
      <c r="AD108">
        <f t="shared" si="15"/>
        <v>0</v>
      </c>
      <c r="AF108" s="494"/>
    </row>
    <row r="109" spans="1:32" ht="12.75">
      <c r="A109" s="468" t="s">
        <v>915</v>
      </c>
      <c r="B109" s="483">
        <v>8444</v>
      </c>
      <c r="C109" s="484">
        <f t="shared" si="16"/>
        <v>19042545.999614455</v>
      </c>
      <c r="D109" s="484">
        <f t="shared" si="12"/>
        <v>1781540.4341557943</v>
      </c>
      <c r="E109" s="484">
        <f t="shared" si="17"/>
        <v>0</v>
      </c>
      <c r="F109" s="484">
        <f t="shared" si="18"/>
        <v>20824086.43377025</v>
      </c>
      <c r="G109" s="485">
        <f t="shared" si="19"/>
        <v>2466.1400324218675</v>
      </c>
      <c r="H109" s="475">
        <f t="shared" si="20"/>
        <v>1216.1599675781326</v>
      </c>
      <c r="I109" s="380">
        <f t="shared" si="21"/>
        <v>0</v>
      </c>
      <c r="J109" s="380">
        <f t="shared" si="22"/>
        <v>0</v>
      </c>
      <c r="K109" s="476">
        <f t="shared" si="13"/>
        <v>972.9279740625061</v>
      </c>
      <c r="L109" s="500">
        <f t="shared" si="14"/>
        <v>8215403.812983802</v>
      </c>
      <c r="M109" s="486">
        <v>8222000.513873735</v>
      </c>
      <c r="N109" s="486"/>
      <c r="O109" s="495">
        <v>263</v>
      </c>
      <c r="P109" s="391" t="s">
        <v>915</v>
      </c>
      <c r="Q109" s="488">
        <v>0</v>
      </c>
      <c r="R109" s="489" t="s">
        <v>843</v>
      </c>
      <c r="U109" s="490" t="s">
        <v>150</v>
      </c>
      <c r="V109" s="491">
        <v>20.75</v>
      </c>
      <c r="W109" s="492">
        <v>19855921.08</v>
      </c>
      <c r="X109" s="493">
        <f t="shared" si="23"/>
        <v>95691185.92771083</v>
      </c>
      <c r="Y109" s="492">
        <v>1781540.4341557943</v>
      </c>
      <c r="Z109" s="492">
        <v>0</v>
      </c>
      <c r="AB109" s="498"/>
      <c r="AC109" s="498">
        <v>263</v>
      </c>
      <c r="AD109">
        <f t="shared" si="15"/>
        <v>0</v>
      </c>
      <c r="AE109" s="498"/>
      <c r="AF109" s="494"/>
    </row>
    <row r="110" spans="1:32" ht="12">
      <c r="A110" s="468" t="s">
        <v>916</v>
      </c>
      <c r="B110" s="483">
        <v>1161</v>
      </c>
      <c r="C110" s="484">
        <f t="shared" si="16"/>
        <v>2294126.7060476188</v>
      </c>
      <c r="D110" s="484">
        <f t="shared" si="12"/>
        <v>561179.3505481826</v>
      </c>
      <c r="E110" s="484">
        <f t="shared" si="17"/>
        <v>0</v>
      </c>
      <c r="F110" s="484">
        <f t="shared" si="18"/>
        <v>2855306.0565958014</v>
      </c>
      <c r="G110" s="485">
        <f t="shared" si="19"/>
        <v>2459.350608609648</v>
      </c>
      <c r="H110" s="475">
        <f t="shared" si="20"/>
        <v>1222.949391390352</v>
      </c>
      <c r="I110" s="380">
        <f t="shared" si="21"/>
        <v>0</v>
      </c>
      <c r="J110" s="380">
        <f t="shared" si="22"/>
        <v>0</v>
      </c>
      <c r="K110" s="476">
        <f t="shared" si="13"/>
        <v>978.3595131122817</v>
      </c>
      <c r="L110" s="500">
        <f t="shared" si="14"/>
        <v>1135875.394723359</v>
      </c>
      <c r="M110" s="486">
        <v>1177005.120605714</v>
      </c>
      <c r="N110" s="486"/>
      <c r="O110" s="495">
        <v>265</v>
      </c>
      <c r="P110" s="391" t="s">
        <v>916</v>
      </c>
      <c r="Q110" s="488">
        <v>0</v>
      </c>
      <c r="R110" s="489" t="s">
        <v>814</v>
      </c>
      <c r="U110" s="490" t="s">
        <v>151</v>
      </c>
      <c r="V110" s="491">
        <v>21</v>
      </c>
      <c r="W110" s="492">
        <v>2420937.73</v>
      </c>
      <c r="X110" s="493">
        <f t="shared" si="23"/>
        <v>11528274.904761905</v>
      </c>
      <c r="Y110" s="492">
        <v>561179.3505481826</v>
      </c>
      <c r="Z110" s="492">
        <v>0</v>
      </c>
      <c r="AC110">
        <v>265</v>
      </c>
      <c r="AD110">
        <f t="shared" si="15"/>
        <v>0</v>
      </c>
      <c r="AF110" s="494"/>
    </row>
    <row r="111" spans="1:32" s="498" customFormat="1" ht="12.75">
      <c r="A111" s="468" t="s">
        <v>917</v>
      </c>
      <c r="B111" s="483">
        <v>7498</v>
      </c>
      <c r="C111" s="484">
        <f t="shared" si="16"/>
        <v>20380089.265839078</v>
      </c>
      <c r="D111" s="484">
        <f t="shared" si="12"/>
        <v>1457432.813247759</v>
      </c>
      <c r="E111" s="484">
        <f t="shared" si="17"/>
        <v>0</v>
      </c>
      <c r="F111" s="484">
        <f t="shared" si="18"/>
        <v>21837522.079086836</v>
      </c>
      <c r="G111" s="485">
        <f t="shared" si="19"/>
        <v>2912.44626288168</v>
      </c>
      <c r="H111" s="475">
        <f t="shared" si="20"/>
        <v>769.8537371183202</v>
      </c>
      <c r="I111" s="380">
        <f t="shared" si="21"/>
        <v>0</v>
      </c>
      <c r="J111" s="380">
        <f t="shared" si="22"/>
        <v>0</v>
      </c>
      <c r="K111" s="476">
        <f t="shared" si="13"/>
        <v>615.8829896946562</v>
      </c>
      <c r="L111" s="500">
        <f t="shared" si="14"/>
        <v>4617890.656730533</v>
      </c>
      <c r="M111" s="486">
        <v>4424126.600820705</v>
      </c>
      <c r="N111" s="486"/>
      <c r="O111" s="495">
        <v>271</v>
      </c>
      <c r="P111" s="496" t="s">
        <v>918</v>
      </c>
      <c r="Q111" s="488">
        <v>0</v>
      </c>
      <c r="R111" s="489" t="s">
        <v>798</v>
      </c>
      <c r="S111"/>
      <c r="T111"/>
      <c r="U111" s="490" t="s">
        <v>152</v>
      </c>
      <c r="V111" s="491">
        <v>21.75</v>
      </c>
      <c r="W111" s="492">
        <v>22274720.68</v>
      </c>
      <c r="X111" s="493">
        <f t="shared" si="23"/>
        <v>102412508.87356322</v>
      </c>
      <c r="Y111" s="492">
        <v>1457432.813247759</v>
      </c>
      <c r="Z111" s="492">
        <v>0</v>
      </c>
      <c r="AA111" s="1"/>
      <c r="AB111" s="1"/>
      <c r="AC111" s="1">
        <v>271</v>
      </c>
      <c r="AD111">
        <f t="shared" si="15"/>
        <v>0</v>
      </c>
      <c r="AE111" s="1"/>
      <c r="AF111" s="494"/>
    </row>
    <row r="112" spans="1:32" ht="12">
      <c r="A112" s="482" t="s">
        <v>919</v>
      </c>
      <c r="B112" s="483">
        <v>47723</v>
      </c>
      <c r="C112" s="484">
        <f t="shared" si="16"/>
        <v>142511666.9013793</v>
      </c>
      <c r="D112" s="484">
        <f t="shared" si="12"/>
        <v>14878084.59942406</v>
      </c>
      <c r="E112" s="484">
        <f t="shared" si="17"/>
        <v>0</v>
      </c>
      <c r="F112" s="484">
        <f t="shared" si="18"/>
        <v>157389751.50080335</v>
      </c>
      <c r="G112" s="485">
        <f t="shared" si="19"/>
        <v>3297.9852796513915</v>
      </c>
      <c r="H112" s="475">
        <f t="shared" si="20"/>
        <v>384.3147203486087</v>
      </c>
      <c r="I112" s="380">
        <f t="shared" si="21"/>
        <v>0</v>
      </c>
      <c r="J112" s="380">
        <f t="shared" si="22"/>
        <v>0</v>
      </c>
      <c r="K112" s="476">
        <f t="shared" si="13"/>
        <v>307.451776278887</v>
      </c>
      <c r="L112" s="500">
        <f t="shared" si="14"/>
        <v>14672521.119357323</v>
      </c>
      <c r="M112" s="486">
        <v>14689051.37480556</v>
      </c>
      <c r="N112" s="486"/>
      <c r="O112" s="487">
        <v>272</v>
      </c>
      <c r="P112" s="496" t="s">
        <v>920</v>
      </c>
      <c r="Q112" s="488">
        <v>1</v>
      </c>
      <c r="R112" s="489" t="s">
        <v>809</v>
      </c>
      <c r="U112" s="490" t="s">
        <v>153</v>
      </c>
      <c r="V112" s="491">
        <v>21.75</v>
      </c>
      <c r="W112" s="492">
        <v>155760238.95</v>
      </c>
      <c r="X112" s="493">
        <f t="shared" si="23"/>
        <v>716139029.6551723</v>
      </c>
      <c r="Y112" s="492">
        <v>14878084.59942406</v>
      </c>
      <c r="Z112" s="492">
        <v>0</v>
      </c>
      <c r="AC112">
        <v>272</v>
      </c>
      <c r="AD112">
        <f t="shared" si="15"/>
        <v>0</v>
      </c>
      <c r="AF112" s="494"/>
    </row>
    <row r="113" spans="1:32" s="1" customFormat="1" ht="12.75">
      <c r="A113" s="468" t="s">
        <v>921</v>
      </c>
      <c r="B113" s="483">
        <v>3827</v>
      </c>
      <c r="C113" s="484">
        <f t="shared" si="16"/>
        <v>10014137.82935</v>
      </c>
      <c r="D113" s="484">
        <f t="shared" si="12"/>
        <v>663304.5549576161</v>
      </c>
      <c r="E113" s="484">
        <f t="shared" si="17"/>
        <v>0</v>
      </c>
      <c r="F113" s="484">
        <f t="shared" si="18"/>
        <v>10677442.384307615</v>
      </c>
      <c r="G113" s="485">
        <f t="shared" si="19"/>
        <v>2790.029366163474</v>
      </c>
      <c r="H113" s="475">
        <f t="shared" si="20"/>
        <v>892.270633836526</v>
      </c>
      <c r="I113" s="380">
        <f t="shared" si="21"/>
        <v>0</v>
      </c>
      <c r="J113" s="380">
        <f t="shared" si="22"/>
        <v>0</v>
      </c>
      <c r="K113" s="476">
        <f t="shared" si="13"/>
        <v>713.8165070692208</v>
      </c>
      <c r="L113" s="500">
        <f t="shared" si="14"/>
        <v>2731775.772553908</v>
      </c>
      <c r="M113" s="486">
        <v>2899206.7269960004</v>
      </c>
      <c r="N113" s="486"/>
      <c r="O113" s="495">
        <v>273</v>
      </c>
      <c r="P113" s="391" t="s">
        <v>921</v>
      </c>
      <c r="Q113" s="488">
        <v>0</v>
      </c>
      <c r="R113" s="489" t="s">
        <v>794</v>
      </c>
      <c r="S113"/>
      <c r="T113"/>
      <c r="U113" s="490" t="s">
        <v>154</v>
      </c>
      <c r="V113" s="491">
        <v>20</v>
      </c>
      <c r="W113" s="492">
        <v>10064460.13</v>
      </c>
      <c r="X113" s="493">
        <f t="shared" si="23"/>
        <v>50322300.650000006</v>
      </c>
      <c r="Y113" s="492">
        <v>663304.5549576161</v>
      </c>
      <c r="Z113" s="492">
        <v>0</v>
      </c>
      <c r="AA113"/>
      <c r="AB113"/>
      <c r="AC113">
        <v>273</v>
      </c>
      <c r="AD113">
        <f t="shared" si="15"/>
        <v>0</v>
      </c>
      <c r="AE113"/>
      <c r="AF113" s="494"/>
    </row>
    <row r="114" spans="1:32" ht="12">
      <c r="A114" s="468" t="s">
        <v>922</v>
      </c>
      <c r="B114" s="483">
        <v>2753</v>
      </c>
      <c r="C114" s="484">
        <f t="shared" si="16"/>
        <v>6554900.327953488</v>
      </c>
      <c r="D114" s="484">
        <f t="shared" si="12"/>
        <v>738204.7328619377</v>
      </c>
      <c r="E114" s="484">
        <f t="shared" si="17"/>
        <v>0</v>
      </c>
      <c r="F114" s="484">
        <f t="shared" si="18"/>
        <v>7293105.060815426</v>
      </c>
      <c r="G114" s="485">
        <f t="shared" si="19"/>
        <v>2649.1482240520977</v>
      </c>
      <c r="H114" s="475">
        <f t="shared" si="20"/>
        <v>1033.1517759479025</v>
      </c>
      <c r="I114" s="380">
        <f t="shared" si="21"/>
        <v>0</v>
      </c>
      <c r="J114" s="380">
        <f t="shared" si="22"/>
        <v>0</v>
      </c>
      <c r="K114" s="476">
        <f t="shared" si="13"/>
        <v>826.521420758322</v>
      </c>
      <c r="L114" s="500">
        <f t="shared" si="14"/>
        <v>2275413.4713476608</v>
      </c>
      <c r="M114" s="486">
        <v>2311199.7992</v>
      </c>
      <c r="N114" s="486"/>
      <c r="O114" s="495">
        <v>275</v>
      </c>
      <c r="P114" s="391" t="s">
        <v>922</v>
      </c>
      <c r="Q114" s="488">
        <v>0</v>
      </c>
      <c r="R114" s="489" t="s">
        <v>814</v>
      </c>
      <c r="U114" s="490" t="s">
        <v>155</v>
      </c>
      <c r="V114" s="491">
        <v>21.5</v>
      </c>
      <c r="W114" s="492">
        <v>7081927.49</v>
      </c>
      <c r="X114" s="493">
        <f t="shared" si="23"/>
        <v>32939197.627906978</v>
      </c>
      <c r="Y114" s="492">
        <v>738204.7328619377</v>
      </c>
      <c r="Z114" s="492">
        <v>0</v>
      </c>
      <c r="AC114">
        <v>275</v>
      </c>
      <c r="AD114">
        <f t="shared" si="15"/>
        <v>0</v>
      </c>
      <c r="AF114" s="494"/>
    </row>
    <row r="115" spans="1:32" ht="12.75">
      <c r="A115" s="468" t="s">
        <v>923</v>
      </c>
      <c r="B115" s="483">
        <v>14806</v>
      </c>
      <c r="C115" s="484">
        <f t="shared" si="16"/>
        <v>43515757.1122439</v>
      </c>
      <c r="D115" s="484">
        <f t="shared" si="12"/>
        <v>1574409.4592815784</v>
      </c>
      <c r="E115" s="484">
        <f t="shared" si="17"/>
        <v>0</v>
      </c>
      <c r="F115" s="484">
        <f t="shared" si="18"/>
        <v>45090166.57152548</v>
      </c>
      <c r="G115" s="485">
        <f t="shared" si="19"/>
        <v>3045.398255540016</v>
      </c>
      <c r="H115" s="475">
        <f t="shared" si="20"/>
        <v>636.901744459984</v>
      </c>
      <c r="I115" s="380">
        <f t="shared" si="21"/>
        <v>0</v>
      </c>
      <c r="J115" s="380">
        <f t="shared" si="22"/>
        <v>0</v>
      </c>
      <c r="K115" s="476">
        <f t="shared" si="13"/>
        <v>509.5213955679872</v>
      </c>
      <c r="L115" s="500">
        <f t="shared" si="14"/>
        <v>7543973.782779619</v>
      </c>
      <c r="M115" s="486">
        <v>6752036.323231218</v>
      </c>
      <c r="N115" s="486"/>
      <c r="O115" s="495">
        <v>276</v>
      </c>
      <c r="P115" s="391" t="s">
        <v>923</v>
      </c>
      <c r="Q115" s="488">
        <v>0</v>
      </c>
      <c r="R115" s="489" t="s">
        <v>850</v>
      </c>
      <c r="U115" s="490" t="s">
        <v>156</v>
      </c>
      <c r="V115" s="491">
        <v>20.5</v>
      </c>
      <c r="W115" s="492">
        <v>44827789.99</v>
      </c>
      <c r="X115" s="493">
        <f t="shared" si="23"/>
        <v>218672146.29268292</v>
      </c>
      <c r="Y115" s="492">
        <v>1574409.4592815784</v>
      </c>
      <c r="Z115" s="492">
        <v>0</v>
      </c>
      <c r="AA115" s="498"/>
      <c r="AC115">
        <v>276</v>
      </c>
      <c r="AD115">
        <f t="shared" si="15"/>
        <v>0</v>
      </c>
      <c r="AF115" s="494"/>
    </row>
    <row r="116" spans="1:32" ht="12">
      <c r="A116" s="468" t="s">
        <v>924</v>
      </c>
      <c r="B116" s="483">
        <v>2171</v>
      </c>
      <c r="C116" s="484">
        <f t="shared" si="16"/>
        <v>4909484.395571428</v>
      </c>
      <c r="D116" s="484">
        <f t="shared" si="12"/>
        <v>867253.2730717941</v>
      </c>
      <c r="E116" s="484">
        <f t="shared" si="17"/>
        <v>0</v>
      </c>
      <c r="F116" s="484">
        <f t="shared" si="18"/>
        <v>5776737.668643222</v>
      </c>
      <c r="G116" s="485">
        <f t="shared" si="19"/>
        <v>2660.864886523824</v>
      </c>
      <c r="H116" s="475">
        <f t="shared" si="20"/>
        <v>1021.435113476176</v>
      </c>
      <c r="I116" s="380">
        <f t="shared" si="21"/>
        <v>0</v>
      </c>
      <c r="J116" s="380">
        <f t="shared" si="22"/>
        <v>0</v>
      </c>
      <c r="K116" s="476">
        <f t="shared" si="13"/>
        <v>817.1480907809408</v>
      </c>
      <c r="L116" s="500">
        <f t="shared" si="14"/>
        <v>1774028.5050854227</v>
      </c>
      <c r="M116" s="486">
        <v>1647658.9582514288</v>
      </c>
      <c r="N116" s="486"/>
      <c r="O116" s="495">
        <v>280</v>
      </c>
      <c r="P116" s="391" t="s">
        <v>924</v>
      </c>
      <c r="Q116" s="488">
        <v>3</v>
      </c>
      <c r="R116" s="489" t="s">
        <v>859</v>
      </c>
      <c r="U116" s="490" t="s">
        <v>157</v>
      </c>
      <c r="V116" s="491">
        <v>21</v>
      </c>
      <c r="W116" s="492">
        <v>5180862.93</v>
      </c>
      <c r="X116" s="493">
        <f t="shared" si="23"/>
        <v>24670775.85714286</v>
      </c>
      <c r="Y116" s="492">
        <v>867253.2730717941</v>
      </c>
      <c r="Z116" s="492">
        <v>0</v>
      </c>
      <c r="AC116">
        <v>280</v>
      </c>
      <c r="AD116">
        <f t="shared" si="15"/>
        <v>0</v>
      </c>
      <c r="AF116" s="494"/>
    </row>
    <row r="117" spans="1:32" ht="12.75">
      <c r="A117" s="468" t="s">
        <v>925</v>
      </c>
      <c r="B117" s="483">
        <v>2416</v>
      </c>
      <c r="C117" s="484">
        <f t="shared" si="16"/>
        <v>5962742.745538461</v>
      </c>
      <c r="D117" s="484">
        <f t="shared" si="12"/>
        <v>520980.258625127</v>
      </c>
      <c r="E117" s="484">
        <f t="shared" si="17"/>
        <v>0</v>
      </c>
      <c r="F117" s="484">
        <f t="shared" si="18"/>
        <v>6483723.004163588</v>
      </c>
      <c r="G117" s="485">
        <f t="shared" si="19"/>
        <v>2683.660183842545</v>
      </c>
      <c r="H117" s="475">
        <f t="shared" si="20"/>
        <v>998.6398161574552</v>
      </c>
      <c r="I117" s="380">
        <f t="shared" si="21"/>
        <v>0</v>
      </c>
      <c r="J117" s="380">
        <f t="shared" si="22"/>
        <v>0</v>
      </c>
      <c r="K117" s="476">
        <f t="shared" si="13"/>
        <v>798.9118529259642</v>
      </c>
      <c r="L117" s="500">
        <f t="shared" si="14"/>
        <v>1930171.0366691295</v>
      </c>
      <c r="M117" s="486">
        <v>1844232.0706215382</v>
      </c>
      <c r="N117" s="486"/>
      <c r="O117" s="495">
        <v>284</v>
      </c>
      <c r="P117" s="391" t="s">
        <v>925</v>
      </c>
      <c r="Q117" s="488">
        <v>0</v>
      </c>
      <c r="R117" s="489" t="s">
        <v>788</v>
      </c>
      <c r="U117" s="490" t="s">
        <v>158</v>
      </c>
      <c r="V117" s="491">
        <v>19.5</v>
      </c>
      <c r="W117" s="492">
        <v>5842888.62</v>
      </c>
      <c r="X117" s="493">
        <f t="shared" si="23"/>
        <v>29963531.384615384</v>
      </c>
      <c r="Y117" s="492">
        <v>520980.258625127</v>
      </c>
      <c r="Z117" s="492">
        <v>0</v>
      </c>
      <c r="AA117" s="1"/>
      <c r="AC117">
        <v>284</v>
      </c>
      <c r="AD117">
        <f t="shared" si="15"/>
        <v>0</v>
      </c>
      <c r="AF117" s="494"/>
    </row>
    <row r="118" spans="1:32" ht="12">
      <c r="A118" s="468" t="s">
        <v>926</v>
      </c>
      <c r="B118" s="483">
        <v>54187</v>
      </c>
      <c r="C118" s="484">
        <f t="shared" si="16"/>
        <v>174296325.05148834</v>
      </c>
      <c r="D118" s="484">
        <f t="shared" si="12"/>
        <v>9389794.1904185</v>
      </c>
      <c r="E118" s="484">
        <f t="shared" si="17"/>
        <v>0</v>
      </c>
      <c r="F118" s="484">
        <f t="shared" si="18"/>
        <v>183686119.24190685</v>
      </c>
      <c r="G118" s="485">
        <f t="shared" si="19"/>
        <v>3389.8558554986776</v>
      </c>
      <c r="H118" s="475">
        <f t="shared" si="20"/>
        <v>292.4441445013226</v>
      </c>
      <c r="I118" s="380">
        <f t="shared" si="21"/>
        <v>0</v>
      </c>
      <c r="J118" s="380">
        <f t="shared" si="22"/>
        <v>0</v>
      </c>
      <c r="K118" s="476">
        <f t="shared" si="13"/>
        <v>233.95531560105812</v>
      </c>
      <c r="L118" s="500">
        <f t="shared" si="14"/>
        <v>12677336.686474536</v>
      </c>
      <c r="M118" s="486">
        <v>12718237.3822556</v>
      </c>
      <c r="N118" s="486"/>
      <c r="O118" s="495">
        <v>285</v>
      </c>
      <c r="P118" s="391" t="s">
        <v>926</v>
      </c>
      <c r="Q118" s="488">
        <v>0</v>
      </c>
      <c r="R118" s="489" t="s">
        <v>812</v>
      </c>
      <c r="U118" s="490" t="s">
        <v>159</v>
      </c>
      <c r="V118" s="491">
        <v>21.5</v>
      </c>
      <c r="W118" s="492">
        <v>188310099.93</v>
      </c>
      <c r="X118" s="493">
        <f t="shared" si="23"/>
        <v>875860929.9069767</v>
      </c>
      <c r="Y118" s="492">
        <v>9389794.1904185</v>
      </c>
      <c r="Z118" s="492">
        <v>0</v>
      </c>
      <c r="AC118">
        <v>285</v>
      </c>
      <c r="AD118">
        <f t="shared" si="15"/>
        <v>0</v>
      </c>
      <c r="AF118" s="494"/>
    </row>
    <row r="119" spans="1:32" ht="12">
      <c r="A119" s="482" t="s">
        <v>927</v>
      </c>
      <c r="B119" s="483">
        <v>85306</v>
      </c>
      <c r="C119" s="484">
        <f t="shared" si="16"/>
        <v>272023306.7243855</v>
      </c>
      <c r="D119" s="484">
        <f t="shared" si="12"/>
        <v>18815735.63691003</v>
      </c>
      <c r="E119" s="484">
        <f t="shared" si="17"/>
        <v>0</v>
      </c>
      <c r="F119" s="484">
        <f t="shared" si="18"/>
        <v>290839042.3612955</v>
      </c>
      <c r="G119" s="485">
        <f t="shared" si="19"/>
        <v>3409.3620889655535</v>
      </c>
      <c r="H119" s="475">
        <f t="shared" si="20"/>
        <v>272.93791103444664</v>
      </c>
      <c r="I119" s="380">
        <f t="shared" si="21"/>
        <v>0</v>
      </c>
      <c r="J119" s="380">
        <f t="shared" si="22"/>
        <v>0</v>
      </c>
      <c r="K119" s="476">
        <f t="shared" si="13"/>
        <v>218.35032882755732</v>
      </c>
      <c r="L119" s="500">
        <f t="shared" si="14"/>
        <v>18626593.150963604</v>
      </c>
      <c r="M119" s="486">
        <v>17858494.553511355</v>
      </c>
      <c r="N119" s="486"/>
      <c r="O119" s="487">
        <v>286</v>
      </c>
      <c r="P119" s="391" t="s">
        <v>927</v>
      </c>
      <c r="Q119" s="488">
        <v>0</v>
      </c>
      <c r="R119" s="489" t="s">
        <v>812</v>
      </c>
      <c r="U119" s="490" t="s">
        <v>160</v>
      </c>
      <c r="V119" s="491">
        <v>20.75</v>
      </c>
      <c r="W119" s="492">
        <v>283642392.69</v>
      </c>
      <c r="X119" s="493">
        <f t="shared" si="23"/>
        <v>1366951290.0722892</v>
      </c>
      <c r="Y119" s="492">
        <v>18815735.63691003</v>
      </c>
      <c r="Z119" s="492">
        <v>0</v>
      </c>
      <c r="AC119">
        <v>286</v>
      </c>
      <c r="AD119">
        <f t="shared" si="15"/>
        <v>0</v>
      </c>
      <c r="AF119" s="494"/>
    </row>
    <row r="120" spans="1:32" ht="12">
      <c r="A120" s="468" t="s">
        <v>928</v>
      </c>
      <c r="B120" s="483">
        <v>6727</v>
      </c>
      <c r="C120" s="484">
        <f t="shared" si="16"/>
        <v>18200128.949302323</v>
      </c>
      <c r="D120" s="484">
        <f t="shared" si="12"/>
        <v>1400168.4023232602</v>
      </c>
      <c r="E120" s="484">
        <f t="shared" si="17"/>
        <v>0</v>
      </c>
      <c r="F120" s="484">
        <f t="shared" si="18"/>
        <v>19600297.351625584</v>
      </c>
      <c r="G120" s="485">
        <f t="shared" si="19"/>
        <v>2913.6758364241987</v>
      </c>
      <c r="H120" s="475">
        <f t="shared" si="20"/>
        <v>768.6241635758015</v>
      </c>
      <c r="I120" s="380">
        <f t="shared" si="21"/>
        <v>0</v>
      </c>
      <c r="J120" s="380">
        <f t="shared" si="22"/>
        <v>0</v>
      </c>
      <c r="K120" s="476">
        <f t="shared" si="13"/>
        <v>614.8993308606413</v>
      </c>
      <c r="L120" s="500">
        <f t="shared" si="14"/>
        <v>4136427.798699534</v>
      </c>
      <c r="M120" s="486">
        <v>4124881.62928744</v>
      </c>
      <c r="N120" s="486"/>
      <c r="O120" s="495">
        <v>287</v>
      </c>
      <c r="P120" s="496" t="s">
        <v>929</v>
      </c>
      <c r="Q120" s="488">
        <v>3</v>
      </c>
      <c r="R120" s="489" t="s">
        <v>859</v>
      </c>
      <c r="U120" s="490" t="s">
        <v>161</v>
      </c>
      <c r="V120" s="491">
        <v>21.5</v>
      </c>
      <c r="W120" s="492">
        <v>19663455.9</v>
      </c>
      <c r="X120" s="493">
        <f t="shared" si="23"/>
        <v>91457934.41860464</v>
      </c>
      <c r="Y120" s="492">
        <v>1400168.4023232602</v>
      </c>
      <c r="Z120" s="492">
        <v>0</v>
      </c>
      <c r="AC120">
        <v>287</v>
      </c>
      <c r="AD120">
        <f t="shared" si="15"/>
        <v>0</v>
      </c>
      <c r="AF120" s="494"/>
    </row>
    <row r="121" spans="1:32" ht="12">
      <c r="A121" s="468" t="s">
        <v>930</v>
      </c>
      <c r="B121" s="483">
        <v>6620</v>
      </c>
      <c r="C121" s="484">
        <f t="shared" si="16"/>
        <v>17534184.45444706</v>
      </c>
      <c r="D121" s="484">
        <f t="shared" si="12"/>
        <v>2254350.3454399654</v>
      </c>
      <c r="E121" s="484">
        <f t="shared" si="17"/>
        <v>0</v>
      </c>
      <c r="F121" s="484">
        <f t="shared" si="18"/>
        <v>19788534.799887028</v>
      </c>
      <c r="G121" s="485">
        <f t="shared" si="19"/>
        <v>2989.2046525509104</v>
      </c>
      <c r="H121" s="475">
        <f t="shared" si="20"/>
        <v>693.0953474490898</v>
      </c>
      <c r="I121" s="380">
        <f t="shared" si="21"/>
        <v>0</v>
      </c>
      <c r="J121" s="380">
        <f t="shared" si="22"/>
        <v>0</v>
      </c>
      <c r="K121" s="476">
        <f t="shared" si="13"/>
        <v>554.4762779592719</v>
      </c>
      <c r="L121" s="500">
        <f t="shared" si="14"/>
        <v>3670632.96009038</v>
      </c>
      <c r="M121" s="486">
        <v>3853997.1845860225</v>
      </c>
      <c r="N121" s="486"/>
      <c r="O121" s="495">
        <v>288</v>
      </c>
      <c r="P121" s="496" t="s">
        <v>931</v>
      </c>
      <c r="Q121" s="488">
        <v>3</v>
      </c>
      <c r="R121" s="489" t="s">
        <v>859</v>
      </c>
      <c r="U121" s="490" t="s">
        <v>162</v>
      </c>
      <c r="V121" s="491">
        <v>21.25</v>
      </c>
      <c r="W121" s="492">
        <v>18723689.43</v>
      </c>
      <c r="X121" s="493">
        <f t="shared" si="23"/>
        <v>88111479.67058824</v>
      </c>
      <c r="Y121" s="492">
        <v>2254350.3454399654</v>
      </c>
      <c r="Z121" s="492">
        <v>0</v>
      </c>
      <c r="AC121">
        <v>288</v>
      </c>
      <c r="AD121">
        <f t="shared" si="15"/>
        <v>0</v>
      </c>
      <c r="AF121" s="494"/>
    </row>
    <row r="122" spans="1:32" ht="12">
      <c r="A122" s="468" t="s">
        <v>932</v>
      </c>
      <c r="B122" s="483">
        <v>8647</v>
      </c>
      <c r="C122" s="484">
        <f t="shared" si="16"/>
        <v>21264406.041720927</v>
      </c>
      <c r="D122" s="484">
        <f t="shared" si="12"/>
        <v>2903588.912570528</v>
      </c>
      <c r="E122" s="484">
        <f t="shared" si="17"/>
        <v>0</v>
      </c>
      <c r="F122" s="484">
        <f t="shared" si="18"/>
        <v>24167994.954291455</v>
      </c>
      <c r="G122" s="485">
        <f t="shared" si="19"/>
        <v>2794.957205307211</v>
      </c>
      <c r="H122" s="475">
        <f t="shared" si="20"/>
        <v>887.3427946927891</v>
      </c>
      <c r="I122" s="380">
        <f t="shared" si="21"/>
        <v>0</v>
      </c>
      <c r="J122" s="380">
        <f t="shared" si="22"/>
        <v>0</v>
      </c>
      <c r="K122" s="476">
        <f t="shared" si="13"/>
        <v>709.8742357542313</v>
      </c>
      <c r="L122" s="500">
        <f t="shared" si="14"/>
        <v>6138282.516566838</v>
      </c>
      <c r="M122" s="486">
        <v>6170212.316610231</v>
      </c>
      <c r="N122" s="486"/>
      <c r="O122" s="495">
        <v>290</v>
      </c>
      <c r="P122" s="391" t="s">
        <v>932</v>
      </c>
      <c r="Q122" s="488">
        <v>0</v>
      </c>
      <c r="R122" s="489" t="s">
        <v>832</v>
      </c>
      <c r="U122" s="490" t="s">
        <v>163</v>
      </c>
      <c r="V122" s="491">
        <v>21.5</v>
      </c>
      <c r="W122" s="492">
        <v>22974107.03</v>
      </c>
      <c r="X122" s="493">
        <f t="shared" si="23"/>
        <v>106856311.76744185</v>
      </c>
      <c r="Y122" s="492">
        <v>2903588.912570528</v>
      </c>
      <c r="Z122" s="492">
        <v>0</v>
      </c>
      <c r="AC122">
        <v>290</v>
      </c>
      <c r="AD122">
        <f t="shared" si="15"/>
        <v>0</v>
      </c>
      <c r="AF122" s="494"/>
    </row>
    <row r="123" spans="1:32" ht="12">
      <c r="A123" s="468" t="s">
        <v>933</v>
      </c>
      <c r="B123" s="483">
        <v>2286</v>
      </c>
      <c r="C123" s="484">
        <f t="shared" si="16"/>
        <v>5436001.702506023</v>
      </c>
      <c r="D123" s="484">
        <f t="shared" si="12"/>
        <v>916675.090790686</v>
      </c>
      <c r="E123" s="484">
        <f t="shared" si="17"/>
        <v>0</v>
      </c>
      <c r="F123" s="484">
        <f t="shared" si="18"/>
        <v>6352676.79329671</v>
      </c>
      <c r="G123" s="485">
        <f t="shared" si="19"/>
        <v>2778.948728476251</v>
      </c>
      <c r="H123" s="475">
        <f t="shared" si="20"/>
        <v>903.3512715237493</v>
      </c>
      <c r="I123" s="380">
        <f t="shared" si="21"/>
        <v>0</v>
      </c>
      <c r="J123" s="380">
        <f t="shared" si="22"/>
        <v>0</v>
      </c>
      <c r="K123" s="476">
        <f t="shared" si="13"/>
        <v>722.6810172189995</v>
      </c>
      <c r="L123" s="500">
        <f t="shared" si="14"/>
        <v>1652048.805362633</v>
      </c>
      <c r="M123" s="486">
        <v>1710666.7966920482</v>
      </c>
      <c r="N123" s="486"/>
      <c r="O123" s="495">
        <v>291</v>
      </c>
      <c r="P123" s="391" t="s">
        <v>933</v>
      </c>
      <c r="Q123" s="488">
        <v>0</v>
      </c>
      <c r="R123" s="489" t="s">
        <v>814</v>
      </c>
      <c r="U123" s="490" t="s">
        <v>164</v>
      </c>
      <c r="V123" s="491">
        <v>20.75</v>
      </c>
      <c r="W123" s="492">
        <v>5668192.73</v>
      </c>
      <c r="X123" s="493">
        <f t="shared" si="23"/>
        <v>27316591.46987952</v>
      </c>
      <c r="Y123" s="492">
        <v>916675.090790686</v>
      </c>
      <c r="Z123" s="492">
        <v>0</v>
      </c>
      <c r="AC123">
        <v>291</v>
      </c>
      <c r="AD123">
        <f t="shared" si="15"/>
        <v>0</v>
      </c>
      <c r="AF123" s="494"/>
    </row>
    <row r="124" spans="1:32" ht="12">
      <c r="A124" s="468" t="s">
        <v>934</v>
      </c>
      <c r="B124" s="483">
        <v>117740</v>
      </c>
      <c r="C124" s="484">
        <f t="shared" si="16"/>
        <v>365440583.8006829</v>
      </c>
      <c r="D124" s="484">
        <f t="shared" si="12"/>
        <v>23502477.868557576</v>
      </c>
      <c r="E124" s="484">
        <f t="shared" si="17"/>
        <v>0</v>
      </c>
      <c r="F124" s="484">
        <f t="shared" si="18"/>
        <v>388943061.6692405</v>
      </c>
      <c r="G124" s="485">
        <f t="shared" si="19"/>
        <v>3303.4063331853276</v>
      </c>
      <c r="H124" s="475">
        <f t="shared" si="20"/>
        <v>378.89366681467254</v>
      </c>
      <c r="I124" s="380">
        <f t="shared" si="21"/>
        <v>0</v>
      </c>
      <c r="J124" s="380">
        <f t="shared" si="22"/>
        <v>0</v>
      </c>
      <c r="K124" s="476">
        <f t="shared" si="13"/>
        <v>303.11493345173807</v>
      </c>
      <c r="L124" s="500">
        <f t="shared" si="14"/>
        <v>35688752.26460764</v>
      </c>
      <c r="M124" s="499">
        <v>32013718.21471226</v>
      </c>
      <c r="N124" s="486"/>
      <c r="O124" s="495">
        <v>297</v>
      </c>
      <c r="P124" s="391" t="s">
        <v>934</v>
      </c>
      <c r="Q124" s="488">
        <v>0</v>
      </c>
      <c r="R124" s="489" t="s">
        <v>843</v>
      </c>
      <c r="S124">
        <v>2</v>
      </c>
      <c r="U124" s="490" t="s">
        <v>165</v>
      </c>
      <c r="V124" s="491">
        <v>20.5</v>
      </c>
      <c r="W124" s="492">
        <v>376458892.86</v>
      </c>
      <c r="X124" s="493">
        <f t="shared" si="23"/>
        <v>1836384843.2195122</v>
      </c>
      <c r="Y124" s="492">
        <v>23502477.868557576</v>
      </c>
      <c r="Z124" s="492">
        <v>0</v>
      </c>
      <c r="AA124" s="492"/>
      <c r="AC124">
        <v>297</v>
      </c>
      <c r="AD124">
        <f t="shared" si="15"/>
        <v>0</v>
      </c>
      <c r="AF124" s="494"/>
    </row>
    <row r="125" spans="1:32" ht="12">
      <c r="A125" s="468" t="s">
        <v>935</v>
      </c>
      <c r="B125" s="483">
        <v>3690</v>
      </c>
      <c r="C125" s="484">
        <f t="shared" si="16"/>
        <v>8858502.388809524</v>
      </c>
      <c r="D125" s="484">
        <f t="shared" si="12"/>
        <v>694506.506555197</v>
      </c>
      <c r="E125" s="484">
        <f t="shared" si="17"/>
        <v>0</v>
      </c>
      <c r="F125" s="484">
        <f t="shared" si="18"/>
        <v>9553008.895364722</v>
      </c>
      <c r="G125" s="485">
        <f t="shared" si="19"/>
        <v>2588.8912995568353</v>
      </c>
      <c r="H125" s="475">
        <f t="shared" si="20"/>
        <v>1093.408700443165</v>
      </c>
      <c r="I125" s="380">
        <f t="shared" si="21"/>
        <v>0</v>
      </c>
      <c r="J125" s="380">
        <f t="shared" si="22"/>
        <v>0</v>
      </c>
      <c r="K125" s="476">
        <f t="shared" si="13"/>
        <v>874.7269603545319</v>
      </c>
      <c r="L125" s="500">
        <f t="shared" si="14"/>
        <v>3227742.483708223</v>
      </c>
      <c r="M125" s="486">
        <v>3229501.00097143</v>
      </c>
      <c r="N125" s="486"/>
      <c r="O125" s="495">
        <v>300</v>
      </c>
      <c r="P125" s="391" t="s">
        <v>935</v>
      </c>
      <c r="Q125" s="488">
        <v>0</v>
      </c>
      <c r="R125" s="489" t="s">
        <v>779</v>
      </c>
      <c r="U125" s="490" t="s">
        <v>166</v>
      </c>
      <c r="V125" s="491">
        <v>21</v>
      </c>
      <c r="W125" s="492">
        <v>9348168.35</v>
      </c>
      <c r="X125" s="493">
        <f t="shared" si="23"/>
        <v>44515087.38095238</v>
      </c>
      <c r="Y125" s="492">
        <v>694506.506555197</v>
      </c>
      <c r="Z125" s="492">
        <v>0</v>
      </c>
      <c r="AC125">
        <v>300</v>
      </c>
      <c r="AD125">
        <f t="shared" si="15"/>
        <v>0</v>
      </c>
      <c r="AF125" s="494"/>
    </row>
    <row r="126" spans="1:32" ht="12.75">
      <c r="A126" s="482" t="s">
        <v>936</v>
      </c>
      <c r="B126" s="483">
        <v>21501</v>
      </c>
      <c r="C126" s="484">
        <f t="shared" si="16"/>
        <v>53256451.64</v>
      </c>
      <c r="D126" s="484">
        <f t="shared" si="12"/>
        <v>4008568.4885535026</v>
      </c>
      <c r="E126" s="484">
        <f t="shared" si="17"/>
        <v>0</v>
      </c>
      <c r="F126" s="484">
        <f t="shared" si="18"/>
        <v>57265020.1285535</v>
      </c>
      <c r="G126" s="485">
        <f t="shared" si="19"/>
        <v>2663.3654308429145</v>
      </c>
      <c r="H126" s="475">
        <f t="shared" si="20"/>
        <v>1018.9345691570857</v>
      </c>
      <c r="I126" s="380">
        <f t="shared" si="21"/>
        <v>0</v>
      </c>
      <c r="J126" s="380">
        <f t="shared" si="22"/>
        <v>0</v>
      </c>
      <c r="K126" s="476">
        <f t="shared" si="13"/>
        <v>815.1476553256686</v>
      </c>
      <c r="L126" s="500">
        <f t="shared" si="14"/>
        <v>17526489.7371572</v>
      </c>
      <c r="M126" s="497">
        <v>17668242.888164</v>
      </c>
      <c r="N126" s="486"/>
      <c r="O126" s="487">
        <v>301</v>
      </c>
      <c r="P126" s="391" t="s">
        <v>936</v>
      </c>
      <c r="Q126" s="488">
        <v>0</v>
      </c>
      <c r="R126" s="489" t="s">
        <v>779</v>
      </c>
      <c r="U126" s="490" t="s">
        <v>167</v>
      </c>
      <c r="V126" s="491">
        <v>21</v>
      </c>
      <c r="W126" s="492">
        <v>56200275.6</v>
      </c>
      <c r="X126" s="493">
        <f t="shared" si="23"/>
        <v>267620360</v>
      </c>
      <c r="Y126" s="492">
        <v>4008568.4885535026</v>
      </c>
      <c r="Z126" s="492">
        <v>0</v>
      </c>
      <c r="AB126" s="1"/>
      <c r="AC126" s="1">
        <v>301</v>
      </c>
      <c r="AD126">
        <f t="shared" si="15"/>
        <v>0</v>
      </c>
      <c r="AE126" s="1"/>
      <c r="AF126" s="494"/>
    </row>
    <row r="127" spans="1:32" ht="12">
      <c r="A127" s="468" t="s">
        <v>937</v>
      </c>
      <c r="B127" s="483">
        <v>908</v>
      </c>
      <c r="C127" s="484">
        <f t="shared" si="16"/>
        <v>2765088.1897368426</v>
      </c>
      <c r="D127" s="484">
        <f t="shared" si="12"/>
        <v>190473.48437062785</v>
      </c>
      <c r="E127" s="484">
        <f t="shared" si="17"/>
        <v>0</v>
      </c>
      <c r="F127" s="484">
        <f t="shared" si="18"/>
        <v>2955561.6741074705</v>
      </c>
      <c r="G127" s="485">
        <f t="shared" si="19"/>
        <v>3255.0238701624125</v>
      </c>
      <c r="H127" s="475">
        <f t="shared" si="20"/>
        <v>427.27612983758763</v>
      </c>
      <c r="I127" s="380">
        <f t="shared" si="21"/>
        <v>0</v>
      </c>
      <c r="J127" s="380">
        <f t="shared" si="22"/>
        <v>0</v>
      </c>
      <c r="K127" s="476">
        <f t="shared" si="13"/>
        <v>341.82090387007014</v>
      </c>
      <c r="L127" s="500">
        <f t="shared" si="14"/>
        <v>310373.38071402366</v>
      </c>
      <c r="M127" s="486">
        <v>465156.57422545436</v>
      </c>
      <c r="N127" s="486"/>
      <c r="O127" s="495">
        <v>304</v>
      </c>
      <c r="P127" s="496" t="s">
        <v>938</v>
      </c>
      <c r="Q127" s="488">
        <v>0</v>
      </c>
      <c r="R127" s="489" t="s">
        <v>788</v>
      </c>
      <c r="U127" s="490" t="s">
        <v>168</v>
      </c>
      <c r="V127" s="491">
        <v>19</v>
      </c>
      <c r="W127" s="492">
        <v>2640033.95</v>
      </c>
      <c r="X127" s="493">
        <f t="shared" si="23"/>
        <v>13894915.526315792</v>
      </c>
      <c r="Y127" s="492">
        <v>190473.48437062785</v>
      </c>
      <c r="Z127" s="492">
        <v>0</v>
      </c>
      <c r="AC127">
        <v>304</v>
      </c>
      <c r="AD127">
        <f t="shared" si="15"/>
        <v>0</v>
      </c>
      <c r="AF127" s="494"/>
    </row>
    <row r="128" spans="1:32" s="1" customFormat="1" ht="12.75">
      <c r="A128" s="468" t="s">
        <v>939</v>
      </c>
      <c r="B128" s="483">
        <v>15533</v>
      </c>
      <c r="C128" s="484">
        <f t="shared" si="16"/>
        <v>40159737.9715</v>
      </c>
      <c r="D128" s="484">
        <f t="shared" si="12"/>
        <v>3745150.1847542506</v>
      </c>
      <c r="E128" s="484">
        <f t="shared" si="17"/>
        <v>0</v>
      </c>
      <c r="F128" s="484">
        <f t="shared" si="18"/>
        <v>43904888.156254254</v>
      </c>
      <c r="G128" s="485">
        <f t="shared" si="19"/>
        <v>2826.5556013812047</v>
      </c>
      <c r="H128" s="475">
        <f t="shared" si="20"/>
        <v>855.7443986187955</v>
      </c>
      <c r="I128" s="380">
        <f t="shared" si="21"/>
        <v>0</v>
      </c>
      <c r="J128" s="380">
        <f t="shared" si="22"/>
        <v>0</v>
      </c>
      <c r="K128" s="476">
        <f t="shared" si="13"/>
        <v>684.5955188950364</v>
      </c>
      <c r="L128" s="500">
        <f t="shared" si="14"/>
        <v>10633822.194996601</v>
      </c>
      <c r="M128" s="486">
        <v>10694678.383064002</v>
      </c>
      <c r="N128" s="486"/>
      <c r="O128" s="495">
        <v>305</v>
      </c>
      <c r="P128" s="391" t="s">
        <v>939</v>
      </c>
      <c r="Q128" s="488">
        <v>0</v>
      </c>
      <c r="R128" s="489" t="s">
        <v>781</v>
      </c>
      <c r="S128"/>
      <c r="T128"/>
      <c r="U128" s="490" t="s">
        <v>169</v>
      </c>
      <c r="V128" s="491">
        <v>20</v>
      </c>
      <c r="W128" s="492">
        <v>40361545.7</v>
      </c>
      <c r="X128" s="493">
        <f t="shared" si="23"/>
        <v>201807728.50000003</v>
      </c>
      <c r="Y128" s="492">
        <v>3745150.1847542506</v>
      </c>
      <c r="Z128" s="492">
        <v>0</v>
      </c>
      <c r="AA128"/>
      <c r="AB128"/>
      <c r="AC128">
        <v>305</v>
      </c>
      <c r="AD128">
        <f t="shared" si="15"/>
        <v>0</v>
      </c>
      <c r="AE128"/>
      <c r="AF128" s="494"/>
    </row>
    <row r="129" spans="1:32" ht="12.75">
      <c r="A129" s="468" t="s">
        <v>940</v>
      </c>
      <c r="B129" s="483">
        <v>7091</v>
      </c>
      <c r="C129" s="484">
        <f t="shared" si="16"/>
        <v>17035903.387816086</v>
      </c>
      <c r="D129" s="484">
        <f t="shared" si="12"/>
        <v>1279712.75737134</v>
      </c>
      <c r="E129" s="484">
        <f t="shared" si="17"/>
        <v>0</v>
      </c>
      <c r="F129" s="484">
        <f t="shared" si="18"/>
        <v>18315616.145187426</v>
      </c>
      <c r="G129" s="485">
        <f t="shared" si="19"/>
        <v>2582.938393059854</v>
      </c>
      <c r="H129" s="475">
        <f t="shared" si="20"/>
        <v>1099.361606940146</v>
      </c>
      <c r="I129" s="380">
        <f t="shared" si="21"/>
        <v>0</v>
      </c>
      <c r="J129" s="380">
        <f t="shared" si="22"/>
        <v>0</v>
      </c>
      <c r="K129" s="476">
        <f t="shared" si="13"/>
        <v>879.4892855521168</v>
      </c>
      <c r="L129" s="500">
        <f t="shared" si="14"/>
        <v>6236458.52385006</v>
      </c>
      <c r="M129" s="486">
        <v>6037128.348364942</v>
      </c>
      <c r="N129" s="486"/>
      <c r="O129" s="495">
        <v>309</v>
      </c>
      <c r="P129" s="391" t="s">
        <v>940</v>
      </c>
      <c r="Q129" s="488">
        <v>0</v>
      </c>
      <c r="R129" s="489" t="s">
        <v>850</v>
      </c>
      <c r="U129" s="490" t="s">
        <v>228</v>
      </c>
      <c r="V129" s="491">
        <v>21.75</v>
      </c>
      <c r="W129" s="492">
        <v>18619643.15</v>
      </c>
      <c r="X129" s="493">
        <f t="shared" si="23"/>
        <v>85607554.71264367</v>
      </c>
      <c r="Y129" s="492">
        <v>1279712.75737134</v>
      </c>
      <c r="Z129" s="492">
        <v>0</v>
      </c>
      <c r="AB129" s="1"/>
      <c r="AC129" s="1">
        <v>309</v>
      </c>
      <c r="AD129">
        <f t="shared" si="15"/>
        <v>0</v>
      </c>
      <c r="AE129" s="1"/>
      <c r="AF129" s="494"/>
    </row>
    <row r="130" spans="1:32" ht="12.75">
      <c r="A130" s="468" t="s">
        <v>941</v>
      </c>
      <c r="B130" s="483">
        <v>1375</v>
      </c>
      <c r="C130" s="484">
        <f t="shared" si="16"/>
        <v>3133359.010666666</v>
      </c>
      <c r="D130" s="484">
        <f t="shared" si="12"/>
        <v>514192.04713008256</v>
      </c>
      <c r="E130" s="484">
        <f t="shared" si="17"/>
        <v>0</v>
      </c>
      <c r="F130" s="484">
        <f t="shared" si="18"/>
        <v>3647551.057796749</v>
      </c>
      <c r="G130" s="485">
        <f t="shared" si="19"/>
        <v>2652.764405670363</v>
      </c>
      <c r="H130" s="475">
        <f t="shared" si="20"/>
        <v>1029.5355943296372</v>
      </c>
      <c r="I130" s="380">
        <f t="shared" si="21"/>
        <v>0</v>
      </c>
      <c r="J130" s="380">
        <f t="shared" si="22"/>
        <v>0</v>
      </c>
      <c r="K130" s="476">
        <f t="shared" si="13"/>
        <v>823.6284754637098</v>
      </c>
      <c r="L130" s="500">
        <f t="shared" si="14"/>
        <v>1132489.153762601</v>
      </c>
      <c r="M130" s="486">
        <v>1121051.4018068293</v>
      </c>
      <c r="N130" s="486"/>
      <c r="O130" s="495">
        <v>312</v>
      </c>
      <c r="P130" s="391" t="s">
        <v>941</v>
      </c>
      <c r="Q130" s="488">
        <v>0</v>
      </c>
      <c r="R130" s="489" t="s">
        <v>814</v>
      </c>
      <c r="U130" s="490" t="s">
        <v>170</v>
      </c>
      <c r="V130" s="491">
        <v>21</v>
      </c>
      <c r="W130" s="492">
        <v>3306559.76</v>
      </c>
      <c r="X130" s="493">
        <f t="shared" si="23"/>
        <v>15745522.666666666</v>
      </c>
      <c r="Y130" s="492">
        <v>514192.04713008256</v>
      </c>
      <c r="Z130" s="492">
        <v>0</v>
      </c>
      <c r="AB130" s="1"/>
      <c r="AC130" s="1">
        <v>312</v>
      </c>
      <c r="AD130">
        <f t="shared" si="15"/>
        <v>0</v>
      </c>
      <c r="AE130" s="1"/>
      <c r="AF130" s="494"/>
    </row>
    <row r="131" spans="1:32" s="1" customFormat="1" ht="12.75">
      <c r="A131" s="468" t="s">
        <v>942</v>
      </c>
      <c r="B131" s="483">
        <v>4540</v>
      </c>
      <c r="C131" s="484">
        <f t="shared" si="16"/>
        <v>12819913.981471265</v>
      </c>
      <c r="D131" s="484">
        <f t="shared" si="12"/>
        <v>668996.9193341574</v>
      </c>
      <c r="E131" s="484">
        <f t="shared" si="17"/>
        <v>0</v>
      </c>
      <c r="F131" s="484">
        <f t="shared" si="18"/>
        <v>13488910.900805421</v>
      </c>
      <c r="G131" s="485">
        <f t="shared" si="19"/>
        <v>2971.125749076084</v>
      </c>
      <c r="H131" s="475">
        <f t="shared" si="20"/>
        <v>711.1742509239161</v>
      </c>
      <c r="I131" s="380">
        <f t="shared" si="21"/>
        <v>0</v>
      </c>
      <c r="J131" s="380">
        <f t="shared" si="22"/>
        <v>0</v>
      </c>
      <c r="K131" s="476">
        <f t="shared" si="13"/>
        <v>568.9394007391329</v>
      </c>
      <c r="L131" s="500">
        <f t="shared" si="14"/>
        <v>2582984.8793556634</v>
      </c>
      <c r="M131" s="486">
        <v>2493190.128459771</v>
      </c>
      <c r="N131" s="486"/>
      <c r="O131" s="495">
        <v>316</v>
      </c>
      <c r="P131" s="391" t="s">
        <v>942</v>
      </c>
      <c r="Q131" s="488">
        <v>0</v>
      </c>
      <c r="R131" s="489" t="s">
        <v>784</v>
      </c>
      <c r="S131"/>
      <c r="T131"/>
      <c r="U131" s="490" t="s">
        <v>171</v>
      </c>
      <c r="V131" s="491">
        <v>21.75</v>
      </c>
      <c r="W131" s="492">
        <v>14011715.03</v>
      </c>
      <c r="X131" s="493">
        <f t="shared" si="23"/>
        <v>64421678.29885057</v>
      </c>
      <c r="Y131" s="492">
        <v>668996.9193341574</v>
      </c>
      <c r="Z131" s="492">
        <v>0</v>
      </c>
      <c r="AA131"/>
      <c r="AB131"/>
      <c r="AC131">
        <v>316</v>
      </c>
      <c r="AD131">
        <f t="shared" si="15"/>
        <v>0</v>
      </c>
      <c r="AE131"/>
      <c r="AF131" s="494"/>
    </row>
    <row r="132" spans="1:32" ht="12">
      <c r="A132" s="468" t="s">
        <v>943</v>
      </c>
      <c r="B132" s="483">
        <v>2655</v>
      </c>
      <c r="C132" s="484">
        <f t="shared" si="16"/>
        <v>5405126.504465116</v>
      </c>
      <c r="D132" s="484">
        <f t="shared" si="12"/>
        <v>578751.8102590918</v>
      </c>
      <c r="E132" s="484">
        <f t="shared" si="17"/>
        <v>0</v>
      </c>
      <c r="F132" s="484">
        <f t="shared" si="18"/>
        <v>5983878.314724208</v>
      </c>
      <c r="G132" s="485">
        <f t="shared" si="19"/>
        <v>2253.814807805728</v>
      </c>
      <c r="H132" s="475">
        <f t="shared" si="20"/>
        <v>1428.4851921942723</v>
      </c>
      <c r="I132" s="380">
        <f t="shared" si="21"/>
        <v>0</v>
      </c>
      <c r="J132" s="380">
        <f t="shared" si="22"/>
        <v>0</v>
      </c>
      <c r="K132" s="476">
        <f t="shared" si="13"/>
        <v>1142.7881537554179</v>
      </c>
      <c r="L132" s="500">
        <f t="shared" si="14"/>
        <v>3034102.5482206345</v>
      </c>
      <c r="M132" s="486">
        <v>3120507.8906232566</v>
      </c>
      <c r="N132" s="486"/>
      <c r="O132" s="495">
        <v>317</v>
      </c>
      <c r="P132" s="391" t="s">
        <v>943</v>
      </c>
      <c r="Q132" s="488">
        <v>0</v>
      </c>
      <c r="R132" s="489" t="s">
        <v>781</v>
      </c>
      <c r="U132" s="490" t="s">
        <v>172</v>
      </c>
      <c r="V132" s="491">
        <v>21.5</v>
      </c>
      <c r="W132" s="492">
        <v>5839709.54</v>
      </c>
      <c r="X132" s="493">
        <f t="shared" si="23"/>
        <v>27161439.720930234</v>
      </c>
      <c r="Y132" s="492">
        <v>578751.8102590918</v>
      </c>
      <c r="Z132" s="492">
        <v>0</v>
      </c>
      <c r="AC132">
        <v>317</v>
      </c>
      <c r="AD132">
        <f t="shared" si="15"/>
        <v>0</v>
      </c>
      <c r="AF132" s="494"/>
    </row>
    <row r="133" spans="1:32" ht="12.75">
      <c r="A133" s="468" t="s">
        <v>944</v>
      </c>
      <c r="B133" s="483">
        <v>7661</v>
      </c>
      <c r="C133" s="484">
        <f t="shared" si="16"/>
        <v>21928599.376142856</v>
      </c>
      <c r="D133" s="484">
        <f t="shared" si="12"/>
        <v>1198517.6868787932</v>
      </c>
      <c r="E133" s="484">
        <f t="shared" si="17"/>
        <v>0</v>
      </c>
      <c r="F133" s="484">
        <f t="shared" si="18"/>
        <v>23127117.06302165</v>
      </c>
      <c r="G133" s="485">
        <f t="shared" si="19"/>
        <v>3018.811782146149</v>
      </c>
      <c r="H133" s="475">
        <f t="shared" si="20"/>
        <v>663.488217853851</v>
      </c>
      <c r="I133" s="380">
        <f t="shared" si="21"/>
        <v>0</v>
      </c>
      <c r="J133" s="380">
        <f t="shared" si="22"/>
        <v>0</v>
      </c>
      <c r="K133" s="476">
        <f t="shared" si="13"/>
        <v>530.7905742830808</v>
      </c>
      <c r="L133" s="500">
        <f t="shared" si="14"/>
        <v>4066386.589582682</v>
      </c>
      <c r="M133" s="486">
        <v>4416488.074510476</v>
      </c>
      <c r="N133" s="486"/>
      <c r="O133" s="495">
        <v>320</v>
      </c>
      <c r="P133" s="391" t="s">
        <v>944</v>
      </c>
      <c r="Q133" s="488">
        <v>0</v>
      </c>
      <c r="R133" s="489" t="s">
        <v>794</v>
      </c>
      <c r="U133" s="490" t="s">
        <v>139</v>
      </c>
      <c r="V133" s="491">
        <v>21</v>
      </c>
      <c r="W133" s="492">
        <v>23140733.01</v>
      </c>
      <c r="X133" s="493">
        <f t="shared" si="23"/>
        <v>110193966.71428572</v>
      </c>
      <c r="Y133" s="492">
        <v>1198517.6868787932</v>
      </c>
      <c r="Z133" s="492">
        <v>0</v>
      </c>
      <c r="AA133" s="1"/>
      <c r="AC133">
        <v>320</v>
      </c>
      <c r="AD133">
        <f t="shared" si="15"/>
        <v>0</v>
      </c>
      <c r="AF133" s="494"/>
    </row>
    <row r="134" spans="1:32" ht="12">
      <c r="A134" s="482" t="s">
        <v>141</v>
      </c>
      <c r="B134" s="483">
        <v>6872</v>
      </c>
      <c r="C134" s="484">
        <f t="shared" si="16"/>
        <v>18239295.879746836</v>
      </c>
      <c r="D134" s="484">
        <f t="shared" si="12"/>
        <v>955419.3100054951</v>
      </c>
      <c r="E134" s="484">
        <f t="shared" si="17"/>
        <v>0</v>
      </c>
      <c r="F134" s="484">
        <f t="shared" si="18"/>
        <v>19194715.18975233</v>
      </c>
      <c r="G134" s="485">
        <f t="shared" si="19"/>
        <v>2793.1774141083133</v>
      </c>
      <c r="H134" s="475">
        <f t="shared" si="20"/>
        <v>889.1225858916869</v>
      </c>
      <c r="I134" s="380">
        <f t="shared" si="21"/>
        <v>0</v>
      </c>
      <c r="J134" s="380">
        <f t="shared" si="22"/>
        <v>0</v>
      </c>
      <c r="K134" s="476">
        <f t="shared" si="13"/>
        <v>711.2980687133495</v>
      </c>
      <c r="L134" s="500">
        <f t="shared" si="14"/>
        <v>4888040.328198138</v>
      </c>
      <c r="M134" s="486">
        <v>4831473.279696205</v>
      </c>
      <c r="N134" s="486"/>
      <c r="O134" s="487">
        <v>322</v>
      </c>
      <c r="P134" s="391" t="s">
        <v>945</v>
      </c>
      <c r="Q134" s="488">
        <v>3</v>
      </c>
      <c r="R134" s="489" t="s">
        <v>788</v>
      </c>
      <c r="U134" s="490" t="s">
        <v>141</v>
      </c>
      <c r="V134" s="491">
        <v>19.75</v>
      </c>
      <c r="W134" s="492">
        <v>18101813.75</v>
      </c>
      <c r="X134" s="493">
        <f t="shared" si="23"/>
        <v>91654753.16455697</v>
      </c>
      <c r="Y134" s="492">
        <v>955419.3100054951</v>
      </c>
      <c r="Z134" s="492">
        <v>0</v>
      </c>
      <c r="AC134">
        <v>322</v>
      </c>
      <c r="AD134">
        <f t="shared" si="15"/>
        <v>0</v>
      </c>
      <c r="AF134" s="494"/>
    </row>
    <row r="135" spans="1:32" ht="12">
      <c r="A135" s="468" t="s">
        <v>946</v>
      </c>
      <c r="B135" s="483">
        <v>119452</v>
      </c>
      <c r="C135" s="484">
        <f t="shared" si="16"/>
        <v>376108709.3891852</v>
      </c>
      <c r="D135" s="484">
        <f t="shared" si="12"/>
        <v>24632907.81984161</v>
      </c>
      <c r="E135" s="484">
        <f t="shared" si="17"/>
        <v>0</v>
      </c>
      <c r="F135" s="484">
        <f t="shared" si="18"/>
        <v>400741617.2090268</v>
      </c>
      <c r="G135" s="485">
        <f t="shared" si="19"/>
        <v>3354.833884815883</v>
      </c>
      <c r="H135" s="475">
        <f t="shared" si="20"/>
        <v>327.46611518411737</v>
      </c>
      <c r="I135" s="380">
        <f t="shared" si="21"/>
        <v>0</v>
      </c>
      <c r="J135" s="380">
        <f t="shared" si="22"/>
        <v>0</v>
      </c>
      <c r="K135" s="476">
        <f t="shared" si="13"/>
        <v>261.9728921472939</v>
      </c>
      <c r="L135" s="500">
        <f t="shared" si="14"/>
        <v>31293185.912778553</v>
      </c>
      <c r="M135" s="497">
        <v>31118995.352521464</v>
      </c>
      <c r="N135" s="486"/>
      <c r="O135" s="495">
        <v>398</v>
      </c>
      <c r="P135" s="496" t="s">
        <v>947</v>
      </c>
      <c r="Q135" s="488">
        <v>0</v>
      </c>
      <c r="R135" s="489" t="s">
        <v>784</v>
      </c>
      <c r="U135" s="490" t="s">
        <v>173</v>
      </c>
      <c r="V135" s="491">
        <v>20.25</v>
      </c>
      <c r="W135" s="492">
        <v>382723686.69</v>
      </c>
      <c r="X135" s="493">
        <f t="shared" si="23"/>
        <v>1889993514.5185184</v>
      </c>
      <c r="Y135" s="492">
        <v>24632907.81984161</v>
      </c>
      <c r="Z135" s="492">
        <v>0</v>
      </c>
      <c r="AC135">
        <v>398</v>
      </c>
      <c r="AD135">
        <f t="shared" si="15"/>
        <v>0</v>
      </c>
      <c r="AF135" s="494"/>
    </row>
    <row r="136" spans="1:32" ht="12">
      <c r="A136" s="468" t="s">
        <v>948</v>
      </c>
      <c r="B136" s="483">
        <v>8139</v>
      </c>
      <c r="C136" s="484">
        <f t="shared" si="16"/>
        <v>24779830.889609195</v>
      </c>
      <c r="D136" s="484">
        <f t="shared" si="12"/>
        <v>1041104.0774047591</v>
      </c>
      <c r="E136" s="484">
        <f t="shared" si="17"/>
        <v>0</v>
      </c>
      <c r="F136" s="484">
        <f t="shared" si="18"/>
        <v>25820934.967013955</v>
      </c>
      <c r="G136" s="485">
        <f t="shared" si="19"/>
        <v>3172.494774175446</v>
      </c>
      <c r="H136" s="475">
        <f t="shared" si="20"/>
        <v>509.8052258245543</v>
      </c>
      <c r="I136" s="380">
        <f t="shared" si="21"/>
        <v>0</v>
      </c>
      <c r="J136" s="380">
        <f t="shared" si="22"/>
        <v>0</v>
      </c>
      <c r="K136" s="476">
        <f t="shared" si="13"/>
        <v>407.8441806596435</v>
      </c>
      <c r="L136" s="500">
        <f t="shared" si="14"/>
        <v>3319443.786388838</v>
      </c>
      <c r="M136" s="486">
        <v>3213996.2041451144</v>
      </c>
      <c r="N136" s="486"/>
      <c r="O136" s="495">
        <v>399</v>
      </c>
      <c r="P136" s="496" t="s">
        <v>949</v>
      </c>
      <c r="Q136" s="488">
        <v>0</v>
      </c>
      <c r="R136" s="489" t="s">
        <v>859</v>
      </c>
      <c r="U136" s="490" t="s">
        <v>174</v>
      </c>
      <c r="V136" s="491">
        <v>21.75</v>
      </c>
      <c r="W136" s="492">
        <v>27083483.51</v>
      </c>
      <c r="X136" s="493">
        <f t="shared" si="23"/>
        <v>124521763.26436782</v>
      </c>
      <c r="Y136" s="492">
        <v>1041104.0774047591</v>
      </c>
      <c r="Z136" s="492">
        <v>0</v>
      </c>
      <c r="AC136">
        <v>399</v>
      </c>
      <c r="AD136">
        <f t="shared" si="15"/>
        <v>0</v>
      </c>
      <c r="AF136" s="494"/>
    </row>
    <row r="137" spans="1:32" ht="12.75">
      <c r="A137" s="468" t="s">
        <v>950</v>
      </c>
      <c r="B137" s="483">
        <v>8520</v>
      </c>
      <c r="C137" s="484">
        <f t="shared" si="16"/>
        <v>23703803.82718072</v>
      </c>
      <c r="D137" s="484">
        <f t="shared" si="12"/>
        <v>1883044.510643809</v>
      </c>
      <c r="E137" s="484">
        <f t="shared" si="17"/>
        <v>0</v>
      </c>
      <c r="F137" s="484">
        <f t="shared" si="18"/>
        <v>25586848.33782453</v>
      </c>
      <c r="G137" s="485">
        <f t="shared" si="19"/>
        <v>3003.1512133596866</v>
      </c>
      <c r="H137" s="475">
        <f t="shared" si="20"/>
        <v>679.1487866403136</v>
      </c>
      <c r="I137" s="380">
        <f t="shared" si="21"/>
        <v>0</v>
      </c>
      <c r="J137" s="380">
        <f t="shared" si="22"/>
        <v>0</v>
      </c>
      <c r="K137" s="476">
        <f t="shared" si="13"/>
        <v>543.3190293122509</v>
      </c>
      <c r="L137" s="500">
        <f t="shared" si="14"/>
        <v>4629078.129740378</v>
      </c>
      <c r="M137" s="486">
        <v>4686578.983032291</v>
      </c>
      <c r="N137" s="486"/>
      <c r="O137" s="495">
        <v>400</v>
      </c>
      <c r="P137" s="391" t="s">
        <v>950</v>
      </c>
      <c r="Q137" s="488">
        <v>0</v>
      </c>
      <c r="R137" s="489" t="s">
        <v>788</v>
      </c>
      <c r="U137" s="490" t="s">
        <v>175</v>
      </c>
      <c r="V137" s="491">
        <v>20.75</v>
      </c>
      <c r="W137" s="492">
        <v>24716277.86</v>
      </c>
      <c r="X137" s="493">
        <f t="shared" si="23"/>
        <v>119114592.09638554</v>
      </c>
      <c r="Y137" s="492">
        <v>1883044.510643809</v>
      </c>
      <c r="Z137" s="492">
        <v>0</v>
      </c>
      <c r="AA137" s="1"/>
      <c r="AC137">
        <v>400</v>
      </c>
      <c r="AD137">
        <f t="shared" si="15"/>
        <v>0</v>
      </c>
      <c r="AF137" s="494"/>
    </row>
    <row r="138" spans="1:32" ht="12">
      <c r="A138" s="468" t="s">
        <v>951</v>
      </c>
      <c r="B138" s="483">
        <v>9882</v>
      </c>
      <c r="C138" s="484">
        <f t="shared" si="16"/>
        <v>24204609.920296293</v>
      </c>
      <c r="D138" s="484">
        <f t="shared" si="12"/>
        <v>1542924.587328582</v>
      </c>
      <c r="E138" s="484">
        <f t="shared" si="17"/>
        <v>0</v>
      </c>
      <c r="F138" s="484">
        <f t="shared" si="18"/>
        <v>25747534.507624876</v>
      </c>
      <c r="G138" s="485">
        <f t="shared" si="19"/>
        <v>2605.498331069103</v>
      </c>
      <c r="H138" s="475">
        <f t="shared" si="20"/>
        <v>1076.801668930897</v>
      </c>
      <c r="I138" s="380">
        <f t="shared" si="21"/>
        <v>0</v>
      </c>
      <c r="J138" s="380">
        <f t="shared" si="22"/>
        <v>0</v>
      </c>
      <c r="K138" s="476">
        <f t="shared" si="13"/>
        <v>861.4413351447176</v>
      </c>
      <c r="L138" s="500">
        <f t="shared" si="14"/>
        <v>8512763.2739001</v>
      </c>
      <c r="M138" s="486">
        <v>8304540.4696059255</v>
      </c>
      <c r="N138" s="486"/>
      <c r="O138" s="495">
        <v>402</v>
      </c>
      <c r="P138" s="391" t="s">
        <v>951</v>
      </c>
      <c r="Q138" s="488">
        <v>0</v>
      </c>
      <c r="R138" s="489" t="s">
        <v>843</v>
      </c>
      <c r="U138" s="490" t="s">
        <v>177</v>
      </c>
      <c r="V138" s="491">
        <v>20.25</v>
      </c>
      <c r="W138" s="492">
        <v>24630319.14</v>
      </c>
      <c r="X138" s="493">
        <f t="shared" si="23"/>
        <v>121631205.62962963</v>
      </c>
      <c r="Y138" s="492">
        <v>1542924.587328582</v>
      </c>
      <c r="Z138" s="492">
        <v>0</v>
      </c>
      <c r="AC138">
        <v>402</v>
      </c>
      <c r="AD138">
        <f t="shared" si="15"/>
        <v>0</v>
      </c>
      <c r="AF138" s="494"/>
    </row>
    <row r="139" spans="1:32" ht="12">
      <c r="A139" s="468" t="s">
        <v>952</v>
      </c>
      <c r="B139" s="483">
        <v>3176</v>
      </c>
      <c r="C139" s="484">
        <f t="shared" si="16"/>
        <v>7369317.529809522</v>
      </c>
      <c r="D139" s="484">
        <f t="shared" si="12"/>
        <v>839638.5058599457</v>
      </c>
      <c r="E139" s="484">
        <f t="shared" si="17"/>
        <v>0</v>
      </c>
      <c r="F139" s="484">
        <f t="shared" si="18"/>
        <v>8208956.035669468</v>
      </c>
      <c r="G139" s="485">
        <f t="shared" si="19"/>
        <v>2584.68389032414</v>
      </c>
      <c r="H139" s="475">
        <f t="shared" si="20"/>
        <v>1097.6161096758601</v>
      </c>
      <c r="I139" s="380">
        <f t="shared" si="21"/>
        <v>0</v>
      </c>
      <c r="J139" s="380">
        <f t="shared" si="22"/>
        <v>0</v>
      </c>
      <c r="K139" s="476">
        <f t="shared" si="13"/>
        <v>878.0928877406882</v>
      </c>
      <c r="L139" s="500">
        <f t="shared" si="14"/>
        <v>2788823.011464426</v>
      </c>
      <c r="M139" s="486">
        <v>2504208.4036495234</v>
      </c>
      <c r="N139" s="486"/>
      <c r="O139" s="495">
        <v>403</v>
      </c>
      <c r="P139" s="391" t="s">
        <v>952</v>
      </c>
      <c r="Q139" s="488">
        <v>0</v>
      </c>
      <c r="R139" s="489" t="s">
        <v>779</v>
      </c>
      <c r="U139" s="490" t="s">
        <v>178</v>
      </c>
      <c r="V139" s="491">
        <v>21</v>
      </c>
      <c r="W139" s="492">
        <v>7776666.74</v>
      </c>
      <c r="X139" s="493">
        <f t="shared" si="23"/>
        <v>37031746.38095238</v>
      </c>
      <c r="Y139" s="492">
        <v>839638.5058599457</v>
      </c>
      <c r="Z139" s="492">
        <v>0</v>
      </c>
      <c r="AC139">
        <v>403</v>
      </c>
      <c r="AD139">
        <f t="shared" si="15"/>
        <v>0</v>
      </c>
      <c r="AF139" s="494"/>
    </row>
    <row r="140" spans="1:32" ht="12">
      <c r="A140" s="482" t="s">
        <v>953</v>
      </c>
      <c r="B140" s="483">
        <v>72872</v>
      </c>
      <c r="C140" s="484">
        <f t="shared" si="16"/>
        <v>228738063.96880952</v>
      </c>
      <c r="D140" s="484">
        <f t="shared" si="12"/>
        <v>22433275.431487862</v>
      </c>
      <c r="E140" s="484">
        <f t="shared" si="17"/>
        <v>0</v>
      </c>
      <c r="F140" s="484">
        <f t="shared" si="18"/>
        <v>251171339.40029737</v>
      </c>
      <c r="G140" s="485">
        <f t="shared" si="19"/>
        <v>3446.746890442109</v>
      </c>
      <c r="H140" s="475">
        <f t="shared" si="20"/>
        <v>235.55310955789128</v>
      </c>
      <c r="I140" s="380">
        <f t="shared" si="21"/>
        <v>0</v>
      </c>
      <c r="J140" s="380">
        <f t="shared" si="22"/>
        <v>0</v>
      </c>
      <c r="K140" s="476">
        <f t="shared" si="13"/>
        <v>188.44248764631303</v>
      </c>
      <c r="L140" s="500">
        <f t="shared" si="14"/>
        <v>13732180.959762122</v>
      </c>
      <c r="M140" s="486">
        <v>11642987.40324573</v>
      </c>
      <c r="N140" s="486"/>
      <c r="O140" s="487">
        <v>405</v>
      </c>
      <c r="P140" s="496" t="s">
        <v>954</v>
      </c>
      <c r="Q140" s="488">
        <v>0</v>
      </c>
      <c r="R140" s="489" t="s">
        <v>861</v>
      </c>
      <c r="U140" s="490" t="s">
        <v>179</v>
      </c>
      <c r="V140" s="491">
        <v>21</v>
      </c>
      <c r="W140" s="492">
        <v>241381876.55</v>
      </c>
      <c r="X140" s="493">
        <f t="shared" si="23"/>
        <v>1149437507.3809524</v>
      </c>
      <c r="Y140" s="492">
        <v>22433275.431487862</v>
      </c>
      <c r="Z140" s="492">
        <v>0</v>
      </c>
      <c r="AC140">
        <v>405</v>
      </c>
      <c r="AD140">
        <f t="shared" si="15"/>
        <v>0</v>
      </c>
      <c r="AF140" s="494"/>
    </row>
    <row r="141" spans="1:32" ht="12">
      <c r="A141" s="468" t="s">
        <v>955</v>
      </c>
      <c r="B141" s="483">
        <v>2739</v>
      </c>
      <c r="C141" s="484">
        <f t="shared" si="16"/>
        <v>7171630.455999999</v>
      </c>
      <c r="D141" s="484">
        <f t="shared" si="12"/>
        <v>470237.6908755259</v>
      </c>
      <c r="E141" s="484">
        <f t="shared" si="17"/>
        <v>0</v>
      </c>
      <c r="F141" s="484">
        <f t="shared" si="18"/>
        <v>7641868.146875525</v>
      </c>
      <c r="G141" s="485">
        <f t="shared" si="19"/>
        <v>2790.021229235314</v>
      </c>
      <c r="H141" s="475">
        <f t="shared" si="20"/>
        <v>892.2787707646862</v>
      </c>
      <c r="I141" s="380">
        <f t="shared" si="21"/>
        <v>0</v>
      </c>
      <c r="J141" s="380">
        <f t="shared" si="22"/>
        <v>0</v>
      </c>
      <c r="K141" s="476">
        <f t="shared" si="13"/>
        <v>713.823016611749</v>
      </c>
      <c r="L141" s="500">
        <f t="shared" si="14"/>
        <v>1955161.2424995806</v>
      </c>
      <c r="M141" s="486">
        <v>1969142.4634887816</v>
      </c>
      <c r="N141" s="486"/>
      <c r="O141" s="495">
        <v>407</v>
      </c>
      <c r="P141" s="496" t="s">
        <v>956</v>
      </c>
      <c r="Q141" s="488">
        <v>1</v>
      </c>
      <c r="R141" s="489" t="s">
        <v>786</v>
      </c>
      <c r="U141" s="490" t="s">
        <v>176</v>
      </c>
      <c r="V141" s="491">
        <v>20.5</v>
      </c>
      <c r="W141" s="492">
        <v>7387860.52</v>
      </c>
      <c r="X141" s="493">
        <f t="shared" si="23"/>
        <v>36038344</v>
      </c>
      <c r="Y141" s="492">
        <v>470237.6908755259</v>
      </c>
      <c r="Z141" s="492">
        <v>0</v>
      </c>
      <c r="AC141">
        <v>407</v>
      </c>
      <c r="AD141">
        <f t="shared" si="15"/>
        <v>0</v>
      </c>
      <c r="AF141" s="494"/>
    </row>
    <row r="142" spans="1:32" ht="12">
      <c r="A142" s="468" t="s">
        <v>957</v>
      </c>
      <c r="B142" s="483">
        <v>14575</v>
      </c>
      <c r="C142" s="484">
        <f t="shared" si="16"/>
        <v>39575133.79047619</v>
      </c>
      <c r="D142" s="484">
        <f t="shared" si="12"/>
        <v>2212610.8903996986</v>
      </c>
      <c r="E142" s="484">
        <f t="shared" si="17"/>
        <v>0</v>
      </c>
      <c r="F142" s="484">
        <f t="shared" si="18"/>
        <v>41787744.68087589</v>
      </c>
      <c r="G142" s="485">
        <f t="shared" si="19"/>
        <v>2867.083683078963</v>
      </c>
      <c r="H142" s="475">
        <f t="shared" si="20"/>
        <v>815.2163169210371</v>
      </c>
      <c r="I142" s="380">
        <f t="shared" si="21"/>
        <v>0</v>
      </c>
      <c r="J142" s="380">
        <f t="shared" si="22"/>
        <v>0</v>
      </c>
      <c r="K142" s="476">
        <f t="shared" si="13"/>
        <v>652.1730535368297</v>
      </c>
      <c r="L142" s="500">
        <f t="shared" si="14"/>
        <v>9505422.255299293</v>
      </c>
      <c r="M142" s="486">
        <v>9003352.38081143</v>
      </c>
      <c r="N142" s="486"/>
      <c r="O142" s="495">
        <v>408</v>
      </c>
      <c r="P142" s="496" t="s">
        <v>958</v>
      </c>
      <c r="Q142" s="488">
        <v>0</v>
      </c>
      <c r="R142" s="489" t="s">
        <v>779</v>
      </c>
      <c r="U142" s="490" t="s">
        <v>180</v>
      </c>
      <c r="V142" s="491">
        <v>21</v>
      </c>
      <c r="W142" s="492">
        <v>41762704</v>
      </c>
      <c r="X142" s="493">
        <f t="shared" si="23"/>
        <v>198870019.04761904</v>
      </c>
      <c r="Y142" s="492">
        <v>2212610.8903996986</v>
      </c>
      <c r="Z142" s="492">
        <v>0</v>
      </c>
      <c r="AC142">
        <v>408</v>
      </c>
      <c r="AD142">
        <f t="shared" si="15"/>
        <v>0</v>
      </c>
      <c r="AF142" s="494"/>
    </row>
    <row r="143" spans="1:32" ht="12">
      <c r="A143" s="468" t="s">
        <v>959</v>
      </c>
      <c r="B143" s="483">
        <v>18970</v>
      </c>
      <c r="C143" s="484">
        <f t="shared" si="16"/>
        <v>54260444.90353488</v>
      </c>
      <c r="D143" s="484">
        <f t="shared" si="12"/>
        <v>2397265.225216419</v>
      </c>
      <c r="E143" s="484">
        <f t="shared" si="17"/>
        <v>0</v>
      </c>
      <c r="F143" s="484">
        <f t="shared" si="18"/>
        <v>56657710.1287513</v>
      </c>
      <c r="G143" s="485">
        <f t="shared" si="19"/>
        <v>2986.700586650042</v>
      </c>
      <c r="H143" s="475">
        <f t="shared" si="20"/>
        <v>695.599413349958</v>
      </c>
      <c r="I143" s="380">
        <f t="shared" si="21"/>
        <v>0</v>
      </c>
      <c r="J143" s="380">
        <f t="shared" si="22"/>
        <v>0</v>
      </c>
      <c r="K143" s="476">
        <f t="shared" si="13"/>
        <v>556.4795306799664</v>
      </c>
      <c r="L143" s="500">
        <f t="shared" si="14"/>
        <v>10556416.696998963</v>
      </c>
      <c r="M143" s="486">
        <v>10274731.883479064</v>
      </c>
      <c r="N143" s="486"/>
      <c r="O143" s="495">
        <v>410</v>
      </c>
      <c r="P143" s="391" t="s">
        <v>959</v>
      </c>
      <c r="Q143" s="488">
        <v>0</v>
      </c>
      <c r="R143" s="489" t="s">
        <v>814</v>
      </c>
      <c r="U143" s="490" t="s">
        <v>181</v>
      </c>
      <c r="V143" s="491">
        <v>21.5</v>
      </c>
      <c r="W143" s="492">
        <v>58623093.74</v>
      </c>
      <c r="X143" s="493">
        <f t="shared" si="23"/>
        <v>272665552.2790698</v>
      </c>
      <c r="Y143" s="492">
        <v>2397265.225216419</v>
      </c>
      <c r="Z143" s="492">
        <v>0</v>
      </c>
      <c r="AC143">
        <v>410</v>
      </c>
      <c r="AD143">
        <f t="shared" si="15"/>
        <v>0</v>
      </c>
      <c r="AF143" s="494"/>
    </row>
    <row r="144" spans="1:32" ht="12">
      <c r="A144" s="468" t="s">
        <v>960</v>
      </c>
      <c r="B144" s="483">
        <v>3076</v>
      </c>
      <c r="C144" s="484">
        <f t="shared" si="16"/>
        <v>8559893.858</v>
      </c>
      <c r="D144" s="484">
        <f t="shared" si="12"/>
        <v>457982.8711138405</v>
      </c>
      <c r="E144" s="484">
        <f t="shared" si="17"/>
        <v>0</v>
      </c>
      <c r="F144" s="484">
        <f t="shared" si="18"/>
        <v>9017876.72911384</v>
      </c>
      <c r="G144" s="485">
        <f t="shared" si="19"/>
        <v>2931.6894437951364</v>
      </c>
      <c r="H144" s="475">
        <f t="shared" si="20"/>
        <v>750.6105562048638</v>
      </c>
      <c r="I144" s="380">
        <f t="shared" si="21"/>
        <v>0</v>
      </c>
      <c r="J144" s="380">
        <f t="shared" si="22"/>
        <v>0</v>
      </c>
      <c r="K144" s="476">
        <f t="shared" si="13"/>
        <v>600.4884449638911</v>
      </c>
      <c r="L144" s="500">
        <f t="shared" si="14"/>
        <v>1847102.456708929</v>
      </c>
      <c r="M144" s="486">
        <v>1751366.3160800003</v>
      </c>
      <c r="N144" s="486"/>
      <c r="O144" s="495">
        <v>416</v>
      </c>
      <c r="P144" s="391" t="s">
        <v>960</v>
      </c>
      <c r="Q144" s="488">
        <v>0</v>
      </c>
      <c r="R144" s="489" t="s">
        <v>861</v>
      </c>
      <c r="U144" s="490" t="s">
        <v>182</v>
      </c>
      <c r="V144" s="491">
        <v>21</v>
      </c>
      <c r="W144" s="492">
        <v>9033053.82</v>
      </c>
      <c r="X144" s="493">
        <f t="shared" si="23"/>
        <v>43014542</v>
      </c>
      <c r="Y144" s="492">
        <v>457982.8711138405</v>
      </c>
      <c r="Z144" s="492">
        <v>0</v>
      </c>
      <c r="AC144">
        <v>416</v>
      </c>
      <c r="AD144">
        <f t="shared" si="15"/>
        <v>0</v>
      </c>
      <c r="AF144" s="494"/>
    </row>
    <row r="145" spans="1:32" ht="12">
      <c r="A145" s="468" t="s">
        <v>961</v>
      </c>
      <c r="B145" s="483">
        <v>22745</v>
      </c>
      <c r="C145" s="484">
        <f t="shared" si="16"/>
        <v>78984106.36726828</v>
      </c>
      <c r="D145" s="484">
        <f t="shared" si="12"/>
        <v>4313520.285469628</v>
      </c>
      <c r="E145" s="484">
        <f t="shared" si="17"/>
        <v>0</v>
      </c>
      <c r="F145" s="484">
        <f t="shared" si="18"/>
        <v>83297626.6527379</v>
      </c>
      <c r="G145" s="485">
        <f t="shared" si="19"/>
        <v>3662.239026279969</v>
      </c>
      <c r="H145" s="475">
        <f t="shared" si="20"/>
        <v>20.060973720031143</v>
      </c>
      <c r="I145" s="380">
        <f t="shared" si="21"/>
        <v>0</v>
      </c>
      <c r="J145" s="380">
        <f t="shared" si="22"/>
        <v>0</v>
      </c>
      <c r="K145" s="476">
        <f t="shared" si="13"/>
        <v>16.048778976024916</v>
      </c>
      <c r="L145" s="500">
        <f t="shared" si="14"/>
        <v>365029.47780968674</v>
      </c>
      <c r="M145" s="486">
        <v>-120369.25938335789</v>
      </c>
      <c r="N145" s="486"/>
      <c r="O145" s="495">
        <v>418</v>
      </c>
      <c r="P145" s="391" t="s">
        <v>961</v>
      </c>
      <c r="Q145" s="488">
        <v>0</v>
      </c>
      <c r="R145" s="489" t="s">
        <v>789</v>
      </c>
      <c r="U145" s="490" t="s">
        <v>183</v>
      </c>
      <c r="V145" s="491">
        <v>20.5</v>
      </c>
      <c r="W145" s="492">
        <v>81365536.71</v>
      </c>
      <c r="X145" s="493">
        <f t="shared" si="23"/>
        <v>396905057.12195116</v>
      </c>
      <c r="Y145" s="492">
        <v>4313520.285469628</v>
      </c>
      <c r="Z145" s="492">
        <v>0</v>
      </c>
      <c r="AC145">
        <v>418</v>
      </c>
      <c r="AD145">
        <f t="shared" si="15"/>
        <v>0</v>
      </c>
      <c r="AF145" s="494"/>
    </row>
    <row r="146" spans="1:32" ht="12">
      <c r="A146" s="468" t="s">
        <v>962</v>
      </c>
      <c r="B146" s="483">
        <v>9865</v>
      </c>
      <c r="C146" s="484">
        <f t="shared" si="16"/>
        <v>27683771.341149997</v>
      </c>
      <c r="D146" s="484">
        <f t="shared" si="12"/>
        <v>2610801.8377395747</v>
      </c>
      <c r="E146" s="484">
        <f t="shared" si="17"/>
        <v>0</v>
      </c>
      <c r="F146" s="484">
        <f t="shared" si="18"/>
        <v>30294573.178889573</v>
      </c>
      <c r="G146" s="485">
        <f t="shared" si="19"/>
        <v>3070.9146658783143</v>
      </c>
      <c r="H146" s="475">
        <f t="shared" si="20"/>
        <v>611.3853341216859</v>
      </c>
      <c r="I146" s="380">
        <f t="shared" si="21"/>
        <v>0</v>
      </c>
      <c r="J146" s="380">
        <f t="shared" si="22"/>
        <v>0</v>
      </c>
      <c r="K146" s="476">
        <f t="shared" si="13"/>
        <v>489.10826729734873</v>
      </c>
      <c r="L146" s="500">
        <f t="shared" si="14"/>
        <v>4825053.056888346</v>
      </c>
      <c r="M146" s="486">
        <v>5293364.135671997</v>
      </c>
      <c r="N146" s="486"/>
      <c r="O146" s="495">
        <v>420</v>
      </c>
      <c r="P146" s="391" t="s">
        <v>962</v>
      </c>
      <c r="Q146" s="488">
        <v>0</v>
      </c>
      <c r="R146" s="489" t="s">
        <v>843</v>
      </c>
      <c r="U146" s="490" t="s">
        <v>184</v>
      </c>
      <c r="V146" s="491">
        <v>20</v>
      </c>
      <c r="W146" s="492">
        <v>27822885.77</v>
      </c>
      <c r="X146" s="493">
        <f t="shared" si="23"/>
        <v>139114428.85</v>
      </c>
      <c r="Y146" s="492">
        <v>2610801.8377395747</v>
      </c>
      <c r="Z146" s="492">
        <v>0</v>
      </c>
      <c r="AC146">
        <v>420</v>
      </c>
      <c r="AD146">
        <f t="shared" si="15"/>
        <v>0</v>
      </c>
      <c r="AF146" s="494"/>
    </row>
    <row r="147" spans="1:32" s="1" customFormat="1" ht="12.75">
      <c r="A147" s="468" t="s">
        <v>963</v>
      </c>
      <c r="B147" s="483">
        <v>811</v>
      </c>
      <c r="C147" s="484">
        <f t="shared" si="16"/>
        <v>1718020.4267619047</v>
      </c>
      <c r="D147" s="484">
        <f aca="true" t="shared" si="24" ref="D147:D210">Y147</f>
        <v>374397.6526006031</v>
      </c>
      <c r="E147" s="484">
        <f t="shared" si="17"/>
        <v>0</v>
      </c>
      <c r="F147" s="484">
        <f t="shared" si="18"/>
        <v>2092418.079362508</v>
      </c>
      <c r="G147" s="485">
        <f t="shared" si="19"/>
        <v>2580.0469535912553</v>
      </c>
      <c r="H147" s="475">
        <f t="shared" si="20"/>
        <v>1102.253046408745</v>
      </c>
      <c r="I147" s="380">
        <f t="shared" si="21"/>
        <v>0</v>
      </c>
      <c r="J147" s="380">
        <f t="shared" si="22"/>
        <v>0</v>
      </c>
      <c r="K147" s="476">
        <f aca="true" t="shared" si="25" ref="K147:K210">IF(H147&gt;0,H147*0.8,J147*H147/100)</f>
        <v>881.802437126996</v>
      </c>
      <c r="L147" s="500">
        <f aca="true" t="shared" si="26" ref="L147:L210">K147*B147</f>
        <v>715141.7765099937</v>
      </c>
      <c r="M147" s="486">
        <v>718205.1179657144</v>
      </c>
      <c r="N147" s="486"/>
      <c r="O147" s="495">
        <v>421</v>
      </c>
      <c r="P147" s="391" t="s">
        <v>963</v>
      </c>
      <c r="Q147" s="488">
        <v>0</v>
      </c>
      <c r="R147" s="489" t="s">
        <v>809</v>
      </c>
      <c r="S147"/>
      <c r="T147"/>
      <c r="U147" s="490" t="s">
        <v>185</v>
      </c>
      <c r="V147" s="491">
        <v>21</v>
      </c>
      <c r="W147" s="492">
        <v>1812986.38</v>
      </c>
      <c r="X147" s="493">
        <f t="shared" si="23"/>
        <v>8633268.476190476</v>
      </c>
      <c r="Y147" s="492">
        <v>374397.6526006031</v>
      </c>
      <c r="Z147" s="492">
        <v>0</v>
      </c>
      <c r="AA147"/>
      <c r="AB147"/>
      <c r="AC147">
        <v>421</v>
      </c>
      <c r="AD147">
        <f aca="true" t="shared" si="27" ref="AD147:AD210">O147-AC147</f>
        <v>0</v>
      </c>
      <c r="AE147"/>
      <c r="AF147" s="494"/>
    </row>
    <row r="148" spans="1:32" ht="12.75">
      <c r="A148" s="468" t="s">
        <v>964</v>
      </c>
      <c r="B148" s="483">
        <v>11580</v>
      </c>
      <c r="C148" s="484">
        <f aca="true" t="shared" si="28" ref="C148:C211">$V$15*X148/100</f>
        <v>29572304.644523807</v>
      </c>
      <c r="D148" s="484">
        <f t="shared" si="24"/>
        <v>4592034.045433823</v>
      </c>
      <c r="E148" s="484">
        <f aca="true" t="shared" si="29" ref="E148:E211">IF(Z148=0,0,3.1*Z148/100/2)</f>
        <v>0</v>
      </c>
      <c r="F148" s="484">
        <f aca="true" t="shared" si="30" ref="F148:F211">C148+D148+E148</f>
        <v>34164338.68995763</v>
      </c>
      <c r="G148" s="485">
        <f aca="true" t="shared" si="31" ref="G148:G211">F148/B148</f>
        <v>2950.2883151949595</v>
      </c>
      <c r="H148" s="475">
        <f aca="true" t="shared" si="32" ref="H148:H211">$G$15-G148</f>
        <v>732.0116848050407</v>
      </c>
      <c r="I148" s="380">
        <f aca="true" t="shared" si="33" ref="I148:I211">IF(H148&lt;0,LN(-H148),0)</f>
        <v>0</v>
      </c>
      <c r="J148" s="380">
        <f aca="true" t="shared" si="34" ref="J148:J211">IF(H148&lt;0,30+I148,0)</f>
        <v>0</v>
      </c>
      <c r="K148" s="476">
        <f t="shared" si="25"/>
        <v>585.6093478440325</v>
      </c>
      <c r="L148" s="500">
        <f t="shared" si="26"/>
        <v>6781356.248033897</v>
      </c>
      <c r="M148" s="486">
        <v>6777834.109299045</v>
      </c>
      <c r="N148" s="486"/>
      <c r="O148" s="495">
        <v>422</v>
      </c>
      <c r="P148" s="391" t="s">
        <v>964</v>
      </c>
      <c r="Q148" s="488">
        <v>0</v>
      </c>
      <c r="R148" s="489" t="s">
        <v>850</v>
      </c>
      <c r="U148" s="490" t="s">
        <v>186</v>
      </c>
      <c r="V148" s="491">
        <v>21</v>
      </c>
      <c r="W148" s="492">
        <v>31206954.65</v>
      </c>
      <c r="X148" s="493">
        <f aca="true" t="shared" si="35" ref="X148:X211">100*W148/V148</f>
        <v>148604545.95238096</v>
      </c>
      <c r="Y148" s="492">
        <v>4592034.045433823</v>
      </c>
      <c r="Z148" s="492">
        <v>0</v>
      </c>
      <c r="AB148" s="1"/>
      <c r="AC148" s="1">
        <v>422</v>
      </c>
      <c r="AD148">
        <f t="shared" si="27"/>
        <v>0</v>
      </c>
      <c r="AE148" s="1"/>
      <c r="AF148" s="494"/>
    </row>
    <row r="149" spans="1:32" ht="12">
      <c r="A149" s="468" t="s">
        <v>965</v>
      </c>
      <c r="B149" s="483">
        <v>19418</v>
      </c>
      <c r="C149" s="484">
        <f t="shared" si="28"/>
        <v>68327325.7019487</v>
      </c>
      <c r="D149" s="484">
        <f t="shared" si="24"/>
        <v>3150967.95291545</v>
      </c>
      <c r="E149" s="484">
        <f t="shared" si="29"/>
        <v>0</v>
      </c>
      <c r="F149" s="484">
        <f t="shared" si="30"/>
        <v>71478293.65486415</v>
      </c>
      <c r="G149" s="485">
        <f t="shared" si="31"/>
        <v>3681.032735341649</v>
      </c>
      <c r="H149" s="475">
        <f t="shared" si="32"/>
        <v>1.2672646583509959</v>
      </c>
      <c r="I149" s="380">
        <f t="shared" si="33"/>
        <v>0</v>
      </c>
      <c r="J149" s="380">
        <f t="shared" si="34"/>
        <v>0</v>
      </c>
      <c r="K149" s="476">
        <f t="shared" si="25"/>
        <v>1.0138117266807967</v>
      </c>
      <c r="L149" s="500">
        <f t="shared" si="26"/>
        <v>19686.19610868771</v>
      </c>
      <c r="M149" s="499">
        <v>-138293.3985210295</v>
      </c>
      <c r="N149" s="486"/>
      <c r="O149" s="495">
        <v>423</v>
      </c>
      <c r="P149" s="496" t="s">
        <v>966</v>
      </c>
      <c r="Q149" s="488">
        <v>0</v>
      </c>
      <c r="R149" s="489" t="s">
        <v>788</v>
      </c>
      <c r="U149" s="490" t="s">
        <v>187</v>
      </c>
      <c r="V149" s="491">
        <v>19.5</v>
      </c>
      <c r="W149" s="492">
        <v>66953912.12</v>
      </c>
      <c r="X149" s="493">
        <f t="shared" si="35"/>
        <v>343353395.48717946</v>
      </c>
      <c r="Y149" s="492">
        <v>3150967.95291545</v>
      </c>
      <c r="Z149" s="492">
        <v>0</v>
      </c>
      <c r="AC149">
        <v>423</v>
      </c>
      <c r="AD149">
        <f t="shared" si="27"/>
        <v>0</v>
      </c>
      <c r="AF149" s="494"/>
    </row>
    <row r="150" spans="1:32" ht="12">
      <c r="A150" s="468" t="s">
        <v>967</v>
      </c>
      <c r="B150" s="483">
        <v>10000</v>
      </c>
      <c r="C150" s="484">
        <f t="shared" si="28"/>
        <v>27298092.95823809</v>
      </c>
      <c r="D150" s="484">
        <f t="shared" si="24"/>
        <v>690501.9378574342</v>
      </c>
      <c r="E150" s="484">
        <f t="shared" si="29"/>
        <v>0</v>
      </c>
      <c r="F150" s="484">
        <f t="shared" si="30"/>
        <v>27988594.896095525</v>
      </c>
      <c r="G150" s="485">
        <f t="shared" si="31"/>
        <v>2798.8594896095524</v>
      </c>
      <c r="H150" s="475">
        <f t="shared" si="32"/>
        <v>883.4405103904478</v>
      </c>
      <c r="I150" s="380">
        <f t="shared" si="33"/>
        <v>0</v>
      </c>
      <c r="J150" s="380">
        <f t="shared" si="34"/>
        <v>0</v>
      </c>
      <c r="K150" s="476">
        <f t="shared" si="25"/>
        <v>706.7524083123583</v>
      </c>
      <c r="L150" s="500">
        <f t="shared" si="26"/>
        <v>7067524.083123582</v>
      </c>
      <c r="M150" s="486">
        <v>7118396.820148293</v>
      </c>
      <c r="N150" s="486"/>
      <c r="O150" s="495">
        <v>425</v>
      </c>
      <c r="P150" s="496" t="s">
        <v>968</v>
      </c>
      <c r="Q150" s="488">
        <v>0</v>
      </c>
      <c r="R150" s="489" t="s">
        <v>781</v>
      </c>
      <c r="U150" s="490" t="s">
        <v>188</v>
      </c>
      <c r="V150" s="491">
        <v>21</v>
      </c>
      <c r="W150" s="492">
        <v>28807032.77</v>
      </c>
      <c r="X150" s="493">
        <f t="shared" si="35"/>
        <v>137176346.52380952</v>
      </c>
      <c r="Y150" s="492">
        <v>690501.9378574342</v>
      </c>
      <c r="Z150" s="492">
        <v>0</v>
      </c>
      <c r="AC150">
        <v>425</v>
      </c>
      <c r="AD150">
        <f t="shared" si="27"/>
        <v>0</v>
      </c>
      <c r="AF150" s="494"/>
    </row>
    <row r="151" spans="1:32" ht="12">
      <c r="A151" s="468" t="s">
        <v>969</v>
      </c>
      <c r="B151" s="483">
        <v>12301</v>
      </c>
      <c r="C151" s="484">
        <f t="shared" si="28"/>
        <v>32988957.729116276</v>
      </c>
      <c r="D151" s="484">
        <f t="shared" si="24"/>
        <v>1392120.1884733376</v>
      </c>
      <c r="E151" s="484">
        <f t="shared" si="29"/>
        <v>0</v>
      </c>
      <c r="F151" s="484">
        <f t="shared" si="30"/>
        <v>34381077.91758961</v>
      </c>
      <c r="G151" s="485">
        <f t="shared" si="31"/>
        <v>2794.9823524583053</v>
      </c>
      <c r="H151" s="475">
        <f t="shared" si="32"/>
        <v>887.3176475416949</v>
      </c>
      <c r="I151" s="380">
        <f t="shared" si="33"/>
        <v>0</v>
      </c>
      <c r="J151" s="380">
        <f t="shared" si="34"/>
        <v>0</v>
      </c>
      <c r="K151" s="476">
        <f t="shared" si="25"/>
        <v>709.8541180333559</v>
      </c>
      <c r="L151" s="500">
        <f t="shared" si="26"/>
        <v>8731915.505928311</v>
      </c>
      <c r="M151" s="486">
        <v>8857004.6063293</v>
      </c>
      <c r="N151" s="486"/>
      <c r="O151" s="495">
        <v>426</v>
      </c>
      <c r="P151" s="391" t="s">
        <v>969</v>
      </c>
      <c r="Q151" s="488">
        <v>0</v>
      </c>
      <c r="R151" s="489" t="s">
        <v>850</v>
      </c>
      <c r="U151" s="490" t="s">
        <v>189</v>
      </c>
      <c r="V151" s="491">
        <v>21.5</v>
      </c>
      <c r="W151" s="492">
        <v>35641336.24</v>
      </c>
      <c r="X151" s="493">
        <f t="shared" si="35"/>
        <v>165773656.93023255</v>
      </c>
      <c r="Y151" s="492">
        <v>1392120.1884733376</v>
      </c>
      <c r="Z151" s="492">
        <v>0</v>
      </c>
      <c r="AC151">
        <v>426</v>
      </c>
      <c r="AD151">
        <f t="shared" si="27"/>
        <v>0</v>
      </c>
      <c r="AF151" s="494"/>
    </row>
    <row r="152" spans="1:32" ht="12">
      <c r="A152" s="482" t="s">
        <v>970</v>
      </c>
      <c r="B152" s="483">
        <v>16267</v>
      </c>
      <c r="C152" s="484">
        <f t="shared" si="28"/>
        <v>43943481.24717073</v>
      </c>
      <c r="D152" s="484">
        <f t="shared" si="24"/>
        <v>3288011.6380786463</v>
      </c>
      <c r="E152" s="484">
        <f t="shared" si="29"/>
        <v>0</v>
      </c>
      <c r="F152" s="484">
        <f t="shared" si="30"/>
        <v>47231492.88524938</v>
      </c>
      <c r="G152" s="485">
        <f t="shared" si="31"/>
        <v>2903.515884013609</v>
      </c>
      <c r="H152" s="475">
        <f t="shared" si="32"/>
        <v>778.784115986391</v>
      </c>
      <c r="I152" s="380">
        <f t="shared" si="33"/>
        <v>0</v>
      </c>
      <c r="J152" s="380">
        <f t="shared" si="34"/>
        <v>0</v>
      </c>
      <c r="K152" s="476">
        <f t="shared" si="25"/>
        <v>623.0272927891128</v>
      </c>
      <c r="L152" s="500">
        <f t="shared" si="26"/>
        <v>10134784.971800499</v>
      </c>
      <c r="M152" s="486">
        <v>10633157.245510237</v>
      </c>
      <c r="N152" s="486"/>
      <c r="O152" s="487">
        <v>430</v>
      </c>
      <c r="P152" s="391" t="s">
        <v>970</v>
      </c>
      <c r="Q152" s="488">
        <v>0</v>
      </c>
      <c r="R152" s="489" t="s">
        <v>788</v>
      </c>
      <c r="U152" s="490" t="s">
        <v>191</v>
      </c>
      <c r="V152" s="491">
        <v>20.5</v>
      </c>
      <c r="W152" s="492">
        <v>45268410.33</v>
      </c>
      <c r="X152" s="493">
        <f t="shared" si="35"/>
        <v>220821513.80487806</v>
      </c>
      <c r="Y152" s="492">
        <v>3288011.6380786463</v>
      </c>
      <c r="Z152" s="492">
        <v>0</v>
      </c>
      <c r="AC152">
        <v>430</v>
      </c>
      <c r="AD152">
        <f t="shared" si="27"/>
        <v>0</v>
      </c>
      <c r="AF152" s="494"/>
    </row>
    <row r="153" spans="1:32" ht="12">
      <c r="A153" s="468" t="s">
        <v>971</v>
      </c>
      <c r="B153" s="483">
        <v>8098</v>
      </c>
      <c r="C153" s="484">
        <f t="shared" si="28"/>
        <v>22766570.527627908</v>
      </c>
      <c r="D153" s="484">
        <f t="shared" si="24"/>
        <v>1523472.5330972257</v>
      </c>
      <c r="E153" s="484">
        <f t="shared" si="29"/>
        <v>0</v>
      </c>
      <c r="F153" s="484">
        <f t="shared" si="30"/>
        <v>24290043.060725134</v>
      </c>
      <c r="G153" s="485">
        <f t="shared" si="31"/>
        <v>2999.5113683286163</v>
      </c>
      <c r="H153" s="475">
        <f t="shared" si="32"/>
        <v>682.7886316713839</v>
      </c>
      <c r="I153" s="380">
        <f t="shared" si="33"/>
        <v>0</v>
      </c>
      <c r="J153" s="380">
        <f t="shared" si="34"/>
        <v>0</v>
      </c>
      <c r="K153" s="476">
        <f t="shared" si="25"/>
        <v>546.2309053371072</v>
      </c>
      <c r="L153" s="500">
        <f t="shared" si="26"/>
        <v>4423377.871419894</v>
      </c>
      <c r="M153" s="486">
        <v>4309768.584167442</v>
      </c>
      <c r="N153" s="486"/>
      <c r="O153" s="495">
        <v>433</v>
      </c>
      <c r="P153" s="391" t="s">
        <v>971</v>
      </c>
      <c r="Q153" s="488">
        <v>0</v>
      </c>
      <c r="R153" s="489" t="s">
        <v>803</v>
      </c>
      <c r="U153" s="490" t="s">
        <v>192</v>
      </c>
      <c r="V153" s="491">
        <v>21.5</v>
      </c>
      <c r="W153" s="492">
        <v>24597048.56</v>
      </c>
      <c r="X153" s="493">
        <f t="shared" si="35"/>
        <v>114404877.02325581</v>
      </c>
      <c r="Y153" s="492">
        <v>1523472.5330972257</v>
      </c>
      <c r="Z153" s="492">
        <v>0</v>
      </c>
      <c r="AC153">
        <v>433</v>
      </c>
      <c r="AD153">
        <f t="shared" si="27"/>
        <v>0</v>
      </c>
      <c r="AF153" s="494"/>
    </row>
    <row r="154" spans="1:32" ht="12">
      <c r="A154" s="468" t="s">
        <v>972</v>
      </c>
      <c r="B154" s="483">
        <v>15208</v>
      </c>
      <c r="C154" s="484">
        <f t="shared" si="28"/>
        <v>46718743.99665822</v>
      </c>
      <c r="D154" s="484">
        <f t="shared" si="24"/>
        <v>8975857.650270656</v>
      </c>
      <c r="E154" s="484">
        <f t="shared" si="29"/>
        <v>1797721.8370000003</v>
      </c>
      <c r="F154" s="484">
        <f t="shared" si="30"/>
        <v>57492323.483928874</v>
      </c>
      <c r="G154" s="485">
        <f t="shared" si="31"/>
        <v>3780.400018669705</v>
      </c>
      <c r="H154" s="475">
        <f t="shared" si="32"/>
        <v>-98.1000186697047</v>
      </c>
      <c r="I154" s="380">
        <f t="shared" si="33"/>
        <v>4.585987556884293</v>
      </c>
      <c r="J154" s="380">
        <f t="shared" si="34"/>
        <v>34.58598755688429</v>
      </c>
      <c r="K154" s="476">
        <f t="shared" si="25"/>
        <v>-33.92886025040523</v>
      </c>
      <c r="L154" s="500">
        <f t="shared" si="26"/>
        <v>-515990.1066881627</v>
      </c>
      <c r="M154" s="486">
        <v>-1016454.2424518461</v>
      </c>
      <c r="N154" s="486"/>
      <c r="O154" s="495">
        <v>434</v>
      </c>
      <c r="P154" s="496" t="s">
        <v>973</v>
      </c>
      <c r="Q154" s="488">
        <v>1</v>
      </c>
      <c r="R154" s="489" t="s">
        <v>786</v>
      </c>
      <c r="U154" s="490" t="s">
        <v>193</v>
      </c>
      <c r="V154" s="491">
        <v>19.75</v>
      </c>
      <c r="W154" s="492">
        <v>46366592.66</v>
      </c>
      <c r="X154" s="493">
        <f t="shared" si="35"/>
        <v>234767557.7721519</v>
      </c>
      <c r="Y154" s="492">
        <v>8975857.650270656</v>
      </c>
      <c r="Z154" s="492">
        <v>115982054</v>
      </c>
      <c r="AC154">
        <v>434</v>
      </c>
      <c r="AD154">
        <f t="shared" si="27"/>
        <v>0</v>
      </c>
      <c r="AF154" s="494"/>
    </row>
    <row r="155" spans="1:32" ht="12">
      <c r="A155" s="468" t="s">
        <v>974</v>
      </c>
      <c r="B155" s="483">
        <v>756</v>
      </c>
      <c r="C155" s="484">
        <f t="shared" si="28"/>
        <v>1753242.5144864863</v>
      </c>
      <c r="D155" s="484">
        <f t="shared" si="24"/>
        <v>262912.69884563575</v>
      </c>
      <c r="E155" s="484">
        <f t="shared" si="29"/>
        <v>0</v>
      </c>
      <c r="F155" s="484">
        <f t="shared" si="30"/>
        <v>2016155.2133321222</v>
      </c>
      <c r="G155" s="485">
        <f t="shared" si="31"/>
        <v>2666.87197530704</v>
      </c>
      <c r="H155" s="475">
        <f t="shared" si="32"/>
        <v>1015.4280246929602</v>
      </c>
      <c r="I155" s="380">
        <f t="shared" si="33"/>
        <v>0</v>
      </c>
      <c r="J155" s="380">
        <f t="shared" si="34"/>
        <v>0</v>
      </c>
      <c r="K155" s="476">
        <f t="shared" si="25"/>
        <v>812.3424197543682</v>
      </c>
      <c r="L155" s="500">
        <f t="shared" si="26"/>
        <v>614130.8693343024</v>
      </c>
      <c r="M155" s="486">
        <v>620320.5832864866</v>
      </c>
      <c r="N155" s="486"/>
      <c r="O155" s="495">
        <v>435</v>
      </c>
      <c r="P155" s="391" t="s">
        <v>974</v>
      </c>
      <c r="Q155" s="488">
        <v>0</v>
      </c>
      <c r="R155" s="489" t="s">
        <v>814</v>
      </c>
      <c r="U155" s="490" t="s">
        <v>194</v>
      </c>
      <c r="V155" s="491">
        <v>18.5</v>
      </c>
      <c r="W155" s="492">
        <v>1629898.82</v>
      </c>
      <c r="X155" s="493">
        <f t="shared" si="35"/>
        <v>8810263.891891891</v>
      </c>
      <c r="Y155" s="492">
        <v>262912.69884563575</v>
      </c>
      <c r="Z155" s="492">
        <v>0</v>
      </c>
      <c r="AC155">
        <v>435</v>
      </c>
      <c r="AD155">
        <f t="shared" si="27"/>
        <v>0</v>
      </c>
      <c r="AF155" s="494"/>
    </row>
    <row r="156" spans="1:32" ht="12">
      <c r="A156" s="468" t="s">
        <v>975</v>
      </c>
      <c r="B156" s="483">
        <v>2105</v>
      </c>
      <c r="C156" s="484">
        <f t="shared" si="28"/>
        <v>4960951.185012048</v>
      </c>
      <c r="D156" s="484">
        <f t="shared" si="24"/>
        <v>151417.6773578761</v>
      </c>
      <c r="E156" s="484">
        <f t="shared" si="29"/>
        <v>0</v>
      </c>
      <c r="F156" s="484">
        <f t="shared" si="30"/>
        <v>5112368.862369924</v>
      </c>
      <c r="G156" s="485">
        <f t="shared" si="31"/>
        <v>2428.678794475023</v>
      </c>
      <c r="H156" s="475">
        <f t="shared" si="32"/>
        <v>1253.621205524977</v>
      </c>
      <c r="I156" s="380">
        <f t="shared" si="33"/>
        <v>0</v>
      </c>
      <c r="J156" s="380">
        <f t="shared" si="34"/>
        <v>0</v>
      </c>
      <c r="K156" s="476">
        <f t="shared" si="25"/>
        <v>1002.8969644199817</v>
      </c>
      <c r="L156" s="500">
        <f t="shared" si="26"/>
        <v>2111098.1101040617</v>
      </c>
      <c r="M156" s="486">
        <v>2133602.3548761443</v>
      </c>
      <c r="N156" s="486"/>
      <c r="O156" s="495">
        <v>436</v>
      </c>
      <c r="P156" s="391" t="s">
        <v>975</v>
      </c>
      <c r="Q156" s="488">
        <v>0</v>
      </c>
      <c r="R156" s="489" t="s">
        <v>781</v>
      </c>
      <c r="U156" s="490" t="s">
        <v>195</v>
      </c>
      <c r="V156" s="491">
        <v>20.75</v>
      </c>
      <c r="W156" s="492">
        <v>5172851.11</v>
      </c>
      <c r="X156" s="493">
        <f t="shared" si="35"/>
        <v>24929402.93975904</v>
      </c>
      <c r="Y156" s="492">
        <v>151417.6773578761</v>
      </c>
      <c r="Z156" s="492">
        <v>0</v>
      </c>
      <c r="AC156">
        <v>436</v>
      </c>
      <c r="AD156">
        <f t="shared" si="27"/>
        <v>0</v>
      </c>
      <c r="AF156" s="494"/>
    </row>
    <row r="157" spans="1:32" ht="12">
      <c r="A157" s="468" t="s">
        <v>976</v>
      </c>
      <c r="B157" s="483">
        <v>5176</v>
      </c>
      <c r="C157" s="484">
        <f t="shared" si="28"/>
        <v>13605145.440102562</v>
      </c>
      <c r="D157" s="484">
        <f t="shared" si="24"/>
        <v>339368.59742566483</v>
      </c>
      <c r="E157" s="484">
        <f t="shared" si="29"/>
        <v>0</v>
      </c>
      <c r="F157" s="484">
        <f t="shared" si="30"/>
        <v>13944514.037528228</v>
      </c>
      <c r="G157" s="485">
        <f t="shared" si="31"/>
        <v>2694.0714910216825</v>
      </c>
      <c r="H157" s="475">
        <f t="shared" si="32"/>
        <v>988.2285089783177</v>
      </c>
      <c r="I157" s="380">
        <f t="shared" si="33"/>
        <v>0</v>
      </c>
      <c r="J157" s="380">
        <f t="shared" si="34"/>
        <v>0</v>
      </c>
      <c r="K157" s="476">
        <f t="shared" si="25"/>
        <v>790.5828071826542</v>
      </c>
      <c r="L157" s="500">
        <f t="shared" si="26"/>
        <v>4092056.609977418</v>
      </c>
      <c r="M157" s="486">
        <v>4144178.447544613</v>
      </c>
      <c r="N157" s="486"/>
      <c r="O157" s="495">
        <v>440</v>
      </c>
      <c r="P157" s="496" t="s">
        <v>977</v>
      </c>
      <c r="Q157" s="488">
        <v>3</v>
      </c>
      <c r="R157" s="489" t="s">
        <v>859</v>
      </c>
      <c r="U157" s="490" t="s">
        <v>196</v>
      </c>
      <c r="V157" s="491">
        <v>19.5</v>
      </c>
      <c r="W157" s="492">
        <v>13331675.18</v>
      </c>
      <c r="X157" s="493">
        <f t="shared" si="35"/>
        <v>68367565.02564102</v>
      </c>
      <c r="Y157" s="492">
        <v>339368.59742566483</v>
      </c>
      <c r="Z157" s="492">
        <v>0</v>
      </c>
      <c r="AC157">
        <v>440</v>
      </c>
      <c r="AD157">
        <f t="shared" si="27"/>
        <v>0</v>
      </c>
      <c r="AF157" s="494"/>
    </row>
    <row r="158" spans="1:32" ht="12">
      <c r="A158" s="468" t="s">
        <v>978</v>
      </c>
      <c r="B158" s="483">
        <v>4831</v>
      </c>
      <c r="C158" s="484">
        <f t="shared" si="28"/>
        <v>12863913.552506328</v>
      </c>
      <c r="D158" s="484">
        <f t="shared" si="24"/>
        <v>1987840.3944758046</v>
      </c>
      <c r="E158" s="484">
        <f t="shared" si="29"/>
        <v>0</v>
      </c>
      <c r="F158" s="484">
        <f t="shared" si="30"/>
        <v>14851753.946982132</v>
      </c>
      <c r="G158" s="485">
        <f t="shared" si="31"/>
        <v>3074.260804591623</v>
      </c>
      <c r="H158" s="475">
        <f t="shared" si="32"/>
        <v>608.039195408377</v>
      </c>
      <c r="I158" s="380">
        <f t="shared" si="33"/>
        <v>0</v>
      </c>
      <c r="J158" s="380">
        <f t="shared" si="34"/>
        <v>0</v>
      </c>
      <c r="K158" s="476">
        <f t="shared" si="25"/>
        <v>486.4313563267017</v>
      </c>
      <c r="L158" s="500">
        <f t="shared" si="26"/>
        <v>2349949.882414296</v>
      </c>
      <c r="M158" s="486">
        <v>1987568.7530207597</v>
      </c>
      <c r="N158" s="486"/>
      <c r="O158" s="495">
        <v>441</v>
      </c>
      <c r="P158" s="391" t="s">
        <v>978</v>
      </c>
      <c r="Q158" s="488">
        <v>0</v>
      </c>
      <c r="R158" s="489" t="s">
        <v>861</v>
      </c>
      <c r="U158" s="490" t="s">
        <v>197</v>
      </c>
      <c r="V158" s="491">
        <v>19.75</v>
      </c>
      <c r="W158" s="492">
        <v>12766949.38</v>
      </c>
      <c r="X158" s="493">
        <f t="shared" si="35"/>
        <v>64642781.67088608</v>
      </c>
      <c r="Y158" s="492">
        <v>1987840.3944758046</v>
      </c>
      <c r="Z158" s="492">
        <v>0</v>
      </c>
      <c r="AC158">
        <v>441</v>
      </c>
      <c r="AD158">
        <f t="shared" si="27"/>
        <v>0</v>
      </c>
      <c r="AF158" s="494"/>
    </row>
    <row r="159" spans="1:32" s="498" customFormat="1" ht="12.75">
      <c r="A159" s="482" t="s">
        <v>979</v>
      </c>
      <c r="B159" s="483">
        <v>47149</v>
      </c>
      <c r="C159" s="484">
        <f t="shared" si="28"/>
        <v>162308256.50351217</v>
      </c>
      <c r="D159" s="484">
        <f t="shared" si="24"/>
        <v>6068072.8820793135</v>
      </c>
      <c r="E159" s="484">
        <f t="shared" si="29"/>
        <v>0</v>
      </c>
      <c r="F159" s="484">
        <f t="shared" si="30"/>
        <v>168376329.38559148</v>
      </c>
      <c r="G159" s="485">
        <f t="shared" si="31"/>
        <v>3571.1537760205197</v>
      </c>
      <c r="H159" s="475">
        <f t="shared" si="32"/>
        <v>111.14622397948051</v>
      </c>
      <c r="I159" s="380">
        <f t="shared" si="33"/>
        <v>0</v>
      </c>
      <c r="J159" s="380">
        <f t="shared" si="34"/>
        <v>0</v>
      </c>
      <c r="K159" s="476">
        <f t="shared" si="25"/>
        <v>88.91697918358442</v>
      </c>
      <c r="L159" s="500">
        <f t="shared" si="26"/>
        <v>4192346.651526822</v>
      </c>
      <c r="M159" s="486">
        <v>4347062.086540475</v>
      </c>
      <c r="N159" s="486"/>
      <c r="O159" s="487">
        <v>444</v>
      </c>
      <c r="P159" s="496" t="s">
        <v>980</v>
      </c>
      <c r="Q159" s="488">
        <v>1</v>
      </c>
      <c r="R159" s="489" t="s">
        <v>786</v>
      </c>
      <c r="S159"/>
      <c r="T159"/>
      <c r="U159" s="490" t="s">
        <v>190</v>
      </c>
      <c r="V159" s="491">
        <v>20.5</v>
      </c>
      <c r="W159" s="492">
        <v>167201972.78</v>
      </c>
      <c r="X159" s="493">
        <f t="shared" si="35"/>
        <v>815619379.4146341</v>
      </c>
      <c r="Y159" s="492">
        <v>6068072.8820793135</v>
      </c>
      <c r="Z159" s="492">
        <v>0</v>
      </c>
      <c r="AA159" s="1"/>
      <c r="AB159"/>
      <c r="AC159">
        <v>444</v>
      </c>
      <c r="AD159">
        <f t="shared" si="27"/>
        <v>0</v>
      </c>
      <c r="AE159"/>
      <c r="AF159" s="494"/>
    </row>
    <row r="160" spans="1:32" ht="12.75">
      <c r="A160" s="482" t="s">
        <v>397</v>
      </c>
      <c r="B160" s="483">
        <v>15398</v>
      </c>
      <c r="C160" s="484">
        <f t="shared" si="28"/>
        <v>54021640.505265824</v>
      </c>
      <c r="D160" s="484">
        <f t="shared" si="24"/>
        <v>2055743.498089528</v>
      </c>
      <c r="E160" s="484">
        <f t="shared" si="29"/>
        <v>0</v>
      </c>
      <c r="F160" s="484">
        <f t="shared" si="30"/>
        <v>56077384.003355354</v>
      </c>
      <c r="G160" s="485">
        <f t="shared" si="31"/>
        <v>3641.8615406777085</v>
      </c>
      <c r="H160" s="475">
        <f t="shared" si="32"/>
        <v>40.43845932229169</v>
      </c>
      <c r="I160" s="380">
        <f t="shared" si="33"/>
        <v>0</v>
      </c>
      <c r="J160" s="380">
        <f t="shared" si="34"/>
        <v>0</v>
      </c>
      <c r="K160" s="476">
        <f t="shared" si="25"/>
        <v>32.350767457833356</v>
      </c>
      <c r="L160" s="500">
        <f t="shared" si="26"/>
        <v>498137.11731571803</v>
      </c>
      <c r="M160" s="486">
        <v>733307.1106592388</v>
      </c>
      <c r="N160" s="486"/>
      <c r="O160" s="487">
        <v>445</v>
      </c>
      <c r="P160" s="496" t="s">
        <v>981</v>
      </c>
      <c r="Q160" s="488">
        <v>3</v>
      </c>
      <c r="R160" s="489" t="s">
        <v>788</v>
      </c>
      <c r="U160" s="490" t="s">
        <v>397</v>
      </c>
      <c r="V160" s="491">
        <v>19.75</v>
      </c>
      <c r="W160" s="492">
        <v>53614442.21</v>
      </c>
      <c r="X160" s="493">
        <f t="shared" si="35"/>
        <v>271465530.1772152</v>
      </c>
      <c r="Y160" s="492">
        <v>2055743.498089528</v>
      </c>
      <c r="Z160" s="492">
        <v>0</v>
      </c>
      <c r="AA160" s="498"/>
      <c r="AC160">
        <v>445</v>
      </c>
      <c r="AD160">
        <f t="shared" si="27"/>
        <v>0</v>
      </c>
      <c r="AF160" s="494"/>
    </row>
    <row r="161" spans="1:32" ht="12.75">
      <c r="A161" s="468" t="s">
        <v>982</v>
      </c>
      <c r="B161" s="483">
        <v>5517</v>
      </c>
      <c r="C161" s="484">
        <f t="shared" si="28"/>
        <v>15357594.030418603</v>
      </c>
      <c r="D161" s="484">
        <f t="shared" si="24"/>
        <v>978524.9274031973</v>
      </c>
      <c r="E161" s="484">
        <f t="shared" si="29"/>
        <v>0</v>
      </c>
      <c r="F161" s="484">
        <f t="shared" si="30"/>
        <v>16336118.9578218</v>
      </c>
      <c r="G161" s="485">
        <f t="shared" si="31"/>
        <v>2961.0511070911366</v>
      </c>
      <c r="H161" s="475">
        <f t="shared" si="32"/>
        <v>721.2488929088636</v>
      </c>
      <c r="I161" s="380">
        <f t="shared" si="33"/>
        <v>0</v>
      </c>
      <c r="J161" s="380">
        <f t="shared" si="34"/>
        <v>0</v>
      </c>
      <c r="K161" s="476">
        <f t="shared" si="25"/>
        <v>576.9991143270909</v>
      </c>
      <c r="L161" s="500">
        <f t="shared" si="26"/>
        <v>3183304.11374256</v>
      </c>
      <c r="M161" s="486">
        <v>3160420.842065114</v>
      </c>
      <c r="N161" s="486"/>
      <c r="O161" s="495">
        <v>475</v>
      </c>
      <c r="P161" s="496" t="s">
        <v>983</v>
      </c>
      <c r="Q161" s="488">
        <v>3</v>
      </c>
      <c r="R161" s="489" t="s">
        <v>859</v>
      </c>
      <c r="U161" s="490" t="s">
        <v>198</v>
      </c>
      <c r="V161" s="491">
        <v>21.5</v>
      </c>
      <c r="W161" s="492">
        <v>16592375.46</v>
      </c>
      <c r="X161" s="493">
        <f t="shared" si="35"/>
        <v>77173839.34883721</v>
      </c>
      <c r="Y161" s="492">
        <v>978524.9274031973</v>
      </c>
      <c r="Z161" s="492">
        <v>0</v>
      </c>
      <c r="AB161" s="498"/>
      <c r="AC161" s="498">
        <v>475</v>
      </c>
      <c r="AD161">
        <f t="shared" si="27"/>
        <v>0</v>
      </c>
      <c r="AE161" s="498"/>
      <c r="AF161" s="494"/>
    </row>
    <row r="162" spans="1:32" ht="12">
      <c r="A162" s="468" t="s">
        <v>984</v>
      </c>
      <c r="B162" s="483">
        <v>2021</v>
      </c>
      <c r="C162" s="484">
        <f t="shared" si="28"/>
        <v>5482118.696938272</v>
      </c>
      <c r="D162" s="484">
        <f t="shared" si="24"/>
        <v>309000.2199753728</v>
      </c>
      <c r="E162" s="484">
        <f t="shared" si="29"/>
        <v>0</v>
      </c>
      <c r="F162" s="484">
        <f t="shared" si="30"/>
        <v>5791118.916913644</v>
      </c>
      <c r="G162" s="485">
        <f t="shared" si="31"/>
        <v>2865.4720024312937</v>
      </c>
      <c r="H162" s="475">
        <f t="shared" si="32"/>
        <v>816.8279975687065</v>
      </c>
      <c r="I162" s="380">
        <f t="shared" si="33"/>
        <v>0</v>
      </c>
      <c r="J162" s="380">
        <f t="shared" si="34"/>
        <v>0</v>
      </c>
      <c r="K162" s="476">
        <f t="shared" si="25"/>
        <v>653.4623980549652</v>
      </c>
      <c r="L162" s="500">
        <f t="shared" si="26"/>
        <v>1320647.5064690846</v>
      </c>
      <c r="M162" s="486">
        <v>1324487.5947772835</v>
      </c>
      <c r="N162" s="486"/>
      <c r="O162" s="495">
        <v>480</v>
      </c>
      <c r="P162" s="391" t="s">
        <v>984</v>
      </c>
      <c r="Q162" s="488">
        <v>0</v>
      </c>
      <c r="R162" s="489" t="s">
        <v>788</v>
      </c>
      <c r="U162" s="490" t="s">
        <v>199</v>
      </c>
      <c r="V162" s="491">
        <v>20.25</v>
      </c>
      <c r="W162" s="492">
        <v>5578537.87</v>
      </c>
      <c r="X162" s="493">
        <f t="shared" si="35"/>
        <v>27548335.16049383</v>
      </c>
      <c r="Y162" s="492">
        <v>309000.2199753728</v>
      </c>
      <c r="Z162" s="492">
        <v>0</v>
      </c>
      <c r="AC162">
        <v>480</v>
      </c>
      <c r="AD162">
        <f t="shared" si="27"/>
        <v>0</v>
      </c>
      <c r="AF162" s="494"/>
    </row>
    <row r="163" spans="1:32" ht="12">
      <c r="A163" s="482" t="s">
        <v>985</v>
      </c>
      <c r="B163" s="483">
        <v>9675</v>
      </c>
      <c r="C163" s="484">
        <f t="shared" si="28"/>
        <v>34582943.04612048</v>
      </c>
      <c r="D163" s="484">
        <f t="shared" si="24"/>
        <v>1482626.205403307</v>
      </c>
      <c r="E163" s="484">
        <f t="shared" si="29"/>
        <v>0</v>
      </c>
      <c r="F163" s="484">
        <f t="shared" si="30"/>
        <v>36065569.251523785</v>
      </c>
      <c r="G163" s="485">
        <f t="shared" si="31"/>
        <v>3727.707416178169</v>
      </c>
      <c r="H163" s="475">
        <f t="shared" si="32"/>
        <v>-45.40741617816866</v>
      </c>
      <c r="I163" s="380">
        <f t="shared" si="33"/>
        <v>3.8156754436488676</v>
      </c>
      <c r="J163" s="380">
        <f t="shared" si="34"/>
        <v>33.81567544364887</v>
      </c>
      <c r="K163" s="476">
        <f t="shared" si="25"/>
        <v>-15.354824482156426</v>
      </c>
      <c r="L163" s="500">
        <f t="shared" si="26"/>
        <v>-148557.92686486343</v>
      </c>
      <c r="M163" s="486">
        <v>-56413.00413712423</v>
      </c>
      <c r="N163" s="486"/>
      <c r="O163" s="487">
        <v>481</v>
      </c>
      <c r="P163" s="391" t="s">
        <v>985</v>
      </c>
      <c r="Q163" s="488">
        <v>0</v>
      </c>
      <c r="R163" s="489" t="s">
        <v>788</v>
      </c>
      <c r="U163" s="490" t="s">
        <v>200</v>
      </c>
      <c r="V163" s="491">
        <v>20.75</v>
      </c>
      <c r="W163" s="492">
        <v>36060103.93</v>
      </c>
      <c r="X163" s="493">
        <f t="shared" si="35"/>
        <v>173783633.39759037</v>
      </c>
      <c r="Y163" s="492">
        <v>1482626.205403307</v>
      </c>
      <c r="Z163" s="492">
        <v>0</v>
      </c>
      <c r="AC163">
        <v>481</v>
      </c>
      <c r="AD163">
        <f t="shared" si="27"/>
        <v>0</v>
      </c>
      <c r="AF163" s="494"/>
    </row>
    <row r="164" spans="1:32" ht="12.75">
      <c r="A164" s="468" t="s">
        <v>986</v>
      </c>
      <c r="B164" s="483">
        <v>1131</v>
      </c>
      <c r="C164" s="484">
        <f t="shared" si="28"/>
        <v>2018368.7087906979</v>
      </c>
      <c r="D164" s="484">
        <f t="shared" si="24"/>
        <v>126240.15467944121</v>
      </c>
      <c r="E164" s="484">
        <f t="shared" si="29"/>
        <v>0</v>
      </c>
      <c r="F164" s="484">
        <f t="shared" si="30"/>
        <v>2144608.863470139</v>
      </c>
      <c r="G164" s="485">
        <f t="shared" si="31"/>
        <v>1896.2058916623687</v>
      </c>
      <c r="H164" s="475">
        <f t="shared" si="32"/>
        <v>1786.0941083376315</v>
      </c>
      <c r="I164" s="380">
        <f t="shared" si="33"/>
        <v>0</v>
      </c>
      <c r="J164" s="380">
        <f t="shared" si="34"/>
        <v>0</v>
      </c>
      <c r="K164" s="476">
        <f t="shared" si="25"/>
        <v>1428.8752866701052</v>
      </c>
      <c r="L164" s="500">
        <f t="shared" si="26"/>
        <v>1616057.949223889</v>
      </c>
      <c r="M164" s="486">
        <v>1600403.312338605</v>
      </c>
      <c r="N164" s="486"/>
      <c r="O164" s="495">
        <v>483</v>
      </c>
      <c r="P164" s="391" t="s">
        <v>986</v>
      </c>
      <c r="Q164" s="488">
        <v>0</v>
      </c>
      <c r="R164" s="489" t="s">
        <v>781</v>
      </c>
      <c r="U164" s="490" t="s">
        <v>201</v>
      </c>
      <c r="V164" s="491">
        <v>21.5</v>
      </c>
      <c r="W164" s="492">
        <v>2180649.61</v>
      </c>
      <c r="X164" s="493">
        <f t="shared" si="35"/>
        <v>10142556.325581396</v>
      </c>
      <c r="Y164" s="492">
        <v>126240.15467944121</v>
      </c>
      <c r="Z164" s="492">
        <v>0</v>
      </c>
      <c r="AA164" s="498"/>
      <c r="AC164">
        <v>483</v>
      </c>
      <c r="AD164">
        <f t="shared" si="27"/>
        <v>0</v>
      </c>
      <c r="AF164" s="494"/>
    </row>
    <row r="165" spans="1:32" s="5" customFormat="1" ht="12">
      <c r="A165" s="468" t="s">
        <v>987</v>
      </c>
      <c r="B165" s="483">
        <v>3169</v>
      </c>
      <c r="C165" s="484">
        <f t="shared" si="28"/>
        <v>7677597.793743589</v>
      </c>
      <c r="D165" s="484">
        <f t="shared" si="24"/>
        <v>710106.0319179071</v>
      </c>
      <c r="E165" s="484">
        <f t="shared" si="29"/>
        <v>0</v>
      </c>
      <c r="F165" s="484">
        <f t="shared" si="30"/>
        <v>8387703.825661496</v>
      </c>
      <c r="G165" s="485">
        <f t="shared" si="31"/>
        <v>2646.7983040900904</v>
      </c>
      <c r="H165" s="475">
        <f t="shared" si="32"/>
        <v>1035.5016959099098</v>
      </c>
      <c r="I165" s="380">
        <f t="shared" si="33"/>
        <v>0</v>
      </c>
      <c r="J165" s="380">
        <f t="shared" si="34"/>
        <v>0</v>
      </c>
      <c r="K165" s="476">
        <f t="shared" si="25"/>
        <v>828.4013567279279</v>
      </c>
      <c r="L165" s="500">
        <f t="shared" si="26"/>
        <v>2625203.899470804</v>
      </c>
      <c r="M165" s="486">
        <v>2512912.2807589746</v>
      </c>
      <c r="N165" s="486"/>
      <c r="O165" s="495">
        <v>484</v>
      </c>
      <c r="P165" s="496" t="s">
        <v>988</v>
      </c>
      <c r="Q165" s="488">
        <v>0</v>
      </c>
      <c r="R165" s="489" t="s">
        <v>798</v>
      </c>
      <c r="S165"/>
      <c r="T165"/>
      <c r="U165" s="490" t="s">
        <v>202</v>
      </c>
      <c r="V165" s="491">
        <v>19.5</v>
      </c>
      <c r="W165" s="492">
        <v>7523274.22</v>
      </c>
      <c r="X165" s="493">
        <f t="shared" si="35"/>
        <v>38580893.43589743</v>
      </c>
      <c r="Y165" s="492">
        <v>710106.0319179071</v>
      </c>
      <c r="Z165" s="492">
        <v>0</v>
      </c>
      <c r="AA165"/>
      <c r="AB165"/>
      <c r="AC165">
        <v>484</v>
      </c>
      <c r="AD165">
        <f t="shared" si="27"/>
        <v>0</v>
      </c>
      <c r="AE165"/>
      <c r="AF165" s="494"/>
    </row>
    <row r="166" spans="1:32" ht="12">
      <c r="A166" s="468" t="s">
        <v>989</v>
      </c>
      <c r="B166" s="483">
        <v>2034</v>
      </c>
      <c r="C166" s="484">
        <f t="shared" si="28"/>
        <v>4427662.0619</v>
      </c>
      <c r="D166" s="484">
        <f t="shared" si="24"/>
        <v>755792.038212727</v>
      </c>
      <c r="E166" s="484">
        <f t="shared" si="29"/>
        <v>0</v>
      </c>
      <c r="F166" s="484">
        <f t="shared" si="30"/>
        <v>5183454.100112727</v>
      </c>
      <c r="G166" s="485">
        <f t="shared" si="31"/>
        <v>2548.40417901314</v>
      </c>
      <c r="H166" s="475">
        <f t="shared" si="32"/>
        <v>1133.8958209868601</v>
      </c>
      <c r="I166" s="380">
        <f t="shared" si="33"/>
        <v>0</v>
      </c>
      <c r="J166" s="380">
        <f t="shared" si="34"/>
        <v>0</v>
      </c>
      <c r="K166" s="476">
        <f t="shared" si="25"/>
        <v>907.1166567894882</v>
      </c>
      <c r="L166" s="500">
        <f t="shared" si="26"/>
        <v>1845075.279909819</v>
      </c>
      <c r="M166" s="486">
        <v>1831417.3490280004</v>
      </c>
      <c r="N166" s="486"/>
      <c r="O166" s="495">
        <v>489</v>
      </c>
      <c r="P166" s="391" t="s">
        <v>989</v>
      </c>
      <c r="Q166" s="488">
        <v>0</v>
      </c>
      <c r="R166" s="489" t="s">
        <v>812</v>
      </c>
      <c r="U166" s="490" t="s">
        <v>203</v>
      </c>
      <c r="V166" s="491">
        <v>20</v>
      </c>
      <c r="W166" s="492">
        <v>4449911.62</v>
      </c>
      <c r="X166" s="493">
        <f t="shared" si="35"/>
        <v>22249558.1</v>
      </c>
      <c r="Y166" s="492">
        <v>755792.038212727</v>
      </c>
      <c r="Z166" s="492">
        <v>0</v>
      </c>
      <c r="AC166">
        <v>489</v>
      </c>
      <c r="AD166">
        <f t="shared" si="27"/>
        <v>0</v>
      </c>
      <c r="AF166" s="494"/>
    </row>
    <row r="167" spans="1:32" ht="12">
      <c r="A167" s="468" t="s">
        <v>990</v>
      </c>
      <c r="B167" s="483">
        <v>54517</v>
      </c>
      <c r="C167" s="484">
        <f t="shared" si="28"/>
        <v>162093083.5017073</v>
      </c>
      <c r="D167" s="484">
        <f t="shared" si="24"/>
        <v>12065867.187524555</v>
      </c>
      <c r="E167" s="484">
        <f t="shared" si="29"/>
        <v>0</v>
      </c>
      <c r="F167" s="484">
        <f t="shared" si="30"/>
        <v>174158950.68923184</v>
      </c>
      <c r="G167" s="485">
        <f t="shared" si="31"/>
        <v>3194.5806021833896</v>
      </c>
      <c r="H167" s="475">
        <f t="shared" si="32"/>
        <v>487.7193978166106</v>
      </c>
      <c r="I167" s="380">
        <f t="shared" si="33"/>
        <v>0</v>
      </c>
      <c r="J167" s="380">
        <f t="shared" si="34"/>
        <v>0</v>
      </c>
      <c r="K167" s="476">
        <f t="shared" si="25"/>
        <v>390.1755182532885</v>
      </c>
      <c r="L167" s="500">
        <f t="shared" si="26"/>
        <v>21271198.728614528</v>
      </c>
      <c r="M167" s="486">
        <v>20439862.015164003</v>
      </c>
      <c r="N167" s="486"/>
      <c r="O167" s="495">
        <v>491</v>
      </c>
      <c r="P167" s="496" t="s">
        <v>991</v>
      </c>
      <c r="Q167" s="488">
        <v>0</v>
      </c>
      <c r="R167" s="489" t="s">
        <v>791</v>
      </c>
      <c r="U167" s="490" t="s">
        <v>204</v>
      </c>
      <c r="V167" s="491">
        <v>20.5</v>
      </c>
      <c r="W167" s="492">
        <v>166980312.15</v>
      </c>
      <c r="X167" s="493">
        <f t="shared" si="35"/>
        <v>814538108.0487804</v>
      </c>
      <c r="Y167" s="492">
        <v>12065867.187524555</v>
      </c>
      <c r="Z167" s="492">
        <v>0</v>
      </c>
      <c r="AB167" s="5"/>
      <c r="AC167" s="5">
        <v>491</v>
      </c>
      <c r="AD167">
        <f t="shared" si="27"/>
        <v>0</v>
      </c>
      <c r="AE167" s="5"/>
      <c r="AF167" s="494"/>
    </row>
    <row r="168" spans="1:32" ht="12">
      <c r="A168" s="468" t="s">
        <v>992</v>
      </c>
      <c r="B168" s="483">
        <v>8995</v>
      </c>
      <c r="C168" s="484">
        <f t="shared" si="28"/>
        <v>23767767.53346341</v>
      </c>
      <c r="D168" s="484">
        <f t="shared" si="24"/>
        <v>1024850.8319687096</v>
      </c>
      <c r="E168" s="484">
        <f t="shared" si="29"/>
        <v>0</v>
      </c>
      <c r="F168" s="484">
        <f t="shared" si="30"/>
        <v>24792618.36543212</v>
      </c>
      <c r="G168" s="485">
        <f t="shared" si="31"/>
        <v>2756.2666331775567</v>
      </c>
      <c r="H168" s="475">
        <f t="shared" si="32"/>
        <v>926.0333668224434</v>
      </c>
      <c r="I168" s="380">
        <f t="shared" si="33"/>
        <v>0</v>
      </c>
      <c r="J168" s="380">
        <f t="shared" si="34"/>
        <v>0</v>
      </c>
      <c r="K168" s="476">
        <f t="shared" si="25"/>
        <v>740.8266934579548</v>
      </c>
      <c r="L168" s="500">
        <f t="shared" si="26"/>
        <v>6663736.107654303</v>
      </c>
      <c r="M168" s="486">
        <v>6711839.367110245</v>
      </c>
      <c r="N168" s="486"/>
      <c r="O168" s="495">
        <v>494</v>
      </c>
      <c r="P168" s="391" t="s">
        <v>992</v>
      </c>
      <c r="Q168" s="488">
        <v>0</v>
      </c>
      <c r="R168" s="489" t="s">
        <v>781</v>
      </c>
      <c r="U168" s="490" t="s">
        <v>205</v>
      </c>
      <c r="V168" s="491">
        <v>20.5</v>
      </c>
      <c r="W168" s="492">
        <v>24484383.64</v>
      </c>
      <c r="X168" s="493">
        <f t="shared" si="35"/>
        <v>119436017.75609756</v>
      </c>
      <c r="Y168" s="492">
        <v>1024850.8319687096</v>
      </c>
      <c r="Z168" s="492">
        <v>0</v>
      </c>
      <c r="AC168">
        <v>494</v>
      </c>
      <c r="AD168">
        <f t="shared" si="27"/>
        <v>0</v>
      </c>
      <c r="AF168" s="494"/>
    </row>
    <row r="169" spans="1:32" ht="12">
      <c r="A169" s="468" t="s">
        <v>993</v>
      </c>
      <c r="B169" s="483">
        <v>1663</v>
      </c>
      <c r="C169" s="484">
        <f t="shared" si="28"/>
        <v>3560781.5678160917</v>
      </c>
      <c r="D169" s="484">
        <f t="shared" si="24"/>
        <v>986513.5880540607</v>
      </c>
      <c r="E169" s="484">
        <f t="shared" si="29"/>
        <v>0</v>
      </c>
      <c r="F169" s="484">
        <f t="shared" si="30"/>
        <v>4547295.155870153</v>
      </c>
      <c r="G169" s="485">
        <f t="shared" si="31"/>
        <v>2734.392757588787</v>
      </c>
      <c r="H169" s="475">
        <f t="shared" si="32"/>
        <v>947.9072424112132</v>
      </c>
      <c r="I169" s="380">
        <f t="shared" si="33"/>
        <v>0</v>
      </c>
      <c r="J169" s="380">
        <f t="shared" si="34"/>
        <v>0</v>
      </c>
      <c r="K169" s="476">
        <f t="shared" si="25"/>
        <v>758.3257939289706</v>
      </c>
      <c r="L169" s="500">
        <f t="shared" si="26"/>
        <v>1261095.7953038781</v>
      </c>
      <c r="M169" s="486">
        <v>1292459.5345434488</v>
      </c>
      <c r="N169" s="486"/>
      <c r="O169" s="495">
        <v>495</v>
      </c>
      <c r="P169" s="391" t="s">
        <v>993</v>
      </c>
      <c r="Q169" s="488">
        <v>0</v>
      </c>
      <c r="R169" s="489" t="s">
        <v>814</v>
      </c>
      <c r="U169" s="490" t="s">
        <v>206</v>
      </c>
      <c r="V169" s="491">
        <v>21.75</v>
      </c>
      <c r="W169" s="492">
        <v>3891809</v>
      </c>
      <c r="X169" s="493">
        <f t="shared" si="35"/>
        <v>17893374.71264368</v>
      </c>
      <c r="Y169" s="492">
        <v>986513.5880540607</v>
      </c>
      <c r="Z169" s="492">
        <v>0</v>
      </c>
      <c r="AC169">
        <v>495</v>
      </c>
      <c r="AD169">
        <f t="shared" si="27"/>
        <v>0</v>
      </c>
      <c r="AF169" s="494"/>
    </row>
    <row r="170" spans="1:32" s="1" customFormat="1" ht="12.75">
      <c r="A170" s="468" t="s">
        <v>994</v>
      </c>
      <c r="B170" s="483">
        <v>2350</v>
      </c>
      <c r="C170" s="484">
        <f t="shared" si="28"/>
        <v>6444107.151999999</v>
      </c>
      <c r="D170" s="484">
        <f t="shared" si="24"/>
        <v>677528.7256371846</v>
      </c>
      <c r="E170" s="484">
        <f t="shared" si="29"/>
        <v>0</v>
      </c>
      <c r="F170" s="484">
        <f t="shared" si="30"/>
        <v>7121635.877637183</v>
      </c>
      <c r="G170" s="485">
        <f t="shared" si="31"/>
        <v>3030.4833521860355</v>
      </c>
      <c r="H170" s="475">
        <f t="shared" si="32"/>
        <v>651.8166478139647</v>
      </c>
      <c r="I170" s="380">
        <f t="shared" si="33"/>
        <v>0</v>
      </c>
      <c r="J170" s="380">
        <f t="shared" si="34"/>
        <v>0</v>
      </c>
      <c r="K170" s="476">
        <f t="shared" si="25"/>
        <v>521.4533182511717</v>
      </c>
      <c r="L170" s="500">
        <f t="shared" si="26"/>
        <v>1225415.2978902536</v>
      </c>
      <c r="M170" s="486">
        <v>1303365.4715733344</v>
      </c>
      <c r="N170" s="486"/>
      <c r="O170" s="495">
        <v>498</v>
      </c>
      <c r="P170" s="391" t="s">
        <v>994</v>
      </c>
      <c r="Q170" s="488">
        <v>0</v>
      </c>
      <c r="R170" s="489" t="s">
        <v>794</v>
      </c>
      <c r="S170"/>
      <c r="T170"/>
      <c r="U170" s="490" t="s">
        <v>207</v>
      </c>
      <c r="V170" s="491">
        <v>21.5</v>
      </c>
      <c r="W170" s="492">
        <v>6962226.32</v>
      </c>
      <c r="X170" s="493">
        <f t="shared" si="35"/>
        <v>32382448</v>
      </c>
      <c r="Y170" s="492">
        <v>677528.7256371846</v>
      </c>
      <c r="Z170" s="492">
        <v>0</v>
      </c>
      <c r="AA170" s="5"/>
      <c r="AB170"/>
      <c r="AC170">
        <v>498</v>
      </c>
      <c r="AD170">
        <f t="shared" si="27"/>
        <v>0</v>
      </c>
      <c r="AE170"/>
      <c r="AF170" s="494"/>
    </row>
    <row r="171" spans="1:32" ht="12">
      <c r="A171" s="468" t="s">
        <v>995</v>
      </c>
      <c r="B171" s="483">
        <v>19380</v>
      </c>
      <c r="C171" s="484">
        <f t="shared" si="28"/>
        <v>64797399.16496385</v>
      </c>
      <c r="D171" s="484">
        <f t="shared" si="24"/>
        <v>2444870.4144046996</v>
      </c>
      <c r="E171" s="484">
        <f t="shared" si="29"/>
        <v>0</v>
      </c>
      <c r="F171" s="484">
        <f t="shared" si="30"/>
        <v>67242269.57936855</v>
      </c>
      <c r="G171" s="485">
        <f t="shared" si="31"/>
        <v>3469.6733529085936</v>
      </c>
      <c r="H171" s="475">
        <f t="shared" si="32"/>
        <v>212.62664709140654</v>
      </c>
      <c r="I171" s="380">
        <f t="shared" si="33"/>
        <v>0</v>
      </c>
      <c r="J171" s="380">
        <f t="shared" si="34"/>
        <v>0</v>
      </c>
      <c r="K171" s="476">
        <f t="shared" si="25"/>
        <v>170.10131767312524</v>
      </c>
      <c r="L171" s="500">
        <f t="shared" si="26"/>
        <v>3296563.536505167</v>
      </c>
      <c r="M171" s="486">
        <v>2817341.508992766</v>
      </c>
      <c r="N171" s="486"/>
      <c r="O171" s="495">
        <v>499</v>
      </c>
      <c r="P171" s="496" t="s">
        <v>996</v>
      </c>
      <c r="Q171" s="488">
        <v>3</v>
      </c>
      <c r="R171" s="489" t="s">
        <v>859</v>
      </c>
      <c r="U171" s="490" t="s">
        <v>208</v>
      </c>
      <c r="V171" s="491">
        <v>20.75</v>
      </c>
      <c r="W171" s="492">
        <v>67565127.27</v>
      </c>
      <c r="X171" s="493">
        <f t="shared" si="35"/>
        <v>325615071.1807229</v>
      </c>
      <c r="Y171" s="492">
        <v>2444870.4144046996</v>
      </c>
      <c r="Z171" s="492">
        <v>0</v>
      </c>
      <c r="AC171">
        <v>499</v>
      </c>
      <c r="AD171">
        <f t="shared" si="27"/>
        <v>0</v>
      </c>
      <c r="AF171" s="494"/>
    </row>
    <row r="172" spans="1:32" ht="12.75">
      <c r="A172" s="468" t="s">
        <v>997</v>
      </c>
      <c r="B172" s="483">
        <v>9941</v>
      </c>
      <c r="C172" s="484">
        <f t="shared" si="28"/>
        <v>34493433.55789743</v>
      </c>
      <c r="D172" s="484">
        <f t="shared" si="24"/>
        <v>2126371.5444991677</v>
      </c>
      <c r="E172" s="484">
        <f t="shared" si="29"/>
        <v>0</v>
      </c>
      <c r="F172" s="484">
        <f t="shared" si="30"/>
        <v>36619805.1023966</v>
      </c>
      <c r="G172" s="485">
        <f t="shared" si="31"/>
        <v>3683.7144253492206</v>
      </c>
      <c r="H172" s="475">
        <f t="shared" si="32"/>
        <v>-1.414425349220437</v>
      </c>
      <c r="I172" s="380">
        <f t="shared" si="33"/>
        <v>0.34672333498359653</v>
      </c>
      <c r="J172" s="380">
        <f t="shared" si="34"/>
        <v>30.346723334983597</v>
      </c>
      <c r="K172" s="476">
        <f t="shared" si="25"/>
        <v>-0.42923174750780163</v>
      </c>
      <c r="L172" s="500">
        <f t="shared" si="26"/>
        <v>-4266.992801975056</v>
      </c>
      <c r="M172" s="486">
        <v>192302.49963487274</v>
      </c>
      <c r="N172" s="486"/>
      <c r="O172" s="495">
        <v>500</v>
      </c>
      <c r="P172" s="391" t="s">
        <v>997</v>
      </c>
      <c r="Q172" s="488">
        <v>0</v>
      </c>
      <c r="R172" s="489" t="s">
        <v>814</v>
      </c>
      <c r="U172" s="490" t="s">
        <v>209</v>
      </c>
      <c r="V172" s="491">
        <v>19.5</v>
      </c>
      <c r="W172" s="492">
        <v>33800098.21</v>
      </c>
      <c r="X172" s="493">
        <f t="shared" si="35"/>
        <v>173333836.97435898</v>
      </c>
      <c r="Y172" s="492">
        <v>2126371.5444991677</v>
      </c>
      <c r="Z172" s="492">
        <v>0</v>
      </c>
      <c r="AB172" s="1"/>
      <c r="AC172" s="1">
        <v>500</v>
      </c>
      <c r="AD172">
        <f t="shared" si="27"/>
        <v>0</v>
      </c>
      <c r="AE172" s="1"/>
      <c r="AF172" s="494"/>
    </row>
    <row r="173" spans="1:32" ht="12">
      <c r="A173" s="468" t="s">
        <v>998</v>
      </c>
      <c r="B173" s="483">
        <v>7842</v>
      </c>
      <c r="C173" s="484">
        <f t="shared" si="28"/>
        <v>23096083.59271428</v>
      </c>
      <c r="D173" s="484">
        <f t="shared" si="24"/>
        <v>1058152.6737313948</v>
      </c>
      <c r="E173" s="484">
        <f t="shared" si="29"/>
        <v>0</v>
      </c>
      <c r="F173" s="484">
        <f t="shared" si="30"/>
        <v>24154236.266445674</v>
      </c>
      <c r="G173" s="485">
        <f t="shared" si="31"/>
        <v>3080.1117401741485</v>
      </c>
      <c r="H173" s="475">
        <f t="shared" si="32"/>
        <v>602.1882598258517</v>
      </c>
      <c r="I173" s="380">
        <f t="shared" si="33"/>
        <v>0</v>
      </c>
      <c r="J173" s="380">
        <f t="shared" si="34"/>
        <v>0</v>
      </c>
      <c r="K173" s="476">
        <f t="shared" si="25"/>
        <v>481.7506078606814</v>
      </c>
      <c r="L173" s="500">
        <f t="shared" si="26"/>
        <v>3777888.2668434633</v>
      </c>
      <c r="M173" s="486">
        <v>3923407.762057142</v>
      </c>
      <c r="N173" s="486"/>
      <c r="O173" s="495">
        <v>503</v>
      </c>
      <c r="P173" s="391" t="s">
        <v>998</v>
      </c>
      <c r="Q173" s="488">
        <v>0</v>
      </c>
      <c r="R173" s="489" t="s">
        <v>788</v>
      </c>
      <c r="U173" s="490" t="s">
        <v>210</v>
      </c>
      <c r="V173" s="491">
        <v>21</v>
      </c>
      <c r="W173" s="492">
        <v>24372751.53</v>
      </c>
      <c r="X173" s="493">
        <f t="shared" si="35"/>
        <v>116060721.57142857</v>
      </c>
      <c r="Y173" s="492">
        <v>1058152.6737313948</v>
      </c>
      <c r="Z173" s="492">
        <v>0</v>
      </c>
      <c r="AC173">
        <v>503</v>
      </c>
      <c r="AD173">
        <f t="shared" si="27"/>
        <v>0</v>
      </c>
      <c r="AF173" s="494"/>
    </row>
    <row r="174" spans="1:32" ht="12">
      <c r="A174" s="468" t="s">
        <v>999</v>
      </c>
      <c r="B174" s="483">
        <v>1986</v>
      </c>
      <c r="C174" s="484">
        <f t="shared" si="28"/>
        <v>5107994.143534883</v>
      </c>
      <c r="D174" s="484">
        <f t="shared" si="24"/>
        <v>420864.67606474546</v>
      </c>
      <c r="E174" s="484">
        <f t="shared" si="29"/>
        <v>0</v>
      </c>
      <c r="F174" s="484">
        <f t="shared" si="30"/>
        <v>5528858.819599628</v>
      </c>
      <c r="G174" s="485">
        <f t="shared" si="31"/>
        <v>2783.916827592965</v>
      </c>
      <c r="H174" s="475">
        <f t="shared" si="32"/>
        <v>898.3831724070351</v>
      </c>
      <c r="I174" s="380">
        <f t="shared" si="33"/>
        <v>0</v>
      </c>
      <c r="J174" s="380">
        <f t="shared" si="34"/>
        <v>0</v>
      </c>
      <c r="K174" s="476">
        <f t="shared" si="25"/>
        <v>718.7065379256281</v>
      </c>
      <c r="L174" s="500">
        <f t="shared" si="26"/>
        <v>1427351.1843202976</v>
      </c>
      <c r="M174" s="486">
        <v>1464075.4657860463</v>
      </c>
      <c r="N174" s="486"/>
      <c r="O174" s="495">
        <v>504</v>
      </c>
      <c r="P174" s="496" t="s">
        <v>1000</v>
      </c>
      <c r="Q174" s="488">
        <v>1</v>
      </c>
      <c r="R174" s="489" t="s">
        <v>786</v>
      </c>
      <c r="U174" s="490" t="s">
        <v>211</v>
      </c>
      <c r="V174" s="491">
        <v>21.5</v>
      </c>
      <c r="W174" s="492">
        <v>5518687.14</v>
      </c>
      <c r="X174" s="493">
        <f t="shared" si="35"/>
        <v>25668312.279069766</v>
      </c>
      <c r="Y174" s="492">
        <v>420864.67606474546</v>
      </c>
      <c r="Z174" s="492">
        <v>0</v>
      </c>
      <c r="AC174">
        <v>504</v>
      </c>
      <c r="AD174">
        <f t="shared" si="27"/>
        <v>0</v>
      </c>
      <c r="AF174" s="494"/>
    </row>
    <row r="175" spans="1:32" ht="12.75">
      <c r="A175" s="468" t="s">
        <v>1001</v>
      </c>
      <c r="B175" s="483">
        <v>20853</v>
      </c>
      <c r="C175" s="484">
        <f t="shared" si="28"/>
        <v>67483109.62804878</v>
      </c>
      <c r="D175" s="484">
        <f t="shared" si="24"/>
        <v>2589528.5477100583</v>
      </c>
      <c r="E175" s="484">
        <f t="shared" si="29"/>
        <v>0</v>
      </c>
      <c r="F175" s="484">
        <f t="shared" si="30"/>
        <v>70072638.17575884</v>
      </c>
      <c r="G175" s="485">
        <f t="shared" si="31"/>
        <v>3360.3144955526227</v>
      </c>
      <c r="H175" s="475">
        <f t="shared" si="32"/>
        <v>321.9855044473775</v>
      </c>
      <c r="I175" s="380">
        <f t="shared" si="33"/>
        <v>0</v>
      </c>
      <c r="J175" s="380">
        <f t="shared" si="34"/>
        <v>0</v>
      </c>
      <c r="K175" s="476">
        <f t="shared" si="25"/>
        <v>257.588403557902</v>
      </c>
      <c r="L175" s="500">
        <f t="shared" si="26"/>
        <v>5371490.97939293</v>
      </c>
      <c r="M175" s="486">
        <v>4877170.577358062</v>
      </c>
      <c r="N175" s="486"/>
      <c r="O175" s="495">
        <v>505</v>
      </c>
      <c r="P175" s="391" t="s">
        <v>1001</v>
      </c>
      <c r="Q175" s="488">
        <v>0</v>
      </c>
      <c r="R175" s="489" t="s">
        <v>786</v>
      </c>
      <c r="U175" s="490" t="s">
        <v>212</v>
      </c>
      <c r="V175" s="491">
        <v>20.5</v>
      </c>
      <c r="W175" s="492">
        <v>69517776.25</v>
      </c>
      <c r="X175" s="493">
        <f t="shared" si="35"/>
        <v>339111103.6585366</v>
      </c>
      <c r="Y175" s="492">
        <v>2589528.5477100583</v>
      </c>
      <c r="Z175" s="492">
        <v>0</v>
      </c>
      <c r="AA175" s="1"/>
      <c r="AC175">
        <v>505</v>
      </c>
      <c r="AD175">
        <f t="shared" si="27"/>
        <v>0</v>
      </c>
      <c r="AF175" s="494"/>
    </row>
    <row r="176" spans="1:32" ht="12">
      <c r="A176" s="468" t="s">
        <v>1002</v>
      </c>
      <c r="B176" s="483">
        <v>6097</v>
      </c>
      <c r="C176" s="484">
        <f t="shared" si="28"/>
        <v>15781633.587088607</v>
      </c>
      <c r="D176" s="484">
        <f t="shared" si="24"/>
        <v>2134548.591200923</v>
      </c>
      <c r="E176" s="484">
        <f t="shared" si="29"/>
        <v>0</v>
      </c>
      <c r="F176" s="484">
        <f t="shared" si="30"/>
        <v>17916182.17828953</v>
      </c>
      <c r="G176" s="485">
        <f t="shared" si="31"/>
        <v>2938.524221467858</v>
      </c>
      <c r="H176" s="475">
        <f t="shared" si="32"/>
        <v>743.7757785321423</v>
      </c>
      <c r="I176" s="380">
        <f t="shared" si="33"/>
        <v>0</v>
      </c>
      <c r="J176" s="380">
        <f t="shared" si="34"/>
        <v>0</v>
      </c>
      <c r="K176" s="476">
        <f t="shared" si="25"/>
        <v>595.0206228257139</v>
      </c>
      <c r="L176" s="500">
        <f t="shared" si="26"/>
        <v>3627840.7373683774</v>
      </c>
      <c r="M176" s="486">
        <v>3765152.701225316</v>
      </c>
      <c r="N176" s="486"/>
      <c r="O176" s="495">
        <v>507</v>
      </c>
      <c r="P176" s="391" t="s">
        <v>1002</v>
      </c>
      <c r="Q176" s="488">
        <v>0</v>
      </c>
      <c r="R176" s="489" t="s">
        <v>791</v>
      </c>
      <c r="U176" s="490" t="s">
        <v>214</v>
      </c>
      <c r="V176" s="491">
        <v>19.75</v>
      </c>
      <c r="W176" s="492">
        <v>15662676.55</v>
      </c>
      <c r="X176" s="493">
        <f t="shared" si="35"/>
        <v>79304691.39240506</v>
      </c>
      <c r="Y176" s="492">
        <v>2134548.591200923</v>
      </c>
      <c r="Z176" s="492">
        <v>0</v>
      </c>
      <c r="AC176">
        <v>507</v>
      </c>
      <c r="AD176">
        <f t="shared" si="27"/>
        <v>0</v>
      </c>
      <c r="AF176" s="494"/>
    </row>
    <row r="177" spans="1:32" ht="12">
      <c r="A177" s="482" t="s">
        <v>1003</v>
      </c>
      <c r="B177" s="483">
        <v>10448</v>
      </c>
      <c r="C177" s="484">
        <f t="shared" si="28"/>
        <v>31295876.61563636</v>
      </c>
      <c r="D177" s="484">
        <f t="shared" si="24"/>
        <v>1644294.8824181373</v>
      </c>
      <c r="E177" s="484">
        <f t="shared" si="29"/>
        <v>0</v>
      </c>
      <c r="F177" s="484">
        <f t="shared" si="30"/>
        <v>32940171.498054497</v>
      </c>
      <c r="G177" s="485">
        <f t="shared" si="31"/>
        <v>3152.772922861265</v>
      </c>
      <c r="H177" s="475">
        <f t="shared" si="32"/>
        <v>529.527077138735</v>
      </c>
      <c r="I177" s="380">
        <f t="shared" si="33"/>
        <v>0</v>
      </c>
      <c r="J177" s="380">
        <f t="shared" si="34"/>
        <v>0</v>
      </c>
      <c r="K177" s="476">
        <f t="shared" si="25"/>
        <v>423.621661710988</v>
      </c>
      <c r="L177" s="500">
        <f t="shared" si="26"/>
        <v>4425999.121556403</v>
      </c>
      <c r="M177" s="486">
        <v>4328345.298774547</v>
      </c>
      <c r="N177" s="486"/>
      <c r="O177" s="487">
        <v>508</v>
      </c>
      <c r="P177" s="391" t="s">
        <v>213</v>
      </c>
      <c r="Q177" s="488">
        <v>0</v>
      </c>
      <c r="R177" s="489" t="s">
        <v>789</v>
      </c>
      <c r="U177" s="490" t="s">
        <v>213</v>
      </c>
      <c r="V177" s="491">
        <v>22</v>
      </c>
      <c r="W177" s="492">
        <v>34598456.56</v>
      </c>
      <c r="X177" s="493">
        <f t="shared" si="35"/>
        <v>157265711.63636363</v>
      </c>
      <c r="Y177" s="492">
        <v>1644294.8824181373</v>
      </c>
      <c r="Z177" s="492">
        <v>0</v>
      </c>
      <c r="AC177">
        <v>508</v>
      </c>
      <c r="AD177">
        <f t="shared" si="27"/>
        <v>0</v>
      </c>
      <c r="AF177" s="494"/>
    </row>
    <row r="178" spans="1:32" ht="12">
      <c r="A178" s="482" t="s">
        <v>1004</v>
      </c>
      <c r="B178" s="483">
        <v>19068</v>
      </c>
      <c r="C178" s="484">
        <f t="shared" si="28"/>
        <v>75017813.04405262</v>
      </c>
      <c r="D178" s="484">
        <f t="shared" si="24"/>
        <v>7031820.084138908</v>
      </c>
      <c r="E178" s="484">
        <f t="shared" si="29"/>
        <v>0</v>
      </c>
      <c r="F178" s="484">
        <f t="shared" si="30"/>
        <v>82049633.12819153</v>
      </c>
      <c r="G178" s="485">
        <f t="shared" si="31"/>
        <v>4303.001527595528</v>
      </c>
      <c r="H178" s="475">
        <f t="shared" si="32"/>
        <v>-620.7015275955282</v>
      </c>
      <c r="I178" s="380">
        <f t="shared" si="33"/>
        <v>6.430850334501689</v>
      </c>
      <c r="J178" s="380">
        <f t="shared" si="34"/>
        <v>36.43085033450169</v>
      </c>
      <c r="K178" s="476">
        <f t="shared" si="25"/>
        <v>-226.1268445422926</v>
      </c>
      <c r="L178" s="500">
        <f t="shared" si="26"/>
        <v>-4311786.671732435</v>
      </c>
      <c r="M178" s="486">
        <v>-4141957.8736610753</v>
      </c>
      <c r="N178" s="486"/>
      <c r="O178" s="487">
        <v>529</v>
      </c>
      <c r="P178" s="496" t="s">
        <v>1005</v>
      </c>
      <c r="Q178" s="488">
        <v>0</v>
      </c>
      <c r="R178" s="489" t="s">
        <v>788</v>
      </c>
      <c r="U178" s="490" t="s">
        <v>215</v>
      </c>
      <c r="V178" s="491">
        <v>19</v>
      </c>
      <c r="W178" s="492">
        <v>71625047.63</v>
      </c>
      <c r="X178" s="493">
        <f t="shared" si="35"/>
        <v>376973934.8947368</v>
      </c>
      <c r="Y178" s="492">
        <v>7031820.084138908</v>
      </c>
      <c r="Z178" s="492">
        <v>0</v>
      </c>
      <c r="AC178">
        <v>529</v>
      </c>
      <c r="AD178">
        <f t="shared" si="27"/>
        <v>0</v>
      </c>
      <c r="AF178" s="494"/>
    </row>
    <row r="179" spans="1:32" ht="12">
      <c r="A179" s="468" t="s">
        <v>1006</v>
      </c>
      <c r="B179" s="483">
        <v>5548</v>
      </c>
      <c r="C179" s="484">
        <f t="shared" si="28"/>
        <v>15968010.365411766</v>
      </c>
      <c r="D179" s="484">
        <f t="shared" si="24"/>
        <v>607110.395220793</v>
      </c>
      <c r="E179" s="484">
        <f t="shared" si="29"/>
        <v>0</v>
      </c>
      <c r="F179" s="484">
        <f t="shared" si="30"/>
        <v>16575120.76063256</v>
      </c>
      <c r="G179" s="485">
        <f t="shared" si="31"/>
        <v>2987.5848523130066</v>
      </c>
      <c r="H179" s="475">
        <f t="shared" si="32"/>
        <v>694.7151476869935</v>
      </c>
      <c r="I179" s="380">
        <f t="shared" si="33"/>
        <v>0</v>
      </c>
      <c r="J179" s="380">
        <f t="shared" si="34"/>
        <v>0</v>
      </c>
      <c r="K179" s="476">
        <f t="shared" si="25"/>
        <v>555.7721181495948</v>
      </c>
      <c r="L179" s="500">
        <f t="shared" si="26"/>
        <v>3083423.711493952</v>
      </c>
      <c r="M179" s="486">
        <v>3238466.8644433715</v>
      </c>
      <c r="N179" s="486"/>
      <c r="O179" s="495">
        <v>531</v>
      </c>
      <c r="P179" s="391" t="s">
        <v>1006</v>
      </c>
      <c r="Q179" s="488">
        <v>0</v>
      </c>
      <c r="R179" s="489" t="s">
        <v>798</v>
      </c>
      <c r="U179" s="490" t="s">
        <v>216</v>
      </c>
      <c r="V179" s="491">
        <v>21.25</v>
      </c>
      <c r="W179" s="492">
        <v>17051267.35</v>
      </c>
      <c r="X179" s="493">
        <f t="shared" si="35"/>
        <v>80241258.11764707</v>
      </c>
      <c r="Y179" s="492">
        <v>607110.395220793</v>
      </c>
      <c r="Z179" s="492">
        <v>0</v>
      </c>
      <c r="AC179">
        <v>531</v>
      </c>
      <c r="AD179">
        <f t="shared" si="27"/>
        <v>0</v>
      </c>
      <c r="AF179" s="494"/>
    </row>
    <row r="180" spans="1:32" ht="12">
      <c r="A180" s="468" t="s">
        <v>1007</v>
      </c>
      <c r="B180" s="483">
        <v>10889</v>
      </c>
      <c r="C180" s="484">
        <f t="shared" si="28"/>
        <v>25140940.415999997</v>
      </c>
      <c r="D180" s="484">
        <f t="shared" si="24"/>
        <v>1127269.024466351</v>
      </c>
      <c r="E180" s="484">
        <f t="shared" si="29"/>
        <v>0</v>
      </c>
      <c r="F180" s="484">
        <f t="shared" si="30"/>
        <v>26268209.440466348</v>
      </c>
      <c r="G180" s="485">
        <f t="shared" si="31"/>
        <v>2412.361965328896</v>
      </c>
      <c r="H180" s="475">
        <f t="shared" si="32"/>
        <v>1269.938034671104</v>
      </c>
      <c r="I180" s="380">
        <f t="shared" si="33"/>
        <v>0</v>
      </c>
      <c r="J180" s="380">
        <f t="shared" si="34"/>
        <v>0</v>
      </c>
      <c r="K180" s="476">
        <f t="shared" si="25"/>
        <v>1015.9504277368833</v>
      </c>
      <c r="L180" s="500">
        <f t="shared" si="26"/>
        <v>11062684.207626922</v>
      </c>
      <c r="M180" s="486">
        <v>11369239.733960932</v>
      </c>
      <c r="N180" s="486"/>
      <c r="O180" s="495">
        <v>535</v>
      </c>
      <c r="P180" s="391" t="s">
        <v>1007</v>
      </c>
      <c r="Q180" s="488">
        <v>0</v>
      </c>
      <c r="R180" s="489" t="s">
        <v>781</v>
      </c>
      <c r="U180" s="490" t="s">
        <v>217</v>
      </c>
      <c r="V180" s="491">
        <v>21.5</v>
      </c>
      <c r="W180" s="492">
        <v>27162322.56</v>
      </c>
      <c r="X180" s="493">
        <f t="shared" si="35"/>
        <v>126336384</v>
      </c>
      <c r="Y180" s="492">
        <v>1127269.024466351</v>
      </c>
      <c r="Z180" s="492">
        <v>0</v>
      </c>
      <c r="AC180">
        <v>535</v>
      </c>
      <c r="AD180">
        <f t="shared" si="27"/>
        <v>0</v>
      </c>
      <c r="AF180" s="494"/>
    </row>
    <row r="181" spans="1:32" ht="12">
      <c r="A181" s="468" t="s">
        <v>1008</v>
      </c>
      <c r="B181" s="483">
        <v>33210</v>
      </c>
      <c r="C181" s="484">
        <f t="shared" si="28"/>
        <v>112492953.13819999</v>
      </c>
      <c r="D181" s="484">
        <f t="shared" si="24"/>
        <v>6837078.5636225315</v>
      </c>
      <c r="E181" s="484">
        <f t="shared" si="29"/>
        <v>0</v>
      </c>
      <c r="F181" s="484">
        <f t="shared" si="30"/>
        <v>119330031.70182252</v>
      </c>
      <c r="G181" s="485">
        <f t="shared" si="31"/>
        <v>3593.1957754237433</v>
      </c>
      <c r="H181" s="475">
        <f t="shared" si="32"/>
        <v>89.10422457625691</v>
      </c>
      <c r="I181" s="380">
        <f t="shared" si="33"/>
        <v>0</v>
      </c>
      <c r="J181" s="380">
        <f t="shared" si="34"/>
        <v>0</v>
      </c>
      <c r="K181" s="476">
        <f t="shared" si="25"/>
        <v>71.28337966100553</v>
      </c>
      <c r="L181" s="500">
        <f t="shared" si="26"/>
        <v>2367321.0385419936</v>
      </c>
      <c r="M181" s="486">
        <v>3357854.8907179814</v>
      </c>
      <c r="N181" s="486"/>
      <c r="O181" s="495">
        <v>536</v>
      </c>
      <c r="P181" s="391" t="s">
        <v>1008</v>
      </c>
      <c r="Q181" s="488">
        <v>0</v>
      </c>
      <c r="R181" s="489" t="s">
        <v>789</v>
      </c>
      <c r="U181" s="490" t="s">
        <v>218</v>
      </c>
      <c r="V181" s="491">
        <v>20</v>
      </c>
      <c r="W181" s="492">
        <v>113058244.36</v>
      </c>
      <c r="X181" s="493">
        <f t="shared" si="35"/>
        <v>565291221.8</v>
      </c>
      <c r="Y181" s="492">
        <v>6837078.5636225315</v>
      </c>
      <c r="Z181" s="492">
        <v>0</v>
      </c>
      <c r="AC181">
        <v>536</v>
      </c>
      <c r="AD181">
        <f t="shared" si="27"/>
        <v>0</v>
      </c>
      <c r="AF181" s="494"/>
    </row>
    <row r="182" spans="1:32" ht="12">
      <c r="A182" s="468" t="s">
        <v>1009</v>
      </c>
      <c r="B182" s="483">
        <v>4815</v>
      </c>
      <c r="C182" s="484">
        <f t="shared" si="28"/>
        <v>15028673.750190472</v>
      </c>
      <c r="D182" s="484">
        <f t="shared" si="24"/>
        <v>420545.23884801584</v>
      </c>
      <c r="E182" s="484">
        <f t="shared" si="29"/>
        <v>0</v>
      </c>
      <c r="F182" s="484">
        <f t="shared" si="30"/>
        <v>15449218.989038488</v>
      </c>
      <c r="G182" s="485">
        <f t="shared" si="31"/>
        <v>3208.5605377026973</v>
      </c>
      <c r="H182" s="475">
        <f t="shared" si="32"/>
        <v>473.7394622973029</v>
      </c>
      <c r="I182" s="380">
        <f t="shared" si="33"/>
        <v>0</v>
      </c>
      <c r="J182" s="380">
        <f t="shared" si="34"/>
        <v>0</v>
      </c>
      <c r="K182" s="476">
        <f t="shared" si="25"/>
        <v>378.99156983784235</v>
      </c>
      <c r="L182" s="500">
        <f t="shared" si="26"/>
        <v>1824844.4087692108</v>
      </c>
      <c r="M182" s="486">
        <v>1942506.3567009526</v>
      </c>
      <c r="N182" s="486"/>
      <c r="O182" s="495">
        <v>538</v>
      </c>
      <c r="P182" s="496" t="s">
        <v>1010</v>
      </c>
      <c r="Q182" s="488">
        <v>0</v>
      </c>
      <c r="R182" s="489" t="s">
        <v>788</v>
      </c>
      <c r="U182" s="490" t="s">
        <v>219</v>
      </c>
      <c r="V182" s="491">
        <v>21</v>
      </c>
      <c r="W182" s="492">
        <v>15859404.46</v>
      </c>
      <c r="X182" s="493">
        <f t="shared" si="35"/>
        <v>75520973.61904761</v>
      </c>
      <c r="Y182" s="492">
        <v>420545.23884801584</v>
      </c>
      <c r="Z182" s="492">
        <v>0</v>
      </c>
      <c r="AC182">
        <v>538</v>
      </c>
      <c r="AD182">
        <f t="shared" si="27"/>
        <v>0</v>
      </c>
      <c r="AF182" s="494"/>
    </row>
    <row r="183" spans="1:32" ht="12">
      <c r="A183" s="468" t="s">
        <v>1011</v>
      </c>
      <c r="B183" s="483">
        <v>7885</v>
      </c>
      <c r="C183" s="484">
        <f t="shared" si="28"/>
        <v>18851784.885804877</v>
      </c>
      <c r="D183" s="484">
        <f t="shared" si="24"/>
        <v>2708471.302510523</v>
      </c>
      <c r="E183" s="484">
        <f t="shared" si="29"/>
        <v>0</v>
      </c>
      <c r="F183" s="484">
        <f t="shared" si="30"/>
        <v>21560256.1883154</v>
      </c>
      <c r="G183" s="485">
        <f t="shared" si="31"/>
        <v>2734.3381342188204</v>
      </c>
      <c r="H183" s="475">
        <f t="shared" si="32"/>
        <v>947.9618657811798</v>
      </c>
      <c r="I183" s="380">
        <f t="shared" si="33"/>
        <v>0</v>
      </c>
      <c r="J183" s="380">
        <f t="shared" si="34"/>
        <v>0</v>
      </c>
      <c r="K183" s="476">
        <f t="shared" si="25"/>
        <v>758.3694926249439</v>
      </c>
      <c r="L183" s="500">
        <f t="shared" si="26"/>
        <v>5979743.449347682</v>
      </c>
      <c r="M183" s="486">
        <v>6200361.586696586</v>
      </c>
      <c r="N183" s="486"/>
      <c r="O183" s="495">
        <v>541</v>
      </c>
      <c r="P183" s="391" t="s">
        <v>1011</v>
      </c>
      <c r="Q183" s="488">
        <v>0</v>
      </c>
      <c r="R183" s="489" t="s">
        <v>850</v>
      </c>
      <c r="U183" s="490" t="s">
        <v>220</v>
      </c>
      <c r="V183" s="491">
        <v>20.5</v>
      </c>
      <c r="W183" s="492">
        <v>19420180.41</v>
      </c>
      <c r="X183" s="493">
        <f t="shared" si="35"/>
        <v>94732587.36585365</v>
      </c>
      <c r="Y183" s="492">
        <v>2708471.302510523</v>
      </c>
      <c r="Z183" s="492">
        <v>0</v>
      </c>
      <c r="AC183">
        <v>541</v>
      </c>
      <c r="AD183">
        <f t="shared" si="27"/>
        <v>0</v>
      </c>
      <c r="AF183" s="494"/>
    </row>
    <row r="184" spans="1:32" ht="12">
      <c r="A184" s="468" t="s">
        <v>1012</v>
      </c>
      <c r="B184" s="483">
        <v>42010</v>
      </c>
      <c r="C184" s="484">
        <f t="shared" si="28"/>
        <v>166474682.42230767</v>
      </c>
      <c r="D184" s="484">
        <f t="shared" si="24"/>
        <v>7243680.845751006</v>
      </c>
      <c r="E184" s="484">
        <f t="shared" si="29"/>
        <v>0</v>
      </c>
      <c r="F184" s="484">
        <f t="shared" si="30"/>
        <v>173718363.2680587</v>
      </c>
      <c r="G184" s="485">
        <f t="shared" si="31"/>
        <v>4135.166942824534</v>
      </c>
      <c r="H184" s="475">
        <f t="shared" si="32"/>
        <v>-452.8669428245339</v>
      </c>
      <c r="I184" s="380">
        <f t="shared" si="33"/>
        <v>6.115598357888406</v>
      </c>
      <c r="J184" s="380">
        <f t="shared" si="34"/>
        <v>36.11559835788841</v>
      </c>
      <c r="K184" s="476">
        <f t="shared" si="25"/>
        <v>-163.55560616615682</v>
      </c>
      <c r="L184" s="500">
        <f t="shared" si="26"/>
        <v>-6870971.015040248</v>
      </c>
      <c r="M184" s="486">
        <v>-6824448.505806729</v>
      </c>
      <c r="N184" s="486"/>
      <c r="O184" s="495">
        <v>543</v>
      </c>
      <c r="P184" s="391" t="s">
        <v>1012</v>
      </c>
      <c r="Q184" s="488">
        <v>0</v>
      </c>
      <c r="R184" s="489" t="s">
        <v>786</v>
      </c>
      <c r="U184" s="490" t="s">
        <v>221</v>
      </c>
      <c r="V184" s="491">
        <v>19.5</v>
      </c>
      <c r="W184" s="492">
        <v>163128457.65</v>
      </c>
      <c r="X184" s="493">
        <f t="shared" si="35"/>
        <v>836556193.0769231</v>
      </c>
      <c r="Y184" s="492">
        <v>7243680.845751006</v>
      </c>
      <c r="Z184" s="492">
        <v>0</v>
      </c>
      <c r="AC184">
        <v>543</v>
      </c>
      <c r="AD184">
        <f t="shared" si="27"/>
        <v>0</v>
      </c>
      <c r="AF184" s="494"/>
    </row>
    <row r="185" spans="1:32" ht="12">
      <c r="A185" s="468" t="s">
        <v>1013</v>
      </c>
      <c r="B185" s="483">
        <v>9439</v>
      </c>
      <c r="C185" s="484">
        <f t="shared" si="28"/>
        <v>23830114.06404762</v>
      </c>
      <c r="D185" s="484">
        <f t="shared" si="24"/>
        <v>2460416.1883126716</v>
      </c>
      <c r="E185" s="484">
        <f t="shared" si="29"/>
        <v>0</v>
      </c>
      <c r="F185" s="484">
        <f t="shared" si="30"/>
        <v>26290530.25236029</v>
      </c>
      <c r="G185" s="485">
        <f t="shared" si="31"/>
        <v>2785.308851823317</v>
      </c>
      <c r="H185" s="475">
        <f t="shared" si="32"/>
        <v>896.991148176683</v>
      </c>
      <c r="I185" s="380">
        <f t="shared" si="33"/>
        <v>0</v>
      </c>
      <c r="J185" s="380">
        <f t="shared" si="34"/>
        <v>0</v>
      </c>
      <c r="K185" s="476">
        <f t="shared" si="25"/>
        <v>717.5929185413465</v>
      </c>
      <c r="L185" s="500">
        <f t="shared" si="26"/>
        <v>6773359.55811177</v>
      </c>
      <c r="M185" s="486">
        <v>6273714.322026664</v>
      </c>
      <c r="N185" s="486"/>
      <c r="O185" s="495">
        <v>545</v>
      </c>
      <c r="P185" s="496" t="s">
        <v>1014</v>
      </c>
      <c r="Q185" s="488">
        <v>2</v>
      </c>
      <c r="R185" s="489" t="s">
        <v>859</v>
      </c>
      <c r="U185" s="490" t="s">
        <v>222</v>
      </c>
      <c r="V185" s="491">
        <v>21</v>
      </c>
      <c r="W185" s="492">
        <v>25147356.55</v>
      </c>
      <c r="X185" s="493">
        <f t="shared" si="35"/>
        <v>119749316.90476191</v>
      </c>
      <c r="Y185" s="492">
        <v>2460416.1883126716</v>
      </c>
      <c r="Z185" s="492">
        <v>0</v>
      </c>
      <c r="AC185">
        <v>545</v>
      </c>
      <c r="AD185">
        <f t="shared" si="27"/>
        <v>0</v>
      </c>
      <c r="AF185" s="494"/>
    </row>
    <row r="186" spans="1:32" s="1" customFormat="1" ht="12.75">
      <c r="A186" s="468" t="s">
        <v>1015</v>
      </c>
      <c r="B186" s="483">
        <v>16279</v>
      </c>
      <c r="C186" s="484">
        <f t="shared" si="28"/>
        <v>45830634.03407229</v>
      </c>
      <c r="D186" s="484">
        <f t="shared" si="24"/>
        <v>2402994.618372891</v>
      </c>
      <c r="E186" s="484">
        <f t="shared" si="29"/>
        <v>0</v>
      </c>
      <c r="F186" s="484">
        <f t="shared" si="30"/>
        <v>48233628.65244518</v>
      </c>
      <c r="G186" s="485">
        <f t="shared" si="31"/>
        <v>2962.9356012313524</v>
      </c>
      <c r="H186" s="475">
        <f t="shared" si="32"/>
        <v>719.3643987686478</v>
      </c>
      <c r="I186" s="380">
        <f t="shared" si="33"/>
        <v>0</v>
      </c>
      <c r="J186" s="380">
        <f t="shared" si="34"/>
        <v>0</v>
      </c>
      <c r="K186" s="476">
        <f t="shared" si="25"/>
        <v>575.4915190149183</v>
      </c>
      <c r="L186" s="500">
        <f t="shared" si="26"/>
        <v>9368426.438043855</v>
      </c>
      <c r="M186" s="486">
        <v>9435315.326087706</v>
      </c>
      <c r="N186" s="486"/>
      <c r="O186" s="495">
        <v>560</v>
      </c>
      <c r="P186" s="391" t="s">
        <v>1015</v>
      </c>
      <c r="Q186" s="488">
        <v>0</v>
      </c>
      <c r="R186" s="489" t="s">
        <v>784</v>
      </c>
      <c r="S186"/>
      <c r="T186"/>
      <c r="U186" s="490" t="s">
        <v>223</v>
      </c>
      <c r="V186" s="491">
        <v>20.75</v>
      </c>
      <c r="W186" s="492">
        <v>47788223.93</v>
      </c>
      <c r="X186" s="493">
        <f t="shared" si="35"/>
        <v>230304693.63855422</v>
      </c>
      <c r="Y186" s="492">
        <v>2402994.618372891</v>
      </c>
      <c r="Z186" s="492">
        <v>0</v>
      </c>
      <c r="AA186"/>
      <c r="AB186"/>
      <c r="AC186">
        <v>560</v>
      </c>
      <c r="AD186">
        <f t="shared" si="27"/>
        <v>0</v>
      </c>
      <c r="AE186"/>
      <c r="AF186" s="494"/>
    </row>
    <row r="187" spans="1:32" ht="12">
      <c r="A187" s="468" t="s">
        <v>1016</v>
      </c>
      <c r="B187" s="483">
        <v>1363</v>
      </c>
      <c r="C187" s="484">
        <f t="shared" si="28"/>
        <v>3338737.4198974357</v>
      </c>
      <c r="D187" s="484">
        <f t="shared" si="24"/>
        <v>330414.2876244417</v>
      </c>
      <c r="E187" s="484">
        <f t="shared" si="29"/>
        <v>0</v>
      </c>
      <c r="F187" s="484">
        <f t="shared" si="30"/>
        <v>3669151.7075218773</v>
      </c>
      <c r="G187" s="485">
        <f t="shared" si="31"/>
        <v>2691.967503684429</v>
      </c>
      <c r="H187" s="475">
        <f t="shared" si="32"/>
        <v>990.332496315571</v>
      </c>
      <c r="I187" s="380">
        <f t="shared" si="33"/>
        <v>0</v>
      </c>
      <c r="J187" s="380">
        <f t="shared" si="34"/>
        <v>0</v>
      </c>
      <c r="K187" s="476">
        <f t="shared" si="25"/>
        <v>792.2659970524569</v>
      </c>
      <c r="L187" s="500">
        <f t="shared" si="26"/>
        <v>1079858.5539824988</v>
      </c>
      <c r="M187" s="486">
        <v>976892.4112861536</v>
      </c>
      <c r="N187" s="486"/>
      <c r="O187" s="495">
        <v>561</v>
      </c>
      <c r="P187" s="391" t="s">
        <v>1016</v>
      </c>
      <c r="Q187" s="488">
        <v>0</v>
      </c>
      <c r="R187" s="489" t="s">
        <v>788</v>
      </c>
      <c r="U187" s="490" t="s">
        <v>224</v>
      </c>
      <c r="V187" s="491">
        <v>19.5</v>
      </c>
      <c r="W187" s="492">
        <v>3271627.12</v>
      </c>
      <c r="X187" s="493">
        <f t="shared" si="35"/>
        <v>16777574.974358976</v>
      </c>
      <c r="Y187" s="492">
        <v>330414.2876244417</v>
      </c>
      <c r="Z187" s="492">
        <v>0</v>
      </c>
      <c r="AC187">
        <v>561</v>
      </c>
      <c r="AD187">
        <f t="shared" si="27"/>
        <v>0</v>
      </c>
      <c r="AF187" s="494"/>
    </row>
    <row r="188" spans="1:32" ht="12.75">
      <c r="A188" s="468" t="s">
        <v>1017</v>
      </c>
      <c r="B188" s="483">
        <v>9312</v>
      </c>
      <c r="C188" s="484">
        <f t="shared" si="28"/>
        <v>25269950.460681815</v>
      </c>
      <c r="D188" s="484">
        <f t="shared" si="24"/>
        <v>1800701.889252487</v>
      </c>
      <c r="E188" s="484">
        <f t="shared" si="29"/>
        <v>0</v>
      </c>
      <c r="F188" s="484">
        <f t="shared" si="30"/>
        <v>27070652.349934302</v>
      </c>
      <c r="G188" s="485">
        <f t="shared" si="31"/>
        <v>2907.0717729740445</v>
      </c>
      <c r="H188" s="475">
        <f t="shared" si="32"/>
        <v>775.2282270259557</v>
      </c>
      <c r="I188" s="380">
        <f t="shared" si="33"/>
        <v>0</v>
      </c>
      <c r="J188" s="380">
        <f t="shared" si="34"/>
        <v>0</v>
      </c>
      <c r="K188" s="476">
        <f t="shared" si="25"/>
        <v>620.1825816207646</v>
      </c>
      <c r="L188" s="500">
        <f t="shared" si="26"/>
        <v>5775140.20005256</v>
      </c>
      <c r="M188" s="486">
        <v>5832073.772771236</v>
      </c>
      <c r="N188" s="486"/>
      <c r="O188" s="495">
        <v>562</v>
      </c>
      <c r="P188" s="391" t="s">
        <v>1017</v>
      </c>
      <c r="Q188" s="488">
        <v>0</v>
      </c>
      <c r="R188" s="489" t="s">
        <v>789</v>
      </c>
      <c r="U188" s="490" t="s">
        <v>225</v>
      </c>
      <c r="V188" s="491">
        <v>22</v>
      </c>
      <c r="W188" s="492">
        <v>27936628.65</v>
      </c>
      <c r="X188" s="493">
        <f t="shared" si="35"/>
        <v>126984675.68181819</v>
      </c>
      <c r="Y188" s="492">
        <v>1800701.889252487</v>
      </c>
      <c r="Z188" s="492">
        <v>0</v>
      </c>
      <c r="AB188" s="1"/>
      <c r="AC188" s="1">
        <v>562</v>
      </c>
      <c r="AD188">
        <f t="shared" si="27"/>
        <v>0</v>
      </c>
      <c r="AE188" s="1"/>
      <c r="AF188" s="494"/>
    </row>
    <row r="189" spans="1:32" s="1" customFormat="1" ht="12.75">
      <c r="A189" s="468" t="s">
        <v>1018</v>
      </c>
      <c r="B189" s="483">
        <v>7514</v>
      </c>
      <c r="C189" s="484">
        <f t="shared" si="28"/>
        <v>19445473.42060465</v>
      </c>
      <c r="D189" s="484">
        <f t="shared" si="24"/>
        <v>1186987.914517687</v>
      </c>
      <c r="E189" s="484">
        <f t="shared" si="29"/>
        <v>0</v>
      </c>
      <c r="F189" s="484">
        <f t="shared" si="30"/>
        <v>20632461.335122336</v>
      </c>
      <c r="G189" s="485">
        <f t="shared" si="31"/>
        <v>2745.869222134993</v>
      </c>
      <c r="H189" s="475">
        <f t="shared" si="32"/>
        <v>936.4307778650073</v>
      </c>
      <c r="I189" s="380">
        <f t="shared" si="33"/>
        <v>0</v>
      </c>
      <c r="J189" s="380">
        <f t="shared" si="34"/>
        <v>0</v>
      </c>
      <c r="K189" s="476">
        <f t="shared" si="25"/>
        <v>749.1446222920058</v>
      </c>
      <c r="L189" s="500">
        <f t="shared" si="26"/>
        <v>5629072.691902132</v>
      </c>
      <c r="M189" s="486">
        <v>5859871.918182985</v>
      </c>
      <c r="N189" s="486"/>
      <c r="O189" s="495">
        <v>563</v>
      </c>
      <c r="P189" s="391" t="s">
        <v>1018</v>
      </c>
      <c r="Q189" s="488">
        <v>0</v>
      </c>
      <c r="R189" s="489" t="s">
        <v>781</v>
      </c>
      <c r="S189"/>
      <c r="T189"/>
      <c r="U189" s="490" t="s">
        <v>226</v>
      </c>
      <c r="V189" s="491">
        <v>21.5</v>
      </c>
      <c r="W189" s="492">
        <v>21008928.57</v>
      </c>
      <c r="X189" s="493">
        <f t="shared" si="35"/>
        <v>97715946.8372093</v>
      </c>
      <c r="Y189" s="492">
        <v>1186987.914517687</v>
      </c>
      <c r="Z189" s="492">
        <v>0</v>
      </c>
      <c r="AA189"/>
      <c r="AB189"/>
      <c r="AC189">
        <v>563</v>
      </c>
      <c r="AD189">
        <f t="shared" si="27"/>
        <v>0</v>
      </c>
      <c r="AE189"/>
      <c r="AF189" s="494"/>
    </row>
    <row r="190" spans="1:32" ht="12.75">
      <c r="A190" s="482" t="s">
        <v>1019</v>
      </c>
      <c r="B190" s="483">
        <v>200526</v>
      </c>
      <c r="C190" s="484">
        <f t="shared" si="28"/>
        <v>650881555.017</v>
      </c>
      <c r="D190" s="484">
        <f t="shared" si="24"/>
        <v>39815513.69262527</v>
      </c>
      <c r="E190" s="484">
        <f t="shared" si="29"/>
        <v>0</v>
      </c>
      <c r="F190" s="484">
        <f t="shared" si="30"/>
        <v>690697068.7096252</v>
      </c>
      <c r="G190" s="485">
        <f t="shared" si="31"/>
        <v>3444.426501848265</v>
      </c>
      <c r="H190" s="475">
        <f t="shared" si="32"/>
        <v>237.87349815173502</v>
      </c>
      <c r="I190" s="380">
        <f t="shared" si="33"/>
        <v>0</v>
      </c>
      <c r="J190" s="380">
        <f t="shared" si="34"/>
        <v>0</v>
      </c>
      <c r="K190" s="476">
        <f t="shared" si="25"/>
        <v>190.29879852138802</v>
      </c>
      <c r="L190" s="500">
        <f t="shared" si="26"/>
        <v>38159856.87229986</v>
      </c>
      <c r="M190" s="486">
        <v>38456801.59415202</v>
      </c>
      <c r="N190" s="486"/>
      <c r="O190" s="487">
        <v>564</v>
      </c>
      <c r="P190" s="496" t="s">
        <v>1020</v>
      </c>
      <c r="Q190" s="488">
        <v>0</v>
      </c>
      <c r="R190" s="489" t="s">
        <v>781</v>
      </c>
      <c r="U190" s="490" t="s">
        <v>227</v>
      </c>
      <c r="V190" s="491">
        <v>20</v>
      </c>
      <c r="W190" s="492">
        <v>654152316.6</v>
      </c>
      <c r="X190" s="493">
        <f t="shared" si="35"/>
        <v>3270761583</v>
      </c>
      <c r="Y190" s="492">
        <v>39815513.69262527</v>
      </c>
      <c r="Z190" s="492">
        <v>0</v>
      </c>
      <c r="AA190" s="1"/>
      <c r="AC190">
        <v>564</v>
      </c>
      <c r="AD190">
        <f t="shared" si="27"/>
        <v>0</v>
      </c>
      <c r="AF190" s="494"/>
    </row>
    <row r="191" spans="1:32" s="498" customFormat="1" ht="12.75">
      <c r="A191" s="468" t="s">
        <v>1021</v>
      </c>
      <c r="B191" s="483">
        <v>3073</v>
      </c>
      <c r="C191" s="484">
        <f t="shared" si="28"/>
        <v>7595472.899238094</v>
      </c>
      <c r="D191" s="484">
        <f t="shared" si="24"/>
        <v>1137400.4058065703</v>
      </c>
      <c r="E191" s="484">
        <f t="shared" si="29"/>
        <v>0</v>
      </c>
      <c r="F191" s="484">
        <f t="shared" si="30"/>
        <v>8732873.305044664</v>
      </c>
      <c r="G191" s="485">
        <f t="shared" si="31"/>
        <v>2841.8071282280066</v>
      </c>
      <c r="H191" s="475">
        <f t="shared" si="32"/>
        <v>840.4928717719936</v>
      </c>
      <c r="I191" s="380">
        <f t="shared" si="33"/>
        <v>0</v>
      </c>
      <c r="J191" s="380">
        <f t="shared" si="34"/>
        <v>0</v>
      </c>
      <c r="K191" s="476">
        <f t="shared" si="25"/>
        <v>672.3942974175949</v>
      </c>
      <c r="L191" s="500">
        <f t="shared" si="26"/>
        <v>2066267.675964269</v>
      </c>
      <c r="M191" s="486">
        <v>2157909.238918096</v>
      </c>
      <c r="N191" s="486"/>
      <c r="O191" s="495">
        <v>576</v>
      </c>
      <c r="P191" s="391" t="s">
        <v>1021</v>
      </c>
      <c r="Q191" s="488">
        <v>0</v>
      </c>
      <c r="R191" s="489" t="s">
        <v>784</v>
      </c>
      <c r="S191"/>
      <c r="T191"/>
      <c r="U191" s="490" t="s">
        <v>229</v>
      </c>
      <c r="V191" s="491">
        <v>21</v>
      </c>
      <c r="W191" s="492">
        <v>8015323.16</v>
      </c>
      <c r="X191" s="493">
        <f t="shared" si="35"/>
        <v>38168205.52380952</v>
      </c>
      <c r="Y191" s="492">
        <v>1137400.4058065703</v>
      </c>
      <c r="Z191" s="492">
        <v>0</v>
      </c>
      <c r="AA191"/>
      <c r="AB191"/>
      <c r="AC191">
        <v>576</v>
      </c>
      <c r="AD191">
        <f t="shared" si="27"/>
        <v>0</v>
      </c>
      <c r="AE191"/>
      <c r="AF191" s="494"/>
    </row>
    <row r="192" spans="1:32" ht="12.75">
      <c r="A192" s="468" t="s">
        <v>1022</v>
      </c>
      <c r="B192" s="483">
        <v>10713</v>
      </c>
      <c r="C192" s="484">
        <f t="shared" si="28"/>
        <v>35734239.66009638</v>
      </c>
      <c r="D192" s="484">
        <f t="shared" si="24"/>
        <v>1365392.0643053607</v>
      </c>
      <c r="E192" s="484">
        <f t="shared" si="29"/>
        <v>0</v>
      </c>
      <c r="F192" s="484">
        <f t="shared" si="30"/>
        <v>37099631.724401735</v>
      </c>
      <c r="G192" s="485">
        <f t="shared" si="31"/>
        <v>3463.047860020698</v>
      </c>
      <c r="H192" s="475">
        <f t="shared" si="32"/>
        <v>219.25213997930223</v>
      </c>
      <c r="I192" s="380">
        <f t="shared" si="33"/>
        <v>0</v>
      </c>
      <c r="J192" s="380">
        <f t="shared" si="34"/>
        <v>0</v>
      </c>
      <c r="K192" s="476">
        <f t="shared" si="25"/>
        <v>175.4017119834418</v>
      </c>
      <c r="L192" s="500">
        <f t="shared" si="26"/>
        <v>1879078.540478612</v>
      </c>
      <c r="M192" s="486">
        <v>1445339.6169445775</v>
      </c>
      <c r="N192" s="486"/>
      <c r="O192" s="495">
        <v>577</v>
      </c>
      <c r="P192" s="496" t="s">
        <v>1023</v>
      </c>
      <c r="Q192" s="488">
        <v>0</v>
      </c>
      <c r="R192" s="489" t="s">
        <v>788</v>
      </c>
      <c r="U192" s="490" t="s">
        <v>230</v>
      </c>
      <c r="V192" s="491">
        <v>20.75</v>
      </c>
      <c r="W192" s="492">
        <v>37260576.53</v>
      </c>
      <c r="X192" s="493">
        <f t="shared" si="35"/>
        <v>179569043.51807228</v>
      </c>
      <c r="Y192" s="492">
        <v>1365392.0643053607</v>
      </c>
      <c r="Z192" s="492">
        <v>0</v>
      </c>
      <c r="AA192" s="1"/>
      <c r="AB192" s="498"/>
      <c r="AC192" s="498">
        <v>577</v>
      </c>
      <c r="AD192">
        <f t="shared" si="27"/>
        <v>0</v>
      </c>
      <c r="AE192" s="498"/>
      <c r="AF192" s="494"/>
    </row>
    <row r="193" spans="1:32" ht="12">
      <c r="A193" s="468" t="s">
        <v>1024</v>
      </c>
      <c r="B193" s="483">
        <v>3491</v>
      </c>
      <c r="C193" s="484">
        <f t="shared" si="28"/>
        <v>8091344.586045455</v>
      </c>
      <c r="D193" s="484">
        <f t="shared" si="24"/>
        <v>598150.6249543265</v>
      </c>
      <c r="E193" s="484">
        <f t="shared" si="29"/>
        <v>0</v>
      </c>
      <c r="F193" s="484">
        <f t="shared" si="30"/>
        <v>8689495.210999781</v>
      </c>
      <c r="G193" s="485">
        <f t="shared" si="31"/>
        <v>2489.113494987047</v>
      </c>
      <c r="H193" s="475">
        <f t="shared" si="32"/>
        <v>1193.1865050129531</v>
      </c>
      <c r="I193" s="380">
        <f t="shared" si="33"/>
        <v>0</v>
      </c>
      <c r="J193" s="380">
        <f t="shared" si="34"/>
        <v>0</v>
      </c>
      <c r="K193" s="476">
        <f t="shared" si="25"/>
        <v>954.5492040103626</v>
      </c>
      <c r="L193" s="500">
        <f t="shared" si="26"/>
        <v>3332331.271200176</v>
      </c>
      <c r="M193" s="486">
        <v>3208623.4720472726</v>
      </c>
      <c r="N193" s="486"/>
      <c r="O193" s="495">
        <v>578</v>
      </c>
      <c r="P193" s="391" t="s">
        <v>1024</v>
      </c>
      <c r="Q193" s="488">
        <v>0</v>
      </c>
      <c r="R193" s="489" t="s">
        <v>832</v>
      </c>
      <c r="U193" s="490" t="s">
        <v>231</v>
      </c>
      <c r="V193" s="491">
        <v>22</v>
      </c>
      <c r="W193" s="492">
        <v>8945205.07</v>
      </c>
      <c r="X193" s="493">
        <f t="shared" si="35"/>
        <v>40660023.04545455</v>
      </c>
      <c r="Y193" s="492">
        <v>598150.6249543265</v>
      </c>
      <c r="Z193" s="492">
        <v>0</v>
      </c>
      <c r="AC193">
        <v>578</v>
      </c>
      <c r="AD193">
        <f t="shared" si="27"/>
        <v>0</v>
      </c>
      <c r="AF193" s="494"/>
    </row>
    <row r="194" spans="1:32" ht="12">
      <c r="A194" s="468" t="s">
        <v>1025</v>
      </c>
      <c r="B194" s="483">
        <v>5126</v>
      </c>
      <c r="C194" s="484">
        <f t="shared" si="28"/>
        <v>12581244.56805128</v>
      </c>
      <c r="D194" s="484">
        <f t="shared" si="24"/>
        <v>1595583.9490181</v>
      </c>
      <c r="E194" s="484">
        <f t="shared" si="29"/>
        <v>0</v>
      </c>
      <c r="F194" s="484">
        <f t="shared" si="30"/>
        <v>14176828.51706938</v>
      </c>
      <c r="G194" s="485">
        <f t="shared" si="31"/>
        <v>2765.6707992722163</v>
      </c>
      <c r="H194" s="475">
        <f t="shared" si="32"/>
        <v>916.6292007277839</v>
      </c>
      <c r="I194" s="380">
        <f t="shared" si="33"/>
        <v>0</v>
      </c>
      <c r="J194" s="380">
        <f t="shared" si="34"/>
        <v>0</v>
      </c>
      <c r="K194" s="476">
        <f t="shared" si="25"/>
        <v>733.3033605822271</v>
      </c>
      <c r="L194" s="500">
        <f t="shared" si="26"/>
        <v>3758913.0263444963</v>
      </c>
      <c r="M194" s="486">
        <v>3781269.3829538445</v>
      </c>
      <c r="N194" s="486"/>
      <c r="O194" s="495">
        <v>580</v>
      </c>
      <c r="P194" s="391" t="s">
        <v>1025</v>
      </c>
      <c r="Q194" s="488">
        <v>0</v>
      </c>
      <c r="R194" s="489" t="s">
        <v>861</v>
      </c>
      <c r="U194" s="490" t="s">
        <v>232</v>
      </c>
      <c r="V194" s="491">
        <v>19.5</v>
      </c>
      <c r="W194" s="492">
        <v>12328355.23</v>
      </c>
      <c r="X194" s="493">
        <f t="shared" si="35"/>
        <v>63222334.51282051</v>
      </c>
      <c r="Y194" s="492">
        <v>1595583.9490181</v>
      </c>
      <c r="Z194" s="492">
        <v>0</v>
      </c>
      <c r="AC194">
        <v>580</v>
      </c>
      <c r="AD194">
        <f t="shared" si="27"/>
        <v>0</v>
      </c>
      <c r="AF194" s="494"/>
    </row>
    <row r="195" spans="1:32" ht="12">
      <c r="A195" s="468" t="s">
        <v>1026</v>
      </c>
      <c r="B195" s="483">
        <v>6692</v>
      </c>
      <c r="C195" s="484">
        <f t="shared" si="28"/>
        <v>16754785.36533333</v>
      </c>
      <c r="D195" s="484">
        <f t="shared" si="24"/>
        <v>1973849.3174063074</v>
      </c>
      <c r="E195" s="484">
        <f t="shared" si="29"/>
        <v>0</v>
      </c>
      <c r="F195" s="484">
        <f t="shared" si="30"/>
        <v>18728634.682739638</v>
      </c>
      <c r="G195" s="485">
        <f t="shared" si="31"/>
        <v>2798.6602932964192</v>
      </c>
      <c r="H195" s="475">
        <f t="shared" si="32"/>
        <v>883.6397067035809</v>
      </c>
      <c r="I195" s="380">
        <f t="shared" si="33"/>
        <v>0</v>
      </c>
      <c r="J195" s="380">
        <f t="shared" si="34"/>
        <v>0</v>
      </c>
      <c r="K195" s="476">
        <f t="shared" si="25"/>
        <v>706.9117653628648</v>
      </c>
      <c r="L195" s="500">
        <f t="shared" si="26"/>
        <v>4730653.533808291</v>
      </c>
      <c r="M195" s="486">
        <v>4678537.90673143</v>
      </c>
      <c r="N195" s="486"/>
      <c r="O195" s="495">
        <v>581</v>
      </c>
      <c r="P195" s="391" t="s">
        <v>1026</v>
      </c>
      <c r="Q195" s="488">
        <v>0</v>
      </c>
      <c r="R195" s="489" t="s">
        <v>789</v>
      </c>
      <c r="U195" s="490" t="s">
        <v>233</v>
      </c>
      <c r="V195" s="491">
        <v>21</v>
      </c>
      <c r="W195" s="492">
        <v>17680929.28</v>
      </c>
      <c r="X195" s="493">
        <f t="shared" si="35"/>
        <v>84194901.33333333</v>
      </c>
      <c r="Y195" s="492">
        <v>1973849.3174063074</v>
      </c>
      <c r="Z195" s="492">
        <v>0</v>
      </c>
      <c r="AC195">
        <v>581</v>
      </c>
      <c r="AD195">
        <f t="shared" si="27"/>
        <v>0</v>
      </c>
      <c r="AF195" s="494"/>
    </row>
    <row r="196" spans="1:32" ht="12">
      <c r="A196" s="468" t="s">
        <v>1027</v>
      </c>
      <c r="B196" s="483">
        <v>951</v>
      </c>
      <c r="C196" s="484">
        <f t="shared" si="28"/>
        <v>2456439.537272727</v>
      </c>
      <c r="D196" s="484">
        <f t="shared" si="24"/>
        <v>316833.42800634267</v>
      </c>
      <c r="E196" s="484">
        <f t="shared" si="29"/>
        <v>0</v>
      </c>
      <c r="F196" s="484">
        <f t="shared" si="30"/>
        <v>2773272.9652790697</v>
      </c>
      <c r="G196" s="485">
        <f t="shared" si="31"/>
        <v>2916.165052869684</v>
      </c>
      <c r="H196" s="475">
        <f t="shared" si="32"/>
        <v>766.134947130316</v>
      </c>
      <c r="I196" s="380">
        <f t="shared" si="33"/>
        <v>0</v>
      </c>
      <c r="J196" s="380">
        <f t="shared" si="34"/>
        <v>0</v>
      </c>
      <c r="K196" s="476">
        <f t="shared" si="25"/>
        <v>612.9079577042529</v>
      </c>
      <c r="L196" s="500">
        <f t="shared" si="26"/>
        <v>582875.4677767445</v>
      </c>
      <c r="M196" s="486">
        <v>522158.7102325585</v>
      </c>
      <c r="N196" s="486"/>
      <c r="O196" s="495">
        <v>583</v>
      </c>
      <c r="P196" s="391" t="s">
        <v>1027</v>
      </c>
      <c r="Q196" s="488">
        <v>0</v>
      </c>
      <c r="R196" s="489" t="s">
        <v>794</v>
      </c>
      <c r="U196" s="490" t="s">
        <v>235</v>
      </c>
      <c r="V196" s="491">
        <v>22</v>
      </c>
      <c r="W196" s="492">
        <v>2715661.8</v>
      </c>
      <c r="X196" s="493">
        <f t="shared" si="35"/>
        <v>12343917.272727273</v>
      </c>
      <c r="Y196" s="492">
        <v>316833.42800634267</v>
      </c>
      <c r="Z196" s="492">
        <v>0</v>
      </c>
      <c r="AC196">
        <v>583</v>
      </c>
      <c r="AD196">
        <f t="shared" si="27"/>
        <v>0</v>
      </c>
      <c r="AF196" s="494"/>
    </row>
    <row r="197" spans="1:32" ht="12">
      <c r="A197" s="468" t="s">
        <v>1028</v>
      </c>
      <c r="B197" s="483">
        <v>2907</v>
      </c>
      <c r="C197" s="484">
        <f t="shared" si="28"/>
        <v>5896393.704139534</v>
      </c>
      <c r="D197" s="484">
        <f t="shared" si="24"/>
        <v>591565.3038709763</v>
      </c>
      <c r="E197" s="484">
        <f t="shared" si="29"/>
        <v>0</v>
      </c>
      <c r="F197" s="484">
        <f t="shared" si="30"/>
        <v>6487959.00801051</v>
      </c>
      <c r="G197" s="485">
        <f t="shared" si="31"/>
        <v>2231.8400440352634</v>
      </c>
      <c r="H197" s="475">
        <f t="shared" si="32"/>
        <v>1450.4599559647368</v>
      </c>
      <c r="I197" s="380">
        <f t="shared" si="33"/>
        <v>0</v>
      </c>
      <c r="J197" s="380">
        <f t="shared" si="34"/>
        <v>0</v>
      </c>
      <c r="K197" s="476">
        <f t="shared" si="25"/>
        <v>1160.3679647717895</v>
      </c>
      <c r="L197" s="500">
        <f t="shared" si="26"/>
        <v>3373189.673591592</v>
      </c>
      <c r="M197" s="486">
        <v>3459466.786952381</v>
      </c>
      <c r="N197" s="486"/>
      <c r="O197" s="495">
        <v>584</v>
      </c>
      <c r="P197" s="391" t="s">
        <v>1028</v>
      </c>
      <c r="Q197" s="488">
        <v>0</v>
      </c>
      <c r="R197" s="489" t="s">
        <v>809</v>
      </c>
      <c r="U197" s="490" t="s">
        <v>237</v>
      </c>
      <c r="V197" s="491">
        <v>21.5</v>
      </c>
      <c r="W197" s="492">
        <v>6370475.61</v>
      </c>
      <c r="X197" s="493">
        <f t="shared" si="35"/>
        <v>29630119.11627907</v>
      </c>
      <c r="Y197" s="492">
        <v>591565.3038709763</v>
      </c>
      <c r="Z197" s="492">
        <v>0</v>
      </c>
      <c r="AC197">
        <v>584</v>
      </c>
      <c r="AD197">
        <f t="shared" si="27"/>
        <v>0</v>
      </c>
      <c r="AF197" s="494"/>
    </row>
    <row r="198" spans="1:32" ht="12">
      <c r="A198" s="468" t="s">
        <v>1029</v>
      </c>
      <c r="B198" s="483">
        <v>1796</v>
      </c>
      <c r="C198" s="484">
        <f t="shared" si="28"/>
        <v>3717499.204238095</v>
      </c>
      <c r="D198" s="484">
        <f t="shared" si="24"/>
        <v>759271.890328522</v>
      </c>
      <c r="E198" s="484">
        <f t="shared" si="29"/>
        <v>0</v>
      </c>
      <c r="F198" s="484">
        <f t="shared" si="30"/>
        <v>4476771.094566617</v>
      </c>
      <c r="G198" s="485">
        <f t="shared" si="31"/>
        <v>2492.6342397364238</v>
      </c>
      <c r="H198" s="475">
        <f t="shared" si="32"/>
        <v>1189.6657602635764</v>
      </c>
      <c r="I198" s="380">
        <f t="shared" si="33"/>
        <v>0</v>
      </c>
      <c r="J198" s="380">
        <f t="shared" si="34"/>
        <v>0</v>
      </c>
      <c r="K198" s="476">
        <f t="shared" si="25"/>
        <v>951.7326082108611</v>
      </c>
      <c r="L198" s="500">
        <f t="shared" si="26"/>
        <v>1709311.7643467067</v>
      </c>
      <c r="M198" s="486">
        <v>1664925.4264990478</v>
      </c>
      <c r="N198" s="486"/>
      <c r="O198" s="495">
        <v>588</v>
      </c>
      <c r="P198" s="391" t="s">
        <v>1029</v>
      </c>
      <c r="Q198" s="488">
        <v>0</v>
      </c>
      <c r="R198" s="489" t="s">
        <v>791</v>
      </c>
      <c r="U198" s="490" t="s">
        <v>238</v>
      </c>
      <c r="V198" s="491">
        <v>21</v>
      </c>
      <c r="W198" s="492">
        <v>3922989.11</v>
      </c>
      <c r="X198" s="493">
        <f t="shared" si="35"/>
        <v>18680900.523809522</v>
      </c>
      <c r="Y198" s="492">
        <v>759271.890328522</v>
      </c>
      <c r="Z198" s="492">
        <v>0</v>
      </c>
      <c r="AC198">
        <v>588</v>
      </c>
      <c r="AD198">
        <f t="shared" si="27"/>
        <v>0</v>
      </c>
      <c r="AF198" s="494"/>
    </row>
    <row r="199" spans="1:32" ht="12">
      <c r="A199" s="468" t="s">
        <v>1030</v>
      </c>
      <c r="B199" s="483">
        <v>3981</v>
      </c>
      <c r="C199" s="484">
        <f t="shared" si="28"/>
        <v>10010082.669976471</v>
      </c>
      <c r="D199" s="484">
        <f t="shared" si="24"/>
        <v>1009953.147029295</v>
      </c>
      <c r="E199" s="484">
        <f t="shared" si="29"/>
        <v>0</v>
      </c>
      <c r="F199" s="484">
        <f t="shared" si="30"/>
        <v>11020035.817005767</v>
      </c>
      <c r="G199" s="485">
        <f t="shared" si="31"/>
        <v>2768.1577033423177</v>
      </c>
      <c r="H199" s="475">
        <f t="shared" si="32"/>
        <v>914.1422966576824</v>
      </c>
      <c r="I199" s="380">
        <f t="shared" si="33"/>
        <v>0</v>
      </c>
      <c r="J199" s="380">
        <f t="shared" si="34"/>
        <v>0</v>
      </c>
      <c r="K199" s="476">
        <f t="shared" si="25"/>
        <v>731.313837326146</v>
      </c>
      <c r="L199" s="500">
        <f t="shared" si="26"/>
        <v>2911360.386395387</v>
      </c>
      <c r="M199" s="486">
        <v>2983839.441991529</v>
      </c>
      <c r="N199" s="486"/>
      <c r="O199" s="495">
        <v>592</v>
      </c>
      <c r="P199" s="391" t="s">
        <v>1030</v>
      </c>
      <c r="Q199" s="488">
        <v>0</v>
      </c>
      <c r="R199" s="489" t="s">
        <v>814</v>
      </c>
      <c r="U199" s="490" t="s">
        <v>239</v>
      </c>
      <c r="V199" s="491">
        <v>21.25</v>
      </c>
      <c r="W199" s="492">
        <v>10689158.63</v>
      </c>
      <c r="X199" s="493">
        <f t="shared" si="35"/>
        <v>50301922.964705884</v>
      </c>
      <c r="Y199" s="492">
        <v>1009953.147029295</v>
      </c>
      <c r="Z199" s="492">
        <v>0</v>
      </c>
      <c r="AC199">
        <v>592</v>
      </c>
      <c r="AD199">
        <f t="shared" si="27"/>
        <v>0</v>
      </c>
      <c r="AF199" s="494"/>
    </row>
    <row r="200" spans="1:32" ht="12">
      <c r="A200" s="468" t="s">
        <v>1031</v>
      </c>
      <c r="B200" s="483">
        <v>18475</v>
      </c>
      <c r="C200" s="484">
        <f t="shared" si="28"/>
        <v>51508854.77018182</v>
      </c>
      <c r="D200" s="484">
        <f t="shared" si="24"/>
        <v>4368953.734142252</v>
      </c>
      <c r="E200" s="484">
        <f t="shared" si="29"/>
        <v>0</v>
      </c>
      <c r="F200" s="484">
        <f t="shared" si="30"/>
        <v>55877808.50432407</v>
      </c>
      <c r="G200" s="485">
        <f t="shared" si="31"/>
        <v>3024.5092559850646</v>
      </c>
      <c r="H200" s="475">
        <f t="shared" si="32"/>
        <v>657.7907440149356</v>
      </c>
      <c r="I200" s="380">
        <f t="shared" si="33"/>
        <v>0</v>
      </c>
      <c r="J200" s="380">
        <f t="shared" si="34"/>
        <v>0</v>
      </c>
      <c r="K200" s="476">
        <f t="shared" si="25"/>
        <v>526.2325952119485</v>
      </c>
      <c r="L200" s="500">
        <f t="shared" si="26"/>
        <v>9722147.196540749</v>
      </c>
      <c r="M200" s="486">
        <v>9788559.897585459</v>
      </c>
      <c r="N200" s="486"/>
      <c r="O200" s="495">
        <v>593</v>
      </c>
      <c r="P200" s="391" t="s">
        <v>1031</v>
      </c>
      <c r="Q200" s="488">
        <v>0</v>
      </c>
      <c r="R200" s="489" t="s">
        <v>791</v>
      </c>
      <c r="U200" s="490" t="s">
        <v>240</v>
      </c>
      <c r="V200" s="491">
        <v>22</v>
      </c>
      <c r="W200" s="492">
        <v>56944462.56</v>
      </c>
      <c r="X200" s="493">
        <f t="shared" si="35"/>
        <v>258838466.1818182</v>
      </c>
      <c r="Y200" s="492">
        <v>4368953.734142252</v>
      </c>
      <c r="Z200" s="492">
        <v>0</v>
      </c>
      <c r="AC200">
        <v>593</v>
      </c>
      <c r="AD200">
        <f t="shared" si="27"/>
        <v>0</v>
      </c>
      <c r="AF200" s="494"/>
    </row>
    <row r="201" spans="1:32" ht="12">
      <c r="A201" s="468" t="s">
        <v>1032</v>
      </c>
      <c r="B201" s="483">
        <v>4697</v>
      </c>
      <c r="C201" s="484">
        <f t="shared" si="28"/>
        <v>9793153.350024095</v>
      </c>
      <c r="D201" s="484">
        <f t="shared" si="24"/>
        <v>1387405.5886544143</v>
      </c>
      <c r="E201" s="484">
        <f t="shared" si="29"/>
        <v>0</v>
      </c>
      <c r="F201" s="484">
        <f t="shared" si="30"/>
        <v>11180558.938678509</v>
      </c>
      <c r="G201" s="485">
        <f t="shared" si="31"/>
        <v>2380.361707191507</v>
      </c>
      <c r="H201" s="475">
        <f t="shared" si="32"/>
        <v>1301.9382928084933</v>
      </c>
      <c r="I201" s="380">
        <f t="shared" si="33"/>
        <v>0</v>
      </c>
      <c r="J201" s="380">
        <f t="shared" si="34"/>
        <v>0</v>
      </c>
      <c r="K201" s="476">
        <f t="shared" si="25"/>
        <v>1041.5506342467947</v>
      </c>
      <c r="L201" s="500">
        <f t="shared" si="26"/>
        <v>4892163.329057195</v>
      </c>
      <c r="M201" s="486">
        <v>4913831.616431807</v>
      </c>
      <c r="N201" s="486"/>
      <c r="O201" s="495">
        <v>595</v>
      </c>
      <c r="P201" s="391" t="s">
        <v>1032</v>
      </c>
      <c r="Q201" s="488">
        <v>0</v>
      </c>
      <c r="R201" s="489" t="s">
        <v>843</v>
      </c>
      <c r="U201" s="490" t="s">
        <v>241</v>
      </c>
      <c r="V201" s="491">
        <v>20.75</v>
      </c>
      <c r="W201" s="492">
        <v>10211453.87</v>
      </c>
      <c r="X201" s="493">
        <f t="shared" si="35"/>
        <v>49211825.87951807</v>
      </c>
      <c r="Y201" s="492">
        <v>1387405.5886544143</v>
      </c>
      <c r="Z201" s="492">
        <v>0</v>
      </c>
      <c r="AC201">
        <v>595</v>
      </c>
      <c r="AD201">
        <f t="shared" si="27"/>
        <v>0</v>
      </c>
      <c r="AF201" s="494"/>
    </row>
    <row r="202" spans="1:32" ht="12">
      <c r="A202" s="468" t="s">
        <v>1033</v>
      </c>
      <c r="B202" s="483">
        <v>19377</v>
      </c>
      <c r="C202" s="484">
        <f t="shared" si="28"/>
        <v>61398937.430682346</v>
      </c>
      <c r="D202" s="484">
        <f t="shared" si="24"/>
        <v>5362981.946208247</v>
      </c>
      <c r="E202" s="484">
        <f t="shared" si="29"/>
        <v>0</v>
      </c>
      <c r="F202" s="484">
        <f t="shared" si="30"/>
        <v>66761919.37689059</v>
      </c>
      <c r="G202" s="485">
        <f t="shared" si="31"/>
        <v>3445.4208276250497</v>
      </c>
      <c r="H202" s="475">
        <f t="shared" si="32"/>
        <v>236.87917237495049</v>
      </c>
      <c r="I202" s="380">
        <f t="shared" si="33"/>
        <v>0</v>
      </c>
      <c r="J202" s="380">
        <f t="shared" si="34"/>
        <v>0</v>
      </c>
      <c r="K202" s="476">
        <f t="shared" si="25"/>
        <v>189.5033378999604</v>
      </c>
      <c r="L202" s="500">
        <f t="shared" si="26"/>
        <v>3672006.178487533</v>
      </c>
      <c r="M202" s="486">
        <v>3267696.0343491724</v>
      </c>
      <c r="N202" s="486"/>
      <c r="O202" s="495">
        <v>598</v>
      </c>
      <c r="P202" s="496" t="s">
        <v>1034</v>
      </c>
      <c r="Q202" s="488">
        <v>3</v>
      </c>
      <c r="R202" s="489" t="s">
        <v>859</v>
      </c>
      <c r="U202" s="490" t="s">
        <v>242</v>
      </c>
      <c r="V202" s="491">
        <v>21.25</v>
      </c>
      <c r="W202" s="492">
        <v>65564191.98</v>
      </c>
      <c r="X202" s="493">
        <f t="shared" si="35"/>
        <v>308537374.0235294</v>
      </c>
      <c r="Y202" s="492">
        <v>5362981.946208247</v>
      </c>
      <c r="Z202" s="492">
        <v>0</v>
      </c>
      <c r="AC202">
        <v>598</v>
      </c>
      <c r="AD202">
        <f t="shared" si="27"/>
        <v>0</v>
      </c>
      <c r="AF202" s="494"/>
    </row>
    <row r="203" spans="1:32" ht="12">
      <c r="A203" s="468" t="s">
        <v>1035</v>
      </c>
      <c r="B203" s="483">
        <v>11067</v>
      </c>
      <c r="C203" s="484">
        <f t="shared" si="28"/>
        <v>28484652.273121953</v>
      </c>
      <c r="D203" s="484">
        <f t="shared" si="24"/>
        <v>2807423.123415938</v>
      </c>
      <c r="E203" s="484">
        <f t="shared" si="29"/>
        <v>0</v>
      </c>
      <c r="F203" s="484">
        <f t="shared" si="30"/>
        <v>31292075.396537893</v>
      </c>
      <c r="G203" s="485">
        <f t="shared" si="31"/>
        <v>2827.5120083616057</v>
      </c>
      <c r="H203" s="475">
        <f t="shared" si="32"/>
        <v>854.7879916383945</v>
      </c>
      <c r="I203" s="380">
        <f t="shared" si="33"/>
        <v>0</v>
      </c>
      <c r="J203" s="380">
        <f t="shared" si="34"/>
        <v>0</v>
      </c>
      <c r="K203" s="476">
        <f t="shared" si="25"/>
        <v>683.8303933107156</v>
      </c>
      <c r="L203" s="500">
        <f t="shared" si="26"/>
        <v>7567950.96276969</v>
      </c>
      <c r="M203" s="486">
        <v>6954542.774770733</v>
      </c>
      <c r="N203" s="486"/>
      <c r="O203" s="495">
        <v>599</v>
      </c>
      <c r="P203" s="496" t="s">
        <v>234</v>
      </c>
      <c r="Q203" s="488">
        <v>3</v>
      </c>
      <c r="R203" s="489" t="s">
        <v>859</v>
      </c>
      <c r="U203" s="490" t="s">
        <v>1035</v>
      </c>
      <c r="V203" s="491">
        <v>20.5</v>
      </c>
      <c r="W203" s="492">
        <v>29343486.01</v>
      </c>
      <c r="X203" s="493">
        <f t="shared" si="35"/>
        <v>143138956.14634147</v>
      </c>
      <c r="Y203" s="492">
        <v>2807423.123415938</v>
      </c>
      <c r="Z203" s="492">
        <v>0</v>
      </c>
      <c r="AC203">
        <v>599</v>
      </c>
      <c r="AD203">
        <f t="shared" si="27"/>
        <v>0</v>
      </c>
      <c r="AF203" s="494"/>
    </row>
    <row r="204" spans="1:32" ht="12">
      <c r="A204" s="468" t="s">
        <v>1036</v>
      </c>
      <c r="B204" s="483">
        <v>4202</v>
      </c>
      <c r="C204" s="484">
        <f t="shared" si="28"/>
        <v>8953833.90738095</v>
      </c>
      <c r="D204" s="484">
        <f t="shared" si="24"/>
        <v>1478148.794543387</v>
      </c>
      <c r="E204" s="484">
        <f t="shared" si="29"/>
        <v>0</v>
      </c>
      <c r="F204" s="484">
        <f t="shared" si="30"/>
        <v>10431982.701924337</v>
      </c>
      <c r="G204" s="485">
        <f t="shared" si="31"/>
        <v>2482.6232036945116</v>
      </c>
      <c r="H204" s="475">
        <f t="shared" si="32"/>
        <v>1199.6767963054886</v>
      </c>
      <c r="I204" s="380">
        <f t="shared" si="33"/>
        <v>0</v>
      </c>
      <c r="J204" s="380">
        <f t="shared" si="34"/>
        <v>0</v>
      </c>
      <c r="K204" s="476">
        <f t="shared" si="25"/>
        <v>959.7414370443909</v>
      </c>
      <c r="L204" s="500">
        <f t="shared" si="26"/>
        <v>4032833.5184605303</v>
      </c>
      <c r="M204" s="486">
        <v>3967760.881980953</v>
      </c>
      <c r="N204" s="486"/>
      <c r="O204" s="495">
        <v>601</v>
      </c>
      <c r="P204" s="391" t="s">
        <v>1036</v>
      </c>
      <c r="Q204" s="488">
        <v>0</v>
      </c>
      <c r="R204" s="489" t="s">
        <v>814</v>
      </c>
      <c r="U204" s="490" t="s">
        <v>243</v>
      </c>
      <c r="V204" s="491">
        <v>21</v>
      </c>
      <c r="W204" s="492">
        <v>9448769.45</v>
      </c>
      <c r="X204" s="493">
        <f t="shared" si="35"/>
        <v>44994140.23809523</v>
      </c>
      <c r="Y204" s="492">
        <v>1478148.794543387</v>
      </c>
      <c r="Z204" s="492">
        <v>0</v>
      </c>
      <c r="AC204">
        <v>601</v>
      </c>
      <c r="AD204">
        <f t="shared" si="27"/>
        <v>0</v>
      </c>
      <c r="AF204" s="494"/>
    </row>
    <row r="205" spans="1:32" ht="12">
      <c r="A205" s="468" t="s">
        <v>1037</v>
      </c>
      <c r="B205" s="483">
        <v>19163</v>
      </c>
      <c r="C205" s="484">
        <f t="shared" si="28"/>
        <v>75165117.5216</v>
      </c>
      <c r="D205" s="484">
        <f t="shared" si="24"/>
        <v>3473066.6345325895</v>
      </c>
      <c r="E205" s="484">
        <f t="shared" si="29"/>
        <v>0</v>
      </c>
      <c r="F205" s="484">
        <f t="shared" si="30"/>
        <v>78638184.15613258</v>
      </c>
      <c r="G205" s="485">
        <f t="shared" si="31"/>
        <v>4103.646827539142</v>
      </c>
      <c r="H205" s="475">
        <f t="shared" si="32"/>
        <v>-421.3468275391415</v>
      </c>
      <c r="I205" s="380">
        <f t="shared" si="33"/>
        <v>6.0434563129130305</v>
      </c>
      <c r="J205" s="380">
        <f t="shared" si="34"/>
        <v>36.04345631291303</v>
      </c>
      <c r="K205" s="476">
        <f t="shared" si="25"/>
        <v>-151.86795970991545</v>
      </c>
      <c r="L205" s="500">
        <f t="shared" si="26"/>
        <v>-2910245.71192111</v>
      </c>
      <c r="M205" s="486">
        <v>-2925456.844153374</v>
      </c>
      <c r="N205" s="486"/>
      <c r="O205" s="495">
        <v>604</v>
      </c>
      <c r="P205" s="496" t="s">
        <v>1038</v>
      </c>
      <c r="Q205" s="488">
        <v>0</v>
      </c>
      <c r="R205" s="489" t="s">
        <v>789</v>
      </c>
      <c r="U205" s="490" t="s">
        <v>244</v>
      </c>
      <c r="V205" s="491">
        <v>20</v>
      </c>
      <c r="W205" s="492">
        <v>75542831.68</v>
      </c>
      <c r="X205" s="493">
        <f t="shared" si="35"/>
        <v>377714158.40000004</v>
      </c>
      <c r="Y205" s="492">
        <v>3473066.6345325895</v>
      </c>
      <c r="Z205" s="492">
        <v>0</v>
      </c>
      <c r="AC205">
        <v>604</v>
      </c>
      <c r="AD205">
        <f t="shared" si="27"/>
        <v>0</v>
      </c>
      <c r="AF205" s="494"/>
    </row>
    <row r="206" spans="1:32" ht="12.75">
      <c r="A206" s="468" t="s">
        <v>1039</v>
      </c>
      <c r="B206" s="483">
        <v>4514</v>
      </c>
      <c r="C206" s="484">
        <f t="shared" si="28"/>
        <v>9329332.217530861</v>
      </c>
      <c r="D206" s="484">
        <f t="shared" si="24"/>
        <v>1139366.0026545988</v>
      </c>
      <c r="E206" s="484">
        <f t="shared" si="29"/>
        <v>0</v>
      </c>
      <c r="F206" s="484">
        <f t="shared" si="30"/>
        <v>10468698.22018546</v>
      </c>
      <c r="G206" s="485">
        <f t="shared" si="31"/>
        <v>2319.16221094051</v>
      </c>
      <c r="H206" s="475">
        <f t="shared" si="32"/>
        <v>1363.1377890594904</v>
      </c>
      <c r="I206" s="380">
        <f t="shared" si="33"/>
        <v>0</v>
      </c>
      <c r="J206" s="380">
        <f t="shared" si="34"/>
        <v>0</v>
      </c>
      <c r="K206" s="476">
        <f t="shared" si="25"/>
        <v>1090.5102312475924</v>
      </c>
      <c r="L206" s="500">
        <f t="shared" si="26"/>
        <v>4922563.183851632</v>
      </c>
      <c r="M206" s="486">
        <v>4871361.710925432</v>
      </c>
      <c r="N206" s="486"/>
      <c r="O206" s="495">
        <v>607</v>
      </c>
      <c r="P206" s="391" t="s">
        <v>1039</v>
      </c>
      <c r="Q206" s="488">
        <v>0</v>
      </c>
      <c r="R206" s="489" t="s">
        <v>850</v>
      </c>
      <c r="U206" s="490" t="s">
        <v>245</v>
      </c>
      <c r="V206" s="491">
        <v>20.25</v>
      </c>
      <c r="W206" s="492">
        <v>9493415.95</v>
      </c>
      <c r="X206" s="493">
        <f t="shared" si="35"/>
        <v>46881066.41975308</v>
      </c>
      <c r="Y206" s="492">
        <v>1139366.0026545988</v>
      </c>
      <c r="Z206" s="492">
        <v>0</v>
      </c>
      <c r="AB206" s="1"/>
      <c r="AC206" s="1">
        <v>607</v>
      </c>
      <c r="AD206">
        <f t="shared" si="27"/>
        <v>0</v>
      </c>
      <c r="AE206" s="1"/>
      <c r="AF206" s="494"/>
    </row>
    <row r="207" spans="1:32" s="1" customFormat="1" ht="12.75">
      <c r="A207" s="468" t="s">
        <v>1040</v>
      </c>
      <c r="B207" s="483">
        <v>2233</v>
      </c>
      <c r="C207" s="484">
        <f t="shared" si="28"/>
        <v>5133885.201414634</v>
      </c>
      <c r="D207" s="484">
        <f t="shared" si="24"/>
        <v>489347.1009128689</v>
      </c>
      <c r="E207" s="484">
        <f t="shared" si="29"/>
        <v>0</v>
      </c>
      <c r="F207" s="484">
        <f t="shared" si="30"/>
        <v>5623232.3023275025</v>
      </c>
      <c r="G207" s="485">
        <f t="shared" si="31"/>
        <v>2518.2410668730417</v>
      </c>
      <c r="H207" s="475">
        <f t="shared" si="32"/>
        <v>1164.0589331269584</v>
      </c>
      <c r="I207" s="380">
        <f t="shared" si="33"/>
        <v>0</v>
      </c>
      <c r="J207" s="380">
        <f t="shared" si="34"/>
        <v>0</v>
      </c>
      <c r="K207" s="476">
        <f t="shared" si="25"/>
        <v>931.2471465015668</v>
      </c>
      <c r="L207" s="500">
        <f t="shared" si="26"/>
        <v>2079474.8781379987</v>
      </c>
      <c r="M207" s="486">
        <v>2010376.6460526837</v>
      </c>
      <c r="N207" s="486"/>
      <c r="O207" s="495">
        <v>608</v>
      </c>
      <c r="P207" s="496" t="s">
        <v>1041</v>
      </c>
      <c r="Q207" s="488">
        <v>0</v>
      </c>
      <c r="R207" s="489" t="s">
        <v>798</v>
      </c>
      <c r="S207"/>
      <c r="T207"/>
      <c r="U207" s="490" t="s">
        <v>246</v>
      </c>
      <c r="V207" s="491">
        <v>20.5</v>
      </c>
      <c r="W207" s="492">
        <v>5288675.71</v>
      </c>
      <c r="X207" s="493">
        <f t="shared" si="35"/>
        <v>25798418.097560976</v>
      </c>
      <c r="Y207" s="492">
        <v>489347.1009128689</v>
      </c>
      <c r="Z207" s="492">
        <v>0</v>
      </c>
      <c r="AA207"/>
      <c r="AB207"/>
      <c r="AC207">
        <v>608</v>
      </c>
      <c r="AD207">
        <f t="shared" si="27"/>
        <v>0</v>
      </c>
      <c r="AE207"/>
      <c r="AF207" s="494"/>
    </row>
    <row r="208" spans="1:32" ht="12.75">
      <c r="A208" s="468" t="s">
        <v>1042</v>
      </c>
      <c r="B208" s="483">
        <v>85059</v>
      </c>
      <c r="C208" s="484">
        <f t="shared" si="28"/>
        <v>264632930.46136707</v>
      </c>
      <c r="D208" s="484">
        <f t="shared" si="24"/>
        <v>15572508.687081993</v>
      </c>
      <c r="E208" s="484">
        <f t="shared" si="29"/>
        <v>0</v>
      </c>
      <c r="F208" s="484">
        <f t="shared" si="30"/>
        <v>280205439.14844906</v>
      </c>
      <c r="G208" s="485">
        <f t="shared" si="31"/>
        <v>3294.247982558566</v>
      </c>
      <c r="H208" s="475">
        <f t="shared" si="32"/>
        <v>388.05201744143415</v>
      </c>
      <c r="I208" s="380">
        <f t="shared" si="33"/>
        <v>0</v>
      </c>
      <c r="J208" s="380">
        <f t="shared" si="34"/>
        <v>0</v>
      </c>
      <c r="K208" s="476">
        <f t="shared" si="25"/>
        <v>310.44161395314734</v>
      </c>
      <c r="L208" s="500">
        <f t="shared" si="26"/>
        <v>26405853.24124076</v>
      </c>
      <c r="M208" s="499">
        <v>27892317.92160806</v>
      </c>
      <c r="N208" s="486"/>
      <c r="O208" s="495">
        <v>609</v>
      </c>
      <c r="P208" s="496" t="s">
        <v>1043</v>
      </c>
      <c r="Q208" s="488">
        <v>0</v>
      </c>
      <c r="R208" s="489" t="s">
        <v>798</v>
      </c>
      <c r="U208" s="490" t="s">
        <v>247</v>
      </c>
      <c r="V208" s="491">
        <v>19.75</v>
      </c>
      <c r="W208" s="492">
        <v>262638209.88</v>
      </c>
      <c r="X208" s="493">
        <f t="shared" si="35"/>
        <v>1329813720.9113925</v>
      </c>
      <c r="Y208" s="492">
        <v>15572508.687081993</v>
      </c>
      <c r="Z208" s="492">
        <v>0</v>
      </c>
      <c r="AA208" s="1"/>
      <c r="AC208">
        <v>609</v>
      </c>
      <c r="AD208">
        <f t="shared" si="27"/>
        <v>0</v>
      </c>
      <c r="AF208" s="494"/>
    </row>
    <row r="209" spans="1:32" ht="12">
      <c r="A209" s="468" t="s">
        <v>1044</v>
      </c>
      <c r="B209" s="483">
        <v>5108</v>
      </c>
      <c r="C209" s="484">
        <f t="shared" si="28"/>
        <v>16983257.252390243</v>
      </c>
      <c r="D209" s="484">
        <f t="shared" si="24"/>
        <v>636209.7264206478</v>
      </c>
      <c r="E209" s="484">
        <f t="shared" si="29"/>
        <v>0</v>
      </c>
      <c r="F209" s="484">
        <f t="shared" si="30"/>
        <v>17619466.97881089</v>
      </c>
      <c r="G209" s="485">
        <f t="shared" si="31"/>
        <v>3449.386644246455</v>
      </c>
      <c r="H209" s="475">
        <f t="shared" si="32"/>
        <v>232.91335575354515</v>
      </c>
      <c r="I209" s="380">
        <f t="shared" si="33"/>
        <v>0</v>
      </c>
      <c r="J209" s="380">
        <f t="shared" si="34"/>
        <v>0</v>
      </c>
      <c r="K209" s="476">
        <f t="shared" si="25"/>
        <v>186.33068460283613</v>
      </c>
      <c r="L209" s="500">
        <f t="shared" si="26"/>
        <v>951777.1369512869</v>
      </c>
      <c r="M209" s="486">
        <v>1148815.8857756082</v>
      </c>
      <c r="N209" s="486"/>
      <c r="O209" s="495">
        <v>611</v>
      </c>
      <c r="P209" s="496" t="s">
        <v>1045</v>
      </c>
      <c r="Q209" s="488">
        <v>0</v>
      </c>
      <c r="R209" s="489" t="s">
        <v>786</v>
      </c>
      <c r="U209" s="490" t="s">
        <v>248</v>
      </c>
      <c r="V209" s="491">
        <v>20.5</v>
      </c>
      <c r="W209" s="492">
        <v>17495315.26</v>
      </c>
      <c r="X209" s="493">
        <f t="shared" si="35"/>
        <v>85343001.2682927</v>
      </c>
      <c r="Y209" s="492">
        <v>636209.7264206478</v>
      </c>
      <c r="Z209" s="492">
        <v>0</v>
      </c>
      <c r="AC209">
        <v>611</v>
      </c>
      <c r="AD209">
        <f t="shared" si="27"/>
        <v>0</v>
      </c>
      <c r="AF209" s="494"/>
    </row>
    <row r="210" spans="1:32" ht="12">
      <c r="A210" s="468" t="s">
        <v>1046</v>
      </c>
      <c r="B210" s="483">
        <v>3424</v>
      </c>
      <c r="C210" s="484">
        <f t="shared" si="28"/>
        <v>7279899.997149425</v>
      </c>
      <c r="D210" s="484">
        <f t="shared" si="24"/>
        <v>739047.3509047856</v>
      </c>
      <c r="E210" s="484">
        <f t="shared" si="29"/>
        <v>0</v>
      </c>
      <c r="F210" s="484">
        <f t="shared" si="30"/>
        <v>8018947.34805421</v>
      </c>
      <c r="G210" s="485">
        <f t="shared" si="31"/>
        <v>2341.9822862307856</v>
      </c>
      <c r="H210" s="475">
        <f t="shared" si="32"/>
        <v>1340.3177137692146</v>
      </c>
      <c r="I210" s="380">
        <f t="shared" si="33"/>
        <v>0</v>
      </c>
      <c r="J210" s="380">
        <f t="shared" si="34"/>
        <v>0</v>
      </c>
      <c r="K210" s="476">
        <f t="shared" si="25"/>
        <v>1072.2541710153716</v>
      </c>
      <c r="L210" s="500">
        <f t="shared" si="26"/>
        <v>3671398.2815566324</v>
      </c>
      <c r="M210" s="486">
        <v>3521513.3759190803</v>
      </c>
      <c r="N210" s="486"/>
      <c r="O210" s="495">
        <v>614</v>
      </c>
      <c r="P210" s="391" t="s">
        <v>1046</v>
      </c>
      <c r="Q210" s="488">
        <v>0</v>
      </c>
      <c r="R210" s="489" t="s">
        <v>794</v>
      </c>
      <c r="U210" s="490" t="s">
        <v>250</v>
      </c>
      <c r="V210" s="491">
        <v>21.75</v>
      </c>
      <c r="W210" s="492">
        <v>7956674.62</v>
      </c>
      <c r="X210" s="493">
        <f t="shared" si="35"/>
        <v>36582412.04597701</v>
      </c>
      <c r="Y210" s="492">
        <v>739047.3509047856</v>
      </c>
      <c r="Z210" s="492">
        <v>0</v>
      </c>
      <c r="AC210">
        <v>614</v>
      </c>
      <c r="AD210">
        <f t="shared" si="27"/>
        <v>0</v>
      </c>
      <c r="AF210" s="494"/>
    </row>
    <row r="211" spans="1:32" ht="12">
      <c r="A211" s="468" t="s">
        <v>1047</v>
      </c>
      <c r="B211" s="483">
        <v>8187</v>
      </c>
      <c r="C211" s="484">
        <f t="shared" si="28"/>
        <v>17163032.454536587</v>
      </c>
      <c r="D211" s="484">
        <f aca="true" t="shared" si="36" ref="D211:D274">Y211</f>
        <v>2583568.791176137</v>
      </c>
      <c r="E211" s="484">
        <f t="shared" si="29"/>
        <v>0</v>
      </c>
      <c r="F211" s="484">
        <f t="shared" si="30"/>
        <v>19746601.245712724</v>
      </c>
      <c r="G211" s="485">
        <f t="shared" si="31"/>
        <v>2411.94591983788</v>
      </c>
      <c r="H211" s="475">
        <f t="shared" si="32"/>
        <v>1270.3540801621202</v>
      </c>
      <c r="I211" s="380">
        <f t="shared" si="33"/>
        <v>0</v>
      </c>
      <c r="J211" s="380">
        <f t="shared" si="34"/>
        <v>0</v>
      </c>
      <c r="K211" s="476">
        <f aca="true" t="shared" si="37" ref="K211:K274">IF(H211&gt;0,H211*0.8,J211*H211/100)</f>
        <v>1016.2832641296962</v>
      </c>
      <c r="L211" s="500">
        <f aca="true" t="shared" si="38" ref="L211:L274">K211*B211</f>
        <v>8320311.083429824</v>
      </c>
      <c r="M211" s="486">
        <v>8295912.714247805</v>
      </c>
      <c r="N211" s="486"/>
      <c r="O211" s="495">
        <v>615</v>
      </c>
      <c r="P211" s="391" t="s">
        <v>1047</v>
      </c>
      <c r="Q211" s="488">
        <v>0</v>
      </c>
      <c r="R211" s="489" t="s">
        <v>781</v>
      </c>
      <c r="U211" s="490" t="s">
        <v>251</v>
      </c>
      <c r="V211" s="491">
        <v>20.5</v>
      </c>
      <c r="W211" s="492">
        <v>17680510.82</v>
      </c>
      <c r="X211" s="493">
        <f t="shared" si="35"/>
        <v>86246394.24390244</v>
      </c>
      <c r="Y211" s="492">
        <v>2583568.791176137</v>
      </c>
      <c r="Z211" s="492">
        <v>0</v>
      </c>
      <c r="AC211">
        <v>615</v>
      </c>
      <c r="AD211">
        <f aca="true" t="shared" si="39" ref="AD211:AD274">O211-AC211</f>
        <v>0</v>
      </c>
      <c r="AF211" s="494"/>
    </row>
    <row r="212" spans="1:32" ht="12">
      <c r="A212" s="468" t="s">
        <v>1048</v>
      </c>
      <c r="B212" s="483">
        <v>1988</v>
      </c>
      <c r="C212" s="484">
        <f aca="true" t="shared" si="40" ref="C212:C275">$V$15*X212/100</f>
        <v>5611307.339318181</v>
      </c>
      <c r="D212" s="484">
        <f t="shared" si="36"/>
        <v>407446.9478457883</v>
      </c>
      <c r="E212" s="484">
        <f aca="true" t="shared" si="41" ref="E212:E275">IF(Z212=0,0,3.1*Z212/100/2)</f>
        <v>0</v>
      </c>
      <c r="F212" s="484">
        <f aca="true" t="shared" si="42" ref="F212:F275">C212+D212+E212</f>
        <v>6018754.28716397</v>
      </c>
      <c r="G212" s="485">
        <f aca="true" t="shared" si="43" ref="G212:G275">F212/B212</f>
        <v>3027.542397969804</v>
      </c>
      <c r="H212" s="475">
        <f aca="true" t="shared" si="44" ref="H212:H275">$G$15-G212</f>
        <v>654.7576020301963</v>
      </c>
      <c r="I212" s="380">
        <f aca="true" t="shared" si="45" ref="I212:I275">IF(H212&lt;0,LN(-H212),0)</f>
        <v>0</v>
      </c>
      <c r="J212" s="380">
        <f aca="true" t="shared" si="46" ref="J212:J275">IF(H212&lt;0,30+I212,0)</f>
        <v>0</v>
      </c>
      <c r="K212" s="476">
        <f t="shared" si="37"/>
        <v>523.8060816241571</v>
      </c>
      <c r="L212" s="500">
        <f t="shared" si="38"/>
        <v>1041326.4902688243</v>
      </c>
      <c r="M212" s="486">
        <v>850559.5975818186</v>
      </c>
      <c r="N212" s="486"/>
      <c r="O212" s="495">
        <v>616</v>
      </c>
      <c r="P212" s="391" t="s">
        <v>1048</v>
      </c>
      <c r="Q212" s="488">
        <v>0</v>
      </c>
      <c r="R212" s="489" t="s">
        <v>786</v>
      </c>
      <c r="U212" s="490" t="s">
        <v>252</v>
      </c>
      <c r="V212" s="491">
        <v>22</v>
      </c>
      <c r="W212" s="492">
        <v>6203455.35</v>
      </c>
      <c r="X212" s="493">
        <f aca="true" t="shared" si="47" ref="X212:X275">100*W212/V212</f>
        <v>28197524.318181816</v>
      </c>
      <c r="Y212" s="492">
        <v>407446.9478457883</v>
      </c>
      <c r="Z212" s="492">
        <v>0</v>
      </c>
      <c r="AC212">
        <v>616</v>
      </c>
      <c r="AD212">
        <f t="shared" si="39"/>
        <v>0</v>
      </c>
      <c r="AF212" s="494"/>
    </row>
    <row r="213" spans="1:32" ht="12">
      <c r="A213" s="468" t="s">
        <v>1049</v>
      </c>
      <c r="B213" s="483">
        <v>3003</v>
      </c>
      <c r="C213" s="484">
        <f t="shared" si="40"/>
        <v>6992606.909023255</v>
      </c>
      <c r="D213" s="484">
        <f t="shared" si="36"/>
        <v>544090.8245694558</v>
      </c>
      <c r="E213" s="484">
        <f t="shared" si="41"/>
        <v>0</v>
      </c>
      <c r="F213" s="484">
        <f t="shared" si="42"/>
        <v>7536697.733592711</v>
      </c>
      <c r="G213" s="485">
        <f t="shared" si="43"/>
        <v>2509.7228550092277</v>
      </c>
      <c r="H213" s="475">
        <f t="shared" si="44"/>
        <v>1172.5771449907725</v>
      </c>
      <c r="I213" s="380">
        <f t="shared" si="45"/>
        <v>0</v>
      </c>
      <c r="J213" s="380">
        <f t="shared" si="46"/>
        <v>0</v>
      </c>
      <c r="K213" s="476">
        <f t="shared" si="37"/>
        <v>938.061715992618</v>
      </c>
      <c r="L213" s="500">
        <f t="shared" si="38"/>
        <v>2816999.333125832</v>
      </c>
      <c r="M213" s="486">
        <v>2909247.702946977</v>
      </c>
      <c r="N213" s="486"/>
      <c r="O213" s="495">
        <v>619</v>
      </c>
      <c r="P213" s="391" t="s">
        <v>1049</v>
      </c>
      <c r="Q213" s="488">
        <v>0</v>
      </c>
      <c r="R213" s="489" t="s">
        <v>789</v>
      </c>
      <c r="U213" s="490" t="s">
        <v>253</v>
      </c>
      <c r="V213" s="491">
        <v>21.5</v>
      </c>
      <c r="W213" s="492">
        <v>7554826.56</v>
      </c>
      <c r="X213" s="493">
        <f t="shared" si="47"/>
        <v>35138728.18604651</v>
      </c>
      <c r="Y213" s="492">
        <v>544090.8245694558</v>
      </c>
      <c r="Z213" s="492">
        <v>0</v>
      </c>
      <c r="AC213">
        <v>619</v>
      </c>
      <c r="AD213">
        <f t="shared" si="39"/>
        <v>0</v>
      </c>
      <c r="AF213" s="494"/>
    </row>
    <row r="214" spans="1:32" ht="12">
      <c r="A214" s="468" t="s">
        <v>1050</v>
      </c>
      <c r="B214" s="483">
        <v>2735</v>
      </c>
      <c r="C214" s="484">
        <f t="shared" si="40"/>
        <v>5895655.5807441855</v>
      </c>
      <c r="D214" s="484">
        <f t="shared" si="36"/>
        <v>1232821.5240136131</v>
      </c>
      <c r="E214" s="484">
        <f t="shared" si="41"/>
        <v>0</v>
      </c>
      <c r="F214" s="484">
        <f t="shared" si="42"/>
        <v>7128477.104757799</v>
      </c>
      <c r="G214" s="485">
        <f t="shared" si="43"/>
        <v>2606.3901662734183</v>
      </c>
      <c r="H214" s="475">
        <f t="shared" si="44"/>
        <v>1075.9098337265818</v>
      </c>
      <c r="I214" s="380">
        <f t="shared" si="45"/>
        <v>0</v>
      </c>
      <c r="J214" s="380">
        <f t="shared" si="46"/>
        <v>0</v>
      </c>
      <c r="K214" s="476">
        <f t="shared" si="37"/>
        <v>860.7278669812655</v>
      </c>
      <c r="L214" s="500">
        <f t="shared" si="38"/>
        <v>2354090.716193761</v>
      </c>
      <c r="M214" s="486">
        <v>2191463.1212465125</v>
      </c>
      <c r="N214" s="486"/>
      <c r="O214" s="495">
        <v>620</v>
      </c>
      <c r="P214" s="391" t="s">
        <v>1050</v>
      </c>
      <c r="Q214" s="488">
        <v>0</v>
      </c>
      <c r="R214" s="489" t="s">
        <v>832</v>
      </c>
      <c r="U214" s="490" t="s">
        <v>254</v>
      </c>
      <c r="V214" s="491">
        <v>21.5</v>
      </c>
      <c r="W214" s="492">
        <v>6369678.14</v>
      </c>
      <c r="X214" s="493">
        <f t="shared" si="47"/>
        <v>29626409.953488372</v>
      </c>
      <c r="Y214" s="492">
        <v>1232821.5240136131</v>
      </c>
      <c r="Z214" s="492">
        <v>0</v>
      </c>
      <c r="AC214">
        <v>620</v>
      </c>
      <c r="AD214">
        <f t="shared" si="39"/>
        <v>0</v>
      </c>
      <c r="AF214" s="494"/>
    </row>
    <row r="215" spans="1:32" ht="12">
      <c r="A215" s="468" t="s">
        <v>1051</v>
      </c>
      <c r="B215" s="483">
        <v>2234</v>
      </c>
      <c r="C215" s="484">
        <f t="shared" si="40"/>
        <v>5697834.23715</v>
      </c>
      <c r="D215" s="484">
        <f t="shared" si="36"/>
        <v>1324146.6107300688</v>
      </c>
      <c r="E215" s="484">
        <f t="shared" si="41"/>
        <v>0</v>
      </c>
      <c r="F215" s="484">
        <f t="shared" si="42"/>
        <v>7021980.847880069</v>
      </c>
      <c r="G215" s="485">
        <f t="shared" si="43"/>
        <v>3143.232250617757</v>
      </c>
      <c r="H215" s="475">
        <f t="shared" si="44"/>
        <v>539.0677493822432</v>
      </c>
      <c r="I215" s="380">
        <f t="shared" si="45"/>
        <v>0</v>
      </c>
      <c r="J215" s="380">
        <f t="shared" si="46"/>
        <v>0</v>
      </c>
      <c r="K215" s="476">
        <f t="shared" si="37"/>
        <v>431.25419950579453</v>
      </c>
      <c r="L215" s="500">
        <f t="shared" si="38"/>
        <v>963421.8816959449</v>
      </c>
      <c r="M215" s="486">
        <v>1041538.6346614636</v>
      </c>
      <c r="N215" s="486"/>
      <c r="O215" s="495">
        <v>623</v>
      </c>
      <c r="P215" s="391" t="s">
        <v>1051</v>
      </c>
      <c r="Q215" s="488">
        <v>0</v>
      </c>
      <c r="R215" s="489" t="s">
        <v>791</v>
      </c>
      <c r="U215" s="490" t="s">
        <v>255</v>
      </c>
      <c r="V215" s="491">
        <v>20</v>
      </c>
      <c r="W215" s="492">
        <v>5726466.57</v>
      </c>
      <c r="X215" s="493">
        <f t="shared" si="47"/>
        <v>28632332.85</v>
      </c>
      <c r="Y215" s="492">
        <v>1324146.6107300688</v>
      </c>
      <c r="Z215" s="492">
        <v>0</v>
      </c>
      <c r="AC215">
        <v>623</v>
      </c>
      <c r="AD215">
        <f t="shared" si="39"/>
        <v>0</v>
      </c>
      <c r="AF215" s="494"/>
    </row>
    <row r="216" spans="1:32" ht="12">
      <c r="A216" s="468" t="s">
        <v>256</v>
      </c>
      <c r="B216" s="483">
        <v>5340</v>
      </c>
      <c r="C216" s="484">
        <f t="shared" si="40"/>
        <v>17383559.19906173</v>
      </c>
      <c r="D216" s="484">
        <f t="shared" si="36"/>
        <v>723393.3915291819</v>
      </c>
      <c r="E216" s="484">
        <f t="shared" si="41"/>
        <v>0</v>
      </c>
      <c r="F216" s="484">
        <f t="shared" si="42"/>
        <v>18106952.59059091</v>
      </c>
      <c r="G216" s="485">
        <f t="shared" si="43"/>
        <v>3390.8150918709566</v>
      </c>
      <c r="H216" s="475">
        <f t="shared" si="44"/>
        <v>291.48490812904356</v>
      </c>
      <c r="I216" s="380">
        <f t="shared" si="45"/>
        <v>0</v>
      </c>
      <c r="J216" s="380">
        <f t="shared" si="46"/>
        <v>0</v>
      </c>
      <c r="K216" s="476">
        <f t="shared" si="37"/>
        <v>233.18792650323485</v>
      </c>
      <c r="L216" s="500">
        <f t="shared" si="38"/>
        <v>1245223.527527274</v>
      </c>
      <c r="M216" s="486">
        <v>1300376.254206416</v>
      </c>
      <c r="N216" s="486"/>
      <c r="O216" s="495">
        <v>624</v>
      </c>
      <c r="P216" s="496" t="s">
        <v>1052</v>
      </c>
      <c r="Q216" s="488">
        <v>1</v>
      </c>
      <c r="R216" s="489" t="s">
        <v>812</v>
      </c>
      <c r="U216" s="490" t="s">
        <v>256</v>
      </c>
      <c r="V216" s="491">
        <v>20.25</v>
      </c>
      <c r="W216" s="492">
        <v>17689300.19</v>
      </c>
      <c r="X216" s="493">
        <f t="shared" si="47"/>
        <v>87354568.83950618</v>
      </c>
      <c r="Y216" s="492">
        <v>723393.3915291819</v>
      </c>
      <c r="Z216" s="492">
        <v>0</v>
      </c>
      <c r="AC216">
        <v>624</v>
      </c>
      <c r="AD216">
        <f t="shared" si="39"/>
        <v>0</v>
      </c>
      <c r="AF216" s="494"/>
    </row>
    <row r="217" spans="1:32" ht="12">
      <c r="A217" s="468" t="s">
        <v>1053</v>
      </c>
      <c r="B217" s="483">
        <v>3188</v>
      </c>
      <c r="C217" s="484">
        <f t="shared" si="40"/>
        <v>8624415.932641974</v>
      </c>
      <c r="D217" s="484">
        <f t="shared" si="36"/>
        <v>604357.6381800434</v>
      </c>
      <c r="E217" s="484">
        <f t="shared" si="41"/>
        <v>0</v>
      </c>
      <c r="F217" s="484">
        <f t="shared" si="42"/>
        <v>9228773.570822017</v>
      </c>
      <c r="G217" s="485">
        <f t="shared" si="43"/>
        <v>2894.847418702013</v>
      </c>
      <c r="H217" s="475">
        <f t="shared" si="44"/>
        <v>787.4525812979873</v>
      </c>
      <c r="I217" s="380">
        <f t="shared" si="45"/>
        <v>0</v>
      </c>
      <c r="J217" s="380">
        <f t="shared" si="46"/>
        <v>0</v>
      </c>
      <c r="K217" s="476">
        <f t="shared" si="37"/>
        <v>629.9620650383899</v>
      </c>
      <c r="L217" s="500">
        <f t="shared" si="38"/>
        <v>2008319.063342387</v>
      </c>
      <c r="M217" s="486">
        <v>2074273.2563358026</v>
      </c>
      <c r="N217" s="486"/>
      <c r="O217" s="495">
        <v>625</v>
      </c>
      <c r="P217" s="391" t="s">
        <v>1053</v>
      </c>
      <c r="Q217" s="488">
        <v>0</v>
      </c>
      <c r="R217" s="489" t="s">
        <v>781</v>
      </c>
      <c r="U217" s="490" t="s">
        <v>257</v>
      </c>
      <c r="V217" s="491">
        <v>20.25</v>
      </c>
      <c r="W217" s="492">
        <v>8776101.64</v>
      </c>
      <c r="X217" s="493">
        <f t="shared" si="47"/>
        <v>43338773.530864194</v>
      </c>
      <c r="Y217" s="492">
        <v>604357.6381800434</v>
      </c>
      <c r="Z217" s="492">
        <v>0</v>
      </c>
      <c r="AC217">
        <v>625</v>
      </c>
      <c r="AD217">
        <f t="shared" si="39"/>
        <v>0</v>
      </c>
      <c r="AF217" s="494"/>
    </row>
    <row r="218" spans="1:32" ht="12">
      <c r="A218" s="468" t="s">
        <v>258</v>
      </c>
      <c r="B218" s="483">
        <v>5446</v>
      </c>
      <c r="C218" s="484">
        <f t="shared" si="40"/>
        <v>13777325.67513253</v>
      </c>
      <c r="D218" s="484">
        <f t="shared" si="36"/>
        <v>5642410.675379763</v>
      </c>
      <c r="E218" s="484">
        <f t="shared" si="41"/>
        <v>0</v>
      </c>
      <c r="F218" s="484">
        <f t="shared" si="42"/>
        <v>19419736.350512292</v>
      </c>
      <c r="G218" s="485">
        <f t="shared" si="43"/>
        <v>3565.8715296570495</v>
      </c>
      <c r="H218" s="475">
        <f t="shared" si="44"/>
        <v>116.42847034295073</v>
      </c>
      <c r="I218" s="380">
        <f t="shared" si="45"/>
        <v>0</v>
      </c>
      <c r="J218" s="380">
        <f t="shared" si="46"/>
        <v>0</v>
      </c>
      <c r="K218" s="476">
        <f t="shared" si="37"/>
        <v>93.14277627436059</v>
      </c>
      <c r="L218" s="500">
        <f t="shared" si="38"/>
        <v>507255.5595901678</v>
      </c>
      <c r="M218" s="486">
        <v>369868.75603443244</v>
      </c>
      <c r="N218" s="486"/>
      <c r="O218" s="495">
        <v>626</v>
      </c>
      <c r="P218" s="391" t="s">
        <v>258</v>
      </c>
      <c r="Q218" s="488">
        <v>0</v>
      </c>
      <c r="R218" s="489" t="s">
        <v>781</v>
      </c>
      <c r="U218" s="490" t="s">
        <v>258</v>
      </c>
      <c r="V218" s="491">
        <v>20.75</v>
      </c>
      <c r="W218" s="492">
        <v>14365804.41</v>
      </c>
      <c r="X218" s="493">
        <f t="shared" si="47"/>
        <v>69232792.3373494</v>
      </c>
      <c r="Y218" s="492">
        <v>5642410.675379763</v>
      </c>
      <c r="Z218" s="492">
        <v>0</v>
      </c>
      <c r="AC218">
        <v>626</v>
      </c>
      <c r="AD218">
        <f t="shared" si="39"/>
        <v>0</v>
      </c>
      <c r="AF218" s="494"/>
    </row>
    <row r="219" spans="1:32" ht="12">
      <c r="A219" s="468" t="s">
        <v>1054</v>
      </c>
      <c r="B219" s="483">
        <v>1579</v>
      </c>
      <c r="C219" s="484">
        <f t="shared" si="40"/>
        <v>3632727.991797468</v>
      </c>
      <c r="D219" s="484">
        <f t="shared" si="36"/>
        <v>547366.4211572458</v>
      </c>
      <c r="E219" s="484">
        <f t="shared" si="41"/>
        <v>0</v>
      </c>
      <c r="F219" s="484">
        <f t="shared" si="42"/>
        <v>4180094.412954714</v>
      </c>
      <c r="G219" s="485">
        <f t="shared" si="43"/>
        <v>2647.304884708495</v>
      </c>
      <c r="H219" s="475">
        <f t="shared" si="44"/>
        <v>1034.995115291505</v>
      </c>
      <c r="I219" s="380">
        <f t="shared" si="45"/>
        <v>0</v>
      </c>
      <c r="J219" s="380">
        <f t="shared" si="46"/>
        <v>0</v>
      </c>
      <c r="K219" s="476">
        <f t="shared" si="37"/>
        <v>827.9960922332041</v>
      </c>
      <c r="L219" s="500">
        <f t="shared" si="38"/>
        <v>1307405.8296362292</v>
      </c>
      <c r="M219" s="486">
        <v>1273753.3073660762</v>
      </c>
      <c r="N219" s="486"/>
      <c r="O219" s="495">
        <v>630</v>
      </c>
      <c r="P219" s="391" t="s">
        <v>1054</v>
      </c>
      <c r="Q219" s="488">
        <v>0</v>
      </c>
      <c r="R219" s="489" t="s">
        <v>781</v>
      </c>
      <c r="U219" s="490" t="s">
        <v>259</v>
      </c>
      <c r="V219" s="491">
        <v>19.75</v>
      </c>
      <c r="W219" s="492">
        <v>3605345.62</v>
      </c>
      <c r="X219" s="493">
        <f t="shared" si="47"/>
        <v>18254914.53164557</v>
      </c>
      <c r="Y219" s="492">
        <v>547366.4211572458</v>
      </c>
      <c r="Z219" s="492">
        <v>0</v>
      </c>
      <c r="AC219">
        <v>630</v>
      </c>
      <c r="AD219">
        <f t="shared" si="39"/>
        <v>0</v>
      </c>
      <c r="AF219" s="494"/>
    </row>
    <row r="220" spans="1:32" ht="12">
      <c r="A220" s="468" t="s">
        <v>1055</v>
      </c>
      <c r="B220" s="483">
        <v>2075</v>
      </c>
      <c r="C220" s="484">
        <f t="shared" si="40"/>
        <v>6409880.359724138</v>
      </c>
      <c r="D220" s="484">
        <f t="shared" si="36"/>
        <v>283314.5327502386</v>
      </c>
      <c r="E220" s="484">
        <f t="shared" si="41"/>
        <v>0</v>
      </c>
      <c r="F220" s="484">
        <f t="shared" si="42"/>
        <v>6693194.892474377</v>
      </c>
      <c r="G220" s="485">
        <f t="shared" si="43"/>
        <v>3225.6360927587357</v>
      </c>
      <c r="H220" s="475">
        <f t="shared" si="44"/>
        <v>456.6639072412645</v>
      </c>
      <c r="I220" s="380">
        <f t="shared" si="45"/>
        <v>0</v>
      </c>
      <c r="J220" s="380">
        <f t="shared" si="46"/>
        <v>0</v>
      </c>
      <c r="K220" s="476">
        <f t="shared" si="37"/>
        <v>365.3311257930116</v>
      </c>
      <c r="L220" s="500">
        <f t="shared" si="38"/>
        <v>758062.0860204991</v>
      </c>
      <c r="M220" s="486">
        <v>851770.6716190481</v>
      </c>
      <c r="N220" s="486"/>
      <c r="O220" s="495">
        <v>631</v>
      </c>
      <c r="P220" s="391" t="s">
        <v>1055</v>
      </c>
      <c r="Q220" s="488">
        <v>0</v>
      </c>
      <c r="R220" s="489" t="s">
        <v>788</v>
      </c>
      <c r="U220" s="490" t="s">
        <v>260</v>
      </c>
      <c r="V220" s="491">
        <v>21.75</v>
      </c>
      <c r="W220" s="492">
        <v>7005773.76</v>
      </c>
      <c r="X220" s="493">
        <f t="shared" si="47"/>
        <v>32210454.068965517</v>
      </c>
      <c r="Y220" s="492">
        <v>283314.5327502386</v>
      </c>
      <c r="Z220" s="492">
        <v>0</v>
      </c>
      <c r="AC220">
        <v>631</v>
      </c>
      <c r="AD220">
        <f t="shared" si="39"/>
        <v>0</v>
      </c>
      <c r="AF220" s="494"/>
    </row>
    <row r="221" spans="1:32" ht="12">
      <c r="A221" s="468" t="s">
        <v>1056</v>
      </c>
      <c r="B221" s="483">
        <v>6627</v>
      </c>
      <c r="C221" s="484">
        <f t="shared" si="40"/>
        <v>17896027.62247619</v>
      </c>
      <c r="D221" s="484">
        <f t="shared" si="36"/>
        <v>1202279.2648732318</v>
      </c>
      <c r="E221" s="484">
        <f t="shared" si="41"/>
        <v>0</v>
      </c>
      <c r="F221" s="484">
        <f t="shared" si="42"/>
        <v>19098306.887349423</v>
      </c>
      <c r="G221" s="485">
        <f t="shared" si="43"/>
        <v>2881.8932982268634</v>
      </c>
      <c r="H221" s="475">
        <f t="shared" si="44"/>
        <v>800.4067017731368</v>
      </c>
      <c r="I221" s="380">
        <f t="shared" si="45"/>
        <v>0</v>
      </c>
      <c r="J221" s="380">
        <f t="shared" si="46"/>
        <v>0</v>
      </c>
      <c r="K221" s="476">
        <f t="shared" si="37"/>
        <v>640.3253614185095</v>
      </c>
      <c r="L221" s="500">
        <f t="shared" si="38"/>
        <v>4243436.170120463</v>
      </c>
      <c r="M221" s="486">
        <v>4143294.3972914293</v>
      </c>
      <c r="N221" s="486"/>
      <c r="O221" s="495">
        <v>635</v>
      </c>
      <c r="P221" s="391" t="s">
        <v>1056</v>
      </c>
      <c r="Q221" s="488">
        <v>0</v>
      </c>
      <c r="R221" s="489" t="s">
        <v>789</v>
      </c>
      <c r="U221" s="490" t="s">
        <v>261</v>
      </c>
      <c r="V221" s="491">
        <v>21</v>
      </c>
      <c r="W221" s="492">
        <v>18885255.28</v>
      </c>
      <c r="X221" s="493">
        <f t="shared" si="47"/>
        <v>89929787.04761904</v>
      </c>
      <c r="Y221" s="492">
        <v>1202279.2648732318</v>
      </c>
      <c r="Z221" s="492">
        <v>0</v>
      </c>
      <c r="AC221">
        <v>635</v>
      </c>
      <c r="AD221">
        <f t="shared" si="39"/>
        <v>0</v>
      </c>
      <c r="AF221" s="494"/>
    </row>
    <row r="222" spans="1:32" ht="12">
      <c r="A222" s="482" t="s">
        <v>1057</v>
      </c>
      <c r="B222" s="483">
        <v>8503</v>
      </c>
      <c r="C222" s="484">
        <f t="shared" si="40"/>
        <v>22123066.964517646</v>
      </c>
      <c r="D222" s="484">
        <f t="shared" si="36"/>
        <v>1625263.2840105104</v>
      </c>
      <c r="E222" s="484">
        <f t="shared" si="41"/>
        <v>0</v>
      </c>
      <c r="F222" s="484">
        <f t="shared" si="42"/>
        <v>23748330.248528156</v>
      </c>
      <c r="G222" s="485">
        <f t="shared" si="43"/>
        <v>2792.9354637808015</v>
      </c>
      <c r="H222" s="475">
        <f t="shared" si="44"/>
        <v>889.3645362191987</v>
      </c>
      <c r="I222" s="380">
        <f t="shared" si="45"/>
        <v>0</v>
      </c>
      <c r="J222" s="380">
        <f t="shared" si="46"/>
        <v>0</v>
      </c>
      <c r="K222" s="476">
        <f t="shared" si="37"/>
        <v>711.491628975359</v>
      </c>
      <c r="L222" s="500">
        <f t="shared" si="38"/>
        <v>6049813.321177478</v>
      </c>
      <c r="M222" s="486">
        <v>6202025.339151056</v>
      </c>
      <c r="N222" s="486"/>
      <c r="O222" s="487">
        <v>636</v>
      </c>
      <c r="P222" s="391" t="s">
        <v>1057</v>
      </c>
      <c r="Q222" s="488">
        <v>0</v>
      </c>
      <c r="R222" s="489" t="s">
        <v>788</v>
      </c>
      <c r="U222" s="490" t="s">
        <v>262</v>
      </c>
      <c r="V222" s="491">
        <v>21.25</v>
      </c>
      <c r="W222" s="492">
        <v>23623878.04</v>
      </c>
      <c r="X222" s="493">
        <f t="shared" si="47"/>
        <v>111171190.77647059</v>
      </c>
      <c r="Y222" s="492">
        <v>1625263.2840105104</v>
      </c>
      <c r="Z222" s="492">
        <v>0</v>
      </c>
      <c r="AC222">
        <v>636</v>
      </c>
      <c r="AD222">
        <f t="shared" si="39"/>
        <v>0</v>
      </c>
      <c r="AF222" s="494"/>
    </row>
    <row r="223" spans="1:32" ht="12">
      <c r="A223" s="468" t="s">
        <v>1058</v>
      </c>
      <c r="B223" s="483">
        <v>50144</v>
      </c>
      <c r="C223" s="484">
        <f t="shared" si="40"/>
        <v>190543619.7906329</v>
      </c>
      <c r="D223" s="484">
        <f t="shared" si="36"/>
        <v>11656501.568703922</v>
      </c>
      <c r="E223" s="484">
        <f t="shared" si="41"/>
        <v>0</v>
      </c>
      <c r="F223" s="484">
        <f t="shared" si="42"/>
        <v>202200121.35933682</v>
      </c>
      <c r="G223" s="485">
        <f t="shared" si="43"/>
        <v>4032.389146444975</v>
      </c>
      <c r="H223" s="475">
        <f t="shared" si="44"/>
        <v>-350.08914644497463</v>
      </c>
      <c r="I223" s="380">
        <f t="shared" si="45"/>
        <v>5.858187826180369</v>
      </c>
      <c r="J223" s="380">
        <f t="shared" si="46"/>
        <v>35.85818782618037</v>
      </c>
      <c r="K223" s="476">
        <f t="shared" si="37"/>
        <v>-125.53562369131066</v>
      </c>
      <c r="L223" s="500">
        <f t="shared" si="38"/>
        <v>-6294858.314377082</v>
      </c>
      <c r="M223" s="486">
        <v>-7894583.484038227</v>
      </c>
      <c r="N223" s="486"/>
      <c r="O223" s="495">
        <v>638</v>
      </c>
      <c r="P223" s="496" t="s">
        <v>1059</v>
      </c>
      <c r="Q223" s="488">
        <v>1</v>
      </c>
      <c r="R223" s="489" t="s">
        <v>786</v>
      </c>
      <c r="U223" s="490" t="s">
        <v>249</v>
      </c>
      <c r="V223" s="491">
        <v>19.75</v>
      </c>
      <c r="W223" s="492">
        <v>189107361.35</v>
      </c>
      <c r="X223" s="493">
        <f t="shared" si="47"/>
        <v>957505627.0886075</v>
      </c>
      <c r="Y223" s="492">
        <v>11656501.568703922</v>
      </c>
      <c r="Z223" s="492">
        <v>0</v>
      </c>
      <c r="AC223">
        <v>638</v>
      </c>
      <c r="AD223">
        <f t="shared" si="39"/>
        <v>0</v>
      </c>
      <c r="AF223" s="494"/>
    </row>
    <row r="224" spans="1:32" ht="12">
      <c r="A224" s="468" t="s">
        <v>1060</v>
      </c>
      <c r="B224" s="483">
        <v>25010</v>
      </c>
      <c r="C224" s="484">
        <f t="shared" si="40"/>
        <v>76259319.08414286</v>
      </c>
      <c r="D224" s="484">
        <f t="shared" si="36"/>
        <v>3178643.1265240517</v>
      </c>
      <c r="E224" s="484">
        <f t="shared" si="41"/>
        <v>0</v>
      </c>
      <c r="F224" s="484">
        <f t="shared" si="42"/>
        <v>79437962.21066691</v>
      </c>
      <c r="G224" s="485">
        <f t="shared" si="43"/>
        <v>3176.247989230984</v>
      </c>
      <c r="H224" s="475">
        <f t="shared" si="44"/>
        <v>506.0520107690163</v>
      </c>
      <c r="I224" s="380">
        <f t="shared" si="45"/>
        <v>0</v>
      </c>
      <c r="J224" s="380">
        <f t="shared" si="46"/>
        <v>0</v>
      </c>
      <c r="K224" s="476">
        <f t="shared" si="37"/>
        <v>404.8416086152131</v>
      </c>
      <c r="L224" s="500">
        <f t="shared" si="38"/>
        <v>10125088.63146648</v>
      </c>
      <c r="M224" s="486">
        <v>10636650.49924191</v>
      </c>
      <c r="N224" s="486"/>
      <c r="O224" s="495">
        <v>678</v>
      </c>
      <c r="P224" s="496" t="s">
        <v>1061</v>
      </c>
      <c r="Q224" s="488">
        <v>0</v>
      </c>
      <c r="R224" s="489" t="s">
        <v>781</v>
      </c>
      <c r="U224" s="490" t="s">
        <v>263</v>
      </c>
      <c r="V224" s="491">
        <v>21</v>
      </c>
      <c r="W224" s="492">
        <v>80474658.33</v>
      </c>
      <c r="X224" s="493">
        <f t="shared" si="47"/>
        <v>383212658.71428573</v>
      </c>
      <c r="Y224" s="492">
        <v>3178643.1265240517</v>
      </c>
      <c r="Z224" s="492">
        <v>0</v>
      </c>
      <c r="AC224">
        <v>678</v>
      </c>
      <c r="AD224">
        <f t="shared" si="39"/>
        <v>0</v>
      </c>
      <c r="AF224" s="494"/>
    </row>
    <row r="225" spans="1:32" ht="12.75">
      <c r="A225" s="468" t="s">
        <v>1062</v>
      </c>
      <c r="B225" s="483">
        <v>24283</v>
      </c>
      <c r="C225" s="484">
        <f t="shared" si="40"/>
        <v>85022914.53017722</v>
      </c>
      <c r="D225" s="484">
        <f t="shared" si="36"/>
        <v>5380896.0262759365</v>
      </c>
      <c r="E225" s="484">
        <f t="shared" si="41"/>
        <v>0</v>
      </c>
      <c r="F225" s="484">
        <f t="shared" si="42"/>
        <v>90403810.55645315</v>
      </c>
      <c r="G225" s="485">
        <f t="shared" si="43"/>
        <v>3722.9259381646893</v>
      </c>
      <c r="H225" s="475">
        <f t="shared" si="44"/>
        <v>-40.62593816468916</v>
      </c>
      <c r="I225" s="380">
        <f t="shared" si="45"/>
        <v>3.704406733667912</v>
      </c>
      <c r="J225" s="380">
        <f t="shared" si="46"/>
        <v>33.70440673366791</v>
      </c>
      <c r="K225" s="476">
        <f t="shared" si="37"/>
        <v>-13.692731438395253</v>
      </c>
      <c r="L225" s="500">
        <f t="shared" si="38"/>
        <v>-332500.5975185519</v>
      </c>
      <c r="M225" s="486">
        <v>-233633.8279760752</v>
      </c>
      <c r="N225" s="486"/>
      <c r="O225" s="495">
        <v>680</v>
      </c>
      <c r="P225" s="496" t="s">
        <v>1063</v>
      </c>
      <c r="Q225" s="488">
        <v>0</v>
      </c>
      <c r="R225" s="489" t="s">
        <v>788</v>
      </c>
      <c r="U225" s="490" t="s">
        <v>265</v>
      </c>
      <c r="V225" s="491">
        <v>19.75</v>
      </c>
      <c r="W225" s="492">
        <v>84382038.29</v>
      </c>
      <c r="X225" s="493">
        <f t="shared" si="47"/>
        <v>427250826.7848102</v>
      </c>
      <c r="Y225" s="492">
        <v>5380896.0262759365</v>
      </c>
      <c r="Z225" s="492">
        <v>0</v>
      </c>
      <c r="AB225" s="1"/>
      <c r="AC225" s="1">
        <v>680</v>
      </c>
      <c r="AD225">
        <f t="shared" si="39"/>
        <v>0</v>
      </c>
      <c r="AE225" s="1"/>
      <c r="AF225" s="494"/>
    </row>
    <row r="226" spans="1:32" ht="12">
      <c r="A226" s="468" t="s">
        <v>1064</v>
      </c>
      <c r="B226" s="483">
        <v>3649</v>
      </c>
      <c r="C226" s="484">
        <f t="shared" si="40"/>
        <v>8315251.402439024</v>
      </c>
      <c r="D226" s="484">
        <f t="shared" si="36"/>
        <v>1004988.2190068769</v>
      </c>
      <c r="E226" s="484">
        <f t="shared" si="41"/>
        <v>0</v>
      </c>
      <c r="F226" s="484">
        <f t="shared" si="42"/>
        <v>9320239.621445902</v>
      </c>
      <c r="G226" s="485">
        <f t="shared" si="43"/>
        <v>2554.1900853510283</v>
      </c>
      <c r="H226" s="475">
        <f t="shared" si="44"/>
        <v>1128.1099146489719</v>
      </c>
      <c r="I226" s="380">
        <f t="shared" si="45"/>
        <v>0</v>
      </c>
      <c r="J226" s="380">
        <f t="shared" si="46"/>
        <v>0</v>
      </c>
      <c r="K226" s="476">
        <f t="shared" si="37"/>
        <v>902.4879317191776</v>
      </c>
      <c r="L226" s="500">
        <f t="shared" si="38"/>
        <v>3293178.462843279</v>
      </c>
      <c r="M226" s="486">
        <v>3253635.390091707</v>
      </c>
      <c r="N226" s="486"/>
      <c r="O226" s="495">
        <v>681</v>
      </c>
      <c r="P226" s="391" t="s">
        <v>1064</v>
      </c>
      <c r="Q226" s="488">
        <v>0</v>
      </c>
      <c r="R226" s="489" t="s">
        <v>791</v>
      </c>
      <c r="U226" s="490" t="s">
        <v>266</v>
      </c>
      <c r="V226" s="491">
        <v>20.5</v>
      </c>
      <c r="W226" s="492">
        <v>8565962.5</v>
      </c>
      <c r="X226" s="493">
        <f t="shared" si="47"/>
        <v>41785182.92682927</v>
      </c>
      <c r="Y226" s="492">
        <v>1004988.2190068769</v>
      </c>
      <c r="Z226" s="492">
        <v>0</v>
      </c>
      <c r="AC226">
        <v>681</v>
      </c>
      <c r="AD226">
        <f t="shared" si="39"/>
        <v>0</v>
      </c>
      <c r="AF226" s="494"/>
    </row>
    <row r="227" spans="1:32" s="1" customFormat="1" ht="12.75">
      <c r="A227" s="468" t="s">
        <v>1065</v>
      </c>
      <c r="B227" s="483">
        <v>4023</v>
      </c>
      <c r="C227" s="484">
        <f t="shared" si="40"/>
        <v>8167386.565316455</v>
      </c>
      <c r="D227" s="484">
        <f t="shared" si="36"/>
        <v>568860.3481104972</v>
      </c>
      <c r="E227" s="484">
        <f t="shared" si="41"/>
        <v>0</v>
      </c>
      <c r="F227" s="484">
        <f t="shared" si="42"/>
        <v>8736246.913426952</v>
      </c>
      <c r="G227" s="485">
        <f t="shared" si="43"/>
        <v>2171.575171122782</v>
      </c>
      <c r="H227" s="475">
        <f t="shared" si="44"/>
        <v>1510.724828877218</v>
      </c>
      <c r="I227" s="380">
        <f t="shared" si="45"/>
        <v>0</v>
      </c>
      <c r="J227" s="380">
        <f t="shared" si="46"/>
        <v>0</v>
      </c>
      <c r="K227" s="476">
        <f t="shared" si="37"/>
        <v>1208.5798631017744</v>
      </c>
      <c r="L227" s="500">
        <f t="shared" si="38"/>
        <v>4862116.789258438</v>
      </c>
      <c r="M227" s="486">
        <v>4671405.133500759</v>
      </c>
      <c r="N227" s="486"/>
      <c r="O227" s="495">
        <v>683</v>
      </c>
      <c r="P227" s="391" t="s">
        <v>1065</v>
      </c>
      <c r="Q227" s="488">
        <v>0</v>
      </c>
      <c r="R227" s="489" t="s">
        <v>794</v>
      </c>
      <c r="S227"/>
      <c r="T227"/>
      <c r="U227" s="490" t="s">
        <v>267</v>
      </c>
      <c r="V227" s="491">
        <v>19.75</v>
      </c>
      <c r="W227" s="492">
        <v>8105823.35</v>
      </c>
      <c r="X227" s="493">
        <f t="shared" si="47"/>
        <v>41042143.5443038</v>
      </c>
      <c r="Y227" s="492">
        <v>568860.3481104972</v>
      </c>
      <c r="Z227" s="492">
        <v>0</v>
      </c>
      <c r="AB227"/>
      <c r="AC227">
        <v>683</v>
      </c>
      <c r="AD227">
        <f t="shared" si="39"/>
        <v>0</v>
      </c>
      <c r="AE227"/>
      <c r="AF227" s="494"/>
    </row>
    <row r="228" spans="1:32" ht="12.75">
      <c r="A228" s="468" t="s">
        <v>1066</v>
      </c>
      <c r="B228" s="483">
        <v>39614</v>
      </c>
      <c r="C228" s="484">
        <f t="shared" si="40"/>
        <v>144868695.84379998</v>
      </c>
      <c r="D228" s="484">
        <f t="shared" si="36"/>
        <v>20776415.847905487</v>
      </c>
      <c r="E228" s="484">
        <f t="shared" si="41"/>
        <v>0</v>
      </c>
      <c r="F228" s="484">
        <f t="shared" si="42"/>
        <v>165645111.69170547</v>
      </c>
      <c r="G228" s="485">
        <f t="shared" si="43"/>
        <v>4181.479065272516</v>
      </c>
      <c r="H228" s="475">
        <f t="shared" si="44"/>
        <v>-499.1790652725158</v>
      </c>
      <c r="I228" s="380">
        <f t="shared" si="45"/>
        <v>6.212964879622402</v>
      </c>
      <c r="J228" s="380">
        <f t="shared" si="46"/>
        <v>36.212964879622405</v>
      </c>
      <c r="K228" s="476">
        <f t="shared" si="37"/>
        <v>-180.76753959356355</v>
      </c>
      <c r="L228" s="500">
        <f t="shared" si="38"/>
        <v>-7160925.313459427</v>
      </c>
      <c r="M228" s="486">
        <v>-7465099.325564532</v>
      </c>
      <c r="N228" s="486"/>
      <c r="O228" s="495">
        <v>684</v>
      </c>
      <c r="P228" s="496" t="s">
        <v>1067</v>
      </c>
      <c r="Q228" s="488">
        <v>0</v>
      </c>
      <c r="R228" s="489" t="s">
        <v>798</v>
      </c>
      <c r="U228" s="490" t="s">
        <v>268</v>
      </c>
      <c r="V228" s="491">
        <v>20</v>
      </c>
      <c r="W228" s="492">
        <v>145596679.24</v>
      </c>
      <c r="X228" s="493">
        <f t="shared" si="47"/>
        <v>727983396.2</v>
      </c>
      <c r="Y228" s="492">
        <v>20776415.847905487</v>
      </c>
      <c r="Z228" s="492">
        <v>0</v>
      </c>
      <c r="AB228" s="1"/>
      <c r="AC228" s="1">
        <v>684</v>
      </c>
      <c r="AD228">
        <f t="shared" si="39"/>
        <v>0</v>
      </c>
      <c r="AE228" s="1"/>
      <c r="AF228" s="494"/>
    </row>
    <row r="229" spans="1:32" ht="12">
      <c r="A229" s="468" t="s">
        <v>1068</v>
      </c>
      <c r="B229" s="483">
        <v>3288</v>
      </c>
      <c r="C229" s="484">
        <f t="shared" si="40"/>
        <v>7714735.1684090905</v>
      </c>
      <c r="D229" s="484">
        <f t="shared" si="36"/>
        <v>705834.412341842</v>
      </c>
      <c r="E229" s="484">
        <f t="shared" si="41"/>
        <v>0</v>
      </c>
      <c r="F229" s="484">
        <f t="shared" si="42"/>
        <v>8420569.580750933</v>
      </c>
      <c r="G229" s="485">
        <f t="shared" si="43"/>
        <v>2561.0004807636656</v>
      </c>
      <c r="H229" s="475">
        <f t="shared" si="44"/>
        <v>1121.2995192363346</v>
      </c>
      <c r="I229" s="380">
        <f t="shared" si="45"/>
        <v>0</v>
      </c>
      <c r="J229" s="380">
        <f t="shared" si="46"/>
        <v>0</v>
      </c>
      <c r="K229" s="476">
        <f t="shared" si="37"/>
        <v>897.0396153890678</v>
      </c>
      <c r="L229" s="500">
        <f t="shared" si="38"/>
        <v>2949466.2553992546</v>
      </c>
      <c r="M229" s="486">
        <v>2946729.6321454532</v>
      </c>
      <c r="N229" s="486"/>
      <c r="O229" s="495">
        <v>686</v>
      </c>
      <c r="P229" s="391" t="s">
        <v>1068</v>
      </c>
      <c r="Q229" s="488">
        <v>0</v>
      </c>
      <c r="R229" s="489" t="s">
        <v>843</v>
      </c>
      <c r="U229" s="490" t="s">
        <v>269</v>
      </c>
      <c r="V229" s="491">
        <v>22</v>
      </c>
      <c r="W229" s="492">
        <v>8528852.95</v>
      </c>
      <c r="X229" s="493">
        <f t="shared" si="47"/>
        <v>38767513.40909091</v>
      </c>
      <c r="Y229" s="492">
        <v>705834.412341842</v>
      </c>
      <c r="Z229" s="492">
        <v>0</v>
      </c>
      <c r="AC229">
        <v>686</v>
      </c>
      <c r="AD229">
        <f t="shared" si="39"/>
        <v>0</v>
      </c>
      <c r="AF229" s="494"/>
    </row>
    <row r="230" spans="1:32" s="1" customFormat="1" ht="12.75">
      <c r="A230" s="468" t="s">
        <v>1069</v>
      </c>
      <c r="B230" s="483">
        <v>1723</v>
      </c>
      <c r="C230" s="484">
        <f t="shared" si="40"/>
        <v>3446724.2822380946</v>
      </c>
      <c r="D230" s="484">
        <f t="shared" si="36"/>
        <v>1274001.2813664475</v>
      </c>
      <c r="E230" s="484">
        <f t="shared" si="41"/>
        <v>0</v>
      </c>
      <c r="F230" s="484">
        <f t="shared" si="42"/>
        <v>4720725.563604542</v>
      </c>
      <c r="G230" s="485">
        <f t="shared" si="43"/>
        <v>2739.8291141059444</v>
      </c>
      <c r="H230" s="475">
        <f t="shared" si="44"/>
        <v>942.4708858940558</v>
      </c>
      <c r="I230" s="380">
        <f t="shared" si="45"/>
        <v>0</v>
      </c>
      <c r="J230" s="380">
        <f t="shared" si="46"/>
        <v>0</v>
      </c>
      <c r="K230" s="476">
        <f t="shared" si="37"/>
        <v>753.9767087152446</v>
      </c>
      <c r="L230" s="500">
        <f t="shared" si="38"/>
        <v>1299101.8691163664</v>
      </c>
      <c r="M230" s="486">
        <v>1264672.0868190478</v>
      </c>
      <c r="N230" s="486"/>
      <c r="O230" s="495">
        <v>687</v>
      </c>
      <c r="P230" s="391" t="s">
        <v>1069</v>
      </c>
      <c r="Q230" s="488">
        <v>0</v>
      </c>
      <c r="R230" s="489" t="s">
        <v>843</v>
      </c>
      <c r="S230"/>
      <c r="T230"/>
      <c r="U230" s="490" t="s">
        <v>270</v>
      </c>
      <c r="V230" s="491">
        <v>21</v>
      </c>
      <c r="W230" s="492">
        <v>3637246.73</v>
      </c>
      <c r="X230" s="493">
        <f t="shared" si="47"/>
        <v>17320222.523809522</v>
      </c>
      <c r="Y230" s="492">
        <v>1274001.2813664475</v>
      </c>
      <c r="Z230" s="492">
        <v>0</v>
      </c>
      <c r="AB230"/>
      <c r="AC230">
        <v>687</v>
      </c>
      <c r="AD230">
        <f t="shared" si="39"/>
        <v>0</v>
      </c>
      <c r="AE230"/>
      <c r="AF230" s="494"/>
    </row>
    <row r="231" spans="1:32" ht="12">
      <c r="A231" s="468" t="s">
        <v>1070</v>
      </c>
      <c r="B231" s="483">
        <v>3473</v>
      </c>
      <c r="C231" s="484">
        <f t="shared" si="40"/>
        <v>9819904.835901234</v>
      </c>
      <c r="D231" s="484">
        <f t="shared" si="36"/>
        <v>1367213.9826616764</v>
      </c>
      <c r="E231" s="484">
        <f t="shared" si="41"/>
        <v>0</v>
      </c>
      <c r="F231" s="484">
        <f t="shared" si="42"/>
        <v>11187118.81856291</v>
      </c>
      <c r="G231" s="485">
        <f t="shared" si="43"/>
        <v>3221.1686779622546</v>
      </c>
      <c r="H231" s="475">
        <f t="shared" si="44"/>
        <v>461.1313220377456</v>
      </c>
      <c r="I231" s="380">
        <f t="shared" si="45"/>
        <v>0</v>
      </c>
      <c r="J231" s="380">
        <f t="shared" si="46"/>
        <v>0</v>
      </c>
      <c r="K231" s="476">
        <f t="shared" si="37"/>
        <v>368.9050576301965</v>
      </c>
      <c r="L231" s="500">
        <f t="shared" si="38"/>
        <v>1281207.2651496725</v>
      </c>
      <c r="M231" s="486">
        <v>1281713.0535843896</v>
      </c>
      <c r="N231" s="486"/>
      <c r="O231" s="495">
        <v>689</v>
      </c>
      <c r="P231" s="391" t="s">
        <v>1070</v>
      </c>
      <c r="Q231" s="488">
        <v>0</v>
      </c>
      <c r="R231" s="489" t="s">
        <v>861</v>
      </c>
      <c r="U231" s="490" t="s">
        <v>271</v>
      </c>
      <c r="V231" s="491">
        <v>20.25</v>
      </c>
      <c r="W231" s="492">
        <v>9992616.73</v>
      </c>
      <c r="X231" s="493">
        <f t="shared" si="47"/>
        <v>49346255.45679013</v>
      </c>
      <c r="Y231" s="492">
        <v>1367213.9826616764</v>
      </c>
      <c r="Z231" s="492">
        <v>0</v>
      </c>
      <c r="AC231">
        <v>689</v>
      </c>
      <c r="AD231">
        <f t="shared" si="39"/>
        <v>0</v>
      </c>
      <c r="AF231" s="494"/>
    </row>
    <row r="232" spans="1:32" ht="12">
      <c r="A232" s="468" t="s">
        <v>1071</v>
      </c>
      <c r="B232" s="483">
        <v>2854</v>
      </c>
      <c r="C232" s="484">
        <f t="shared" si="40"/>
        <v>6238256.215181818</v>
      </c>
      <c r="D232" s="484">
        <f t="shared" si="36"/>
        <v>380257.5850042963</v>
      </c>
      <c r="E232" s="484">
        <f t="shared" si="41"/>
        <v>0</v>
      </c>
      <c r="F232" s="484">
        <f t="shared" si="42"/>
        <v>6618513.800186114</v>
      </c>
      <c r="G232" s="485">
        <f t="shared" si="43"/>
        <v>2319.030763905436</v>
      </c>
      <c r="H232" s="475">
        <f t="shared" si="44"/>
        <v>1363.2692360945643</v>
      </c>
      <c r="I232" s="380">
        <f t="shared" si="45"/>
        <v>0</v>
      </c>
      <c r="J232" s="380">
        <f t="shared" si="46"/>
        <v>0</v>
      </c>
      <c r="K232" s="476">
        <f t="shared" si="37"/>
        <v>1090.6153888756514</v>
      </c>
      <c r="L232" s="500">
        <f t="shared" si="38"/>
        <v>3112616.3198511093</v>
      </c>
      <c r="M232" s="486">
        <v>3141296.4912109086</v>
      </c>
      <c r="N232" s="486"/>
      <c r="O232" s="495">
        <v>691</v>
      </c>
      <c r="P232" s="391" t="s">
        <v>1071</v>
      </c>
      <c r="Q232" s="488">
        <v>0</v>
      </c>
      <c r="R232" s="489" t="s">
        <v>781</v>
      </c>
      <c r="U232" s="490" t="s">
        <v>272</v>
      </c>
      <c r="V232" s="491">
        <v>22</v>
      </c>
      <c r="W232" s="492">
        <v>6896564.66</v>
      </c>
      <c r="X232" s="493">
        <f t="shared" si="47"/>
        <v>31348021.181818184</v>
      </c>
      <c r="Y232" s="492">
        <v>380257.5850042963</v>
      </c>
      <c r="Z232" s="492">
        <v>0</v>
      </c>
      <c r="AC232">
        <v>691</v>
      </c>
      <c r="AD232">
        <f t="shared" si="39"/>
        <v>0</v>
      </c>
      <c r="AF232" s="494"/>
    </row>
    <row r="233" spans="1:32" ht="12">
      <c r="A233" s="468" t="s">
        <v>1072</v>
      </c>
      <c r="B233" s="483">
        <v>29160</v>
      </c>
      <c r="C233" s="484">
        <f t="shared" si="40"/>
        <v>98592653.06404878</v>
      </c>
      <c r="D233" s="484">
        <f t="shared" si="36"/>
        <v>7985736.059807124</v>
      </c>
      <c r="E233" s="484">
        <f t="shared" si="41"/>
        <v>0</v>
      </c>
      <c r="F233" s="484">
        <f t="shared" si="42"/>
        <v>106578389.1238559</v>
      </c>
      <c r="G233" s="485">
        <f t="shared" si="43"/>
        <v>3654.951616044441</v>
      </c>
      <c r="H233" s="475">
        <f t="shared" si="44"/>
        <v>27.348383955559257</v>
      </c>
      <c r="I233" s="380">
        <f t="shared" si="45"/>
        <v>0</v>
      </c>
      <c r="J233" s="380">
        <f t="shared" si="46"/>
        <v>0</v>
      </c>
      <c r="K233" s="476">
        <f t="shared" si="37"/>
        <v>21.878707164447405</v>
      </c>
      <c r="L233" s="500">
        <f t="shared" si="38"/>
        <v>637983.1009152863</v>
      </c>
      <c r="M233" s="486">
        <v>625332.1947317014</v>
      </c>
      <c r="N233" s="486"/>
      <c r="O233" s="495">
        <v>694</v>
      </c>
      <c r="P233" s="391" t="s">
        <v>1072</v>
      </c>
      <c r="Q233" s="488">
        <v>0</v>
      </c>
      <c r="R233" s="489" t="s">
        <v>803</v>
      </c>
      <c r="U233" s="490" t="s">
        <v>273</v>
      </c>
      <c r="V233" s="491">
        <v>20.5</v>
      </c>
      <c r="W233" s="492">
        <v>101565295.87</v>
      </c>
      <c r="X233" s="493">
        <f t="shared" si="47"/>
        <v>495440467.6585366</v>
      </c>
      <c r="Y233" s="492">
        <v>7985736.059807124</v>
      </c>
      <c r="Z233" s="492">
        <v>0</v>
      </c>
      <c r="AC233">
        <v>694</v>
      </c>
      <c r="AD233">
        <f t="shared" si="39"/>
        <v>0</v>
      </c>
      <c r="AF233" s="494"/>
    </row>
    <row r="234" spans="1:32" ht="12">
      <c r="A234" s="468" t="s">
        <v>1073</v>
      </c>
      <c r="B234" s="483">
        <v>1345</v>
      </c>
      <c r="C234" s="484">
        <f t="shared" si="40"/>
        <v>3321594.209023256</v>
      </c>
      <c r="D234" s="484">
        <f t="shared" si="36"/>
        <v>443619.9704891858</v>
      </c>
      <c r="E234" s="484">
        <f t="shared" si="41"/>
        <v>0</v>
      </c>
      <c r="F234" s="484">
        <f t="shared" si="42"/>
        <v>3765214.1795124416</v>
      </c>
      <c r="G234" s="485">
        <f t="shared" si="43"/>
        <v>2799.415746849399</v>
      </c>
      <c r="H234" s="475">
        <f t="shared" si="44"/>
        <v>882.8842531506011</v>
      </c>
      <c r="I234" s="380">
        <f t="shared" si="45"/>
        <v>0</v>
      </c>
      <c r="J234" s="380">
        <f t="shared" si="46"/>
        <v>0</v>
      </c>
      <c r="K234" s="476">
        <f t="shared" si="37"/>
        <v>706.307402520481</v>
      </c>
      <c r="L234" s="500">
        <f t="shared" si="38"/>
        <v>949983.456390047</v>
      </c>
      <c r="M234" s="486">
        <v>939882.0408706975</v>
      </c>
      <c r="N234" s="486"/>
      <c r="O234" s="495">
        <v>697</v>
      </c>
      <c r="P234" s="391" t="s">
        <v>1073</v>
      </c>
      <c r="Q234" s="488">
        <v>0</v>
      </c>
      <c r="R234" s="489" t="s">
        <v>832</v>
      </c>
      <c r="U234" s="490" t="s">
        <v>274</v>
      </c>
      <c r="V234" s="491">
        <v>21.5</v>
      </c>
      <c r="W234" s="492">
        <v>3588657.06</v>
      </c>
      <c r="X234" s="493">
        <f t="shared" si="47"/>
        <v>16691428.186046511</v>
      </c>
      <c r="Y234" s="492">
        <v>443619.9704891858</v>
      </c>
      <c r="Z234" s="492">
        <v>0</v>
      </c>
      <c r="AC234">
        <v>697</v>
      </c>
      <c r="AD234">
        <f t="shared" si="39"/>
        <v>0</v>
      </c>
      <c r="AF234" s="494"/>
    </row>
    <row r="235" spans="1:32" ht="12">
      <c r="A235" s="468" t="s">
        <v>1074</v>
      </c>
      <c r="B235" s="483">
        <v>62231</v>
      </c>
      <c r="C235" s="484">
        <f t="shared" si="40"/>
        <v>192155457.62814286</v>
      </c>
      <c r="D235" s="484">
        <f t="shared" si="36"/>
        <v>10837574.09559298</v>
      </c>
      <c r="E235" s="484">
        <f t="shared" si="41"/>
        <v>0</v>
      </c>
      <c r="F235" s="484">
        <f t="shared" si="42"/>
        <v>202993031.72373584</v>
      </c>
      <c r="G235" s="485">
        <f t="shared" si="43"/>
        <v>3261.92784502476</v>
      </c>
      <c r="H235" s="475">
        <f t="shared" si="44"/>
        <v>420.3721549752404</v>
      </c>
      <c r="I235" s="380">
        <f t="shared" si="45"/>
        <v>0</v>
      </c>
      <c r="J235" s="380">
        <f t="shared" si="46"/>
        <v>0</v>
      </c>
      <c r="K235" s="476">
        <f t="shared" si="37"/>
        <v>336.29772398019236</v>
      </c>
      <c r="L235" s="500">
        <f t="shared" si="38"/>
        <v>20928143.66101135</v>
      </c>
      <c r="M235" s="486">
        <v>19649795.054434273</v>
      </c>
      <c r="N235" s="486"/>
      <c r="O235" s="495">
        <v>698</v>
      </c>
      <c r="P235" s="391" t="s">
        <v>1074</v>
      </c>
      <c r="Q235" s="488">
        <v>0</v>
      </c>
      <c r="R235" s="489" t="s">
        <v>794</v>
      </c>
      <c r="U235" s="490" t="s">
        <v>275</v>
      </c>
      <c r="V235" s="491">
        <v>21</v>
      </c>
      <c r="W235" s="492">
        <v>202777116.09</v>
      </c>
      <c r="X235" s="493">
        <f t="shared" si="47"/>
        <v>965605314.7142857</v>
      </c>
      <c r="Y235" s="492">
        <v>10837574.09559298</v>
      </c>
      <c r="Z235" s="492">
        <v>0</v>
      </c>
      <c r="AC235">
        <v>698</v>
      </c>
      <c r="AD235">
        <f t="shared" si="39"/>
        <v>0</v>
      </c>
      <c r="AF235" s="494"/>
    </row>
    <row r="236" spans="1:32" ht="12">
      <c r="A236" s="468" t="s">
        <v>1075</v>
      </c>
      <c r="B236" s="483">
        <v>5245</v>
      </c>
      <c r="C236" s="484">
        <f t="shared" si="40"/>
        <v>16330641.615756094</v>
      </c>
      <c r="D236" s="484">
        <f t="shared" si="36"/>
        <v>1869603.4048080295</v>
      </c>
      <c r="E236" s="484">
        <f t="shared" si="41"/>
        <v>0</v>
      </c>
      <c r="F236" s="484">
        <f t="shared" si="42"/>
        <v>18200245.020564124</v>
      </c>
      <c r="G236" s="485">
        <f t="shared" si="43"/>
        <v>3470.018116408794</v>
      </c>
      <c r="H236" s="475">
        <f t="shared" si="44"/>
        <v>212.28188359120622</v>
      </c>
      <c r="I236" s="380">
        <f t="shared" si="45"/>
        <v>0</v>
      </c>
      <c r="J236" s="380">
        <f t="shared" si="46"/>
        <v>0</v>
      </c>
      <c r="K236" s="476">
        <f t="shared" si="37"/>
        <v>169.82550687296498</v>
      </c>
      <c r="L236" s="500">
        <f t="shared" si="38"/>
        <v>890734.7835487013</v>
      </c>
      <c r="M236" s="486">
        <v>920150.6630673165</v>
      </c>
      <c r="N236" s="486"/>
      <c r="O236" s="495">
        <v>700</v>
      </c>
      <c r="P236" s="391" t="s">
        <v>1075</v>
      </c>
      <c r="Q236" s="488">
        <v>0</v>
      </c>
      <c r="R236" s="489" t="s">
        <v>861</v>
      </c>
      <c r="U236" s="490" t="s">
        <v>276</v>
      </c>
      <c r="V236" s="491">
        <v>20.5</v>
      </c>
      <c r="W236" s="492">
        <v>16823022.77</v>
      </c>
      <c r="X236" s="493">
        <f t="shared" si="47"/>
        <v>82063525.70731707</v>
      </c>
      <c r="Y236" s="492">
        <v>1869603.4048080295</v>
      </c>
      <c r="Z236" s="492">
        <v>0</v>
      </c>
      <c r="AC236">
        <v>700</v>
      </c>
      <c r="AD236">
        <f t="shared" si="39"/>
        <v>0</v>
      </c>
      <c r="AF236" s="494"/>
    </row>
    <row r="237" spans="1:32" ht="12">
      <c r="A237" s="468" t="s">
        <v>1076</v>
      </c>
      <c r="B237" s="483">
        <v>4565</v>
      </c>
      <c r="C237" s="484">
        <f t="shared" si="40"/>
        <v>11649498.262272727</v>
      </c>
      <c r="D237" s="484">
        <f t="shared" si="36"/>
        <v>1694156.0969495715</v>
      </c>
      <c r="E237" s="484">
        <f t="shared" si="41"/>
        <v>0</v>
      </c>
      <c r="F237" s="484">
        <f t="shared" si="42"/>
        <v>13343654.359222298</v>
      </c>
      <c r="G237" s="485">
        <f t="shared" si="43"/>
        <v>2923.0349089205474</v>
      </c>
      <c r="H237" s="475">
        <f t="shared" si="44"/>
        <v>759.2650910794528</v>
      </c>
      <c r="I237" s="380">
        <f t="shared" si="45"/>
        <v>0</v>
      </c>
      <c r="J237" s="380">
        <f t="shared" si="46"/>
        <v>0</v>
      </c>
      <c r="K237" s="476">
        <f t="shared" si="37"/>
        <v>607.4120728635622</v>
      </c>
      <c r="L237" s="500">
        <f t="shared" si="38"/>
        <v>2772836.1126221614</v>
      </c>
      <c r="M237" s="486">
        <v>2914489.1845465177</v>
      </c>
      <c r="N237" s="486"/>
      <c r="O237" s="495">
        <v>702</v>
      </c>
      <c r="P237" s="391" t="s">
        <v>1076</v>
      </c>
      <c r="Q237" s="488">
        <v>0</v>
      </c>
      <c r="R237" s="489" t="s">
        <v>789</v>
      </c>
      <c r="U237" s="490" t="s">
        <v>277</v>
      </c>
      <c r="V237" s="491">
        <v>22</v>
      </c>
      <c r="W237" s="492">
        <v>12878842.3</v>
      </c>
      <c r="X237" s="493">
        <f t="shared" si="47"/>
        <v>58540192.27272727</v>
      </c>
      <c r="Y237" s="492">
        <v>1694156.0969495715</v>
      </c>
      <c r="Z237" s="492">
        <v>0</v>
      </c>
      <c r="AC237">
        <v>702</v>
      </c>
      <c r="AD237">
        <f t="shared" si="39"/>
        <v>0</v>
      </c>
      <c r="AF237" s="494"/>
    </row>
    <row r="238" spans="1:32" ht="12">
      <c r="A238" s="482" t="s">
        <v>1077</v>
      </c>
      <c r="B238" s="483">
        <v>6137</v>
      </c>
      <c r="C238" s="484">
        <f t="shared" si="40"/>
        <v>21593379.940405063</v>
      </c>
      <c r="D238" s="484">
        <f t="shared" si="36"/>
        <v>1176013.5738555416</v>
      </c>
      <c r="E238" s="484">
        <f t="shared" si="41"/>
        <v>0</v>
      </c>
      <c r="F238" s="484">
        <f t="shared" si="42"/>
        <v>22769393.514260605</v>
      </c>
      <c r="G238" s="485">
        <f t="shared" si="43"/>
        <v>3710.1830722275713</v>
      </c>
      <c r="H238" s="475">
        <f t="shared" si="44"/>
        <v>-27.88307222757112</v>
      </c>
      <c r="I238" s="380">
        <f t="shared" si="45"/>
        <v>3.3280197744974878</v>
      </c>
      <c r="J238" s="380">
        <f t="shared" si="46"/>
        <v>33.32801977449749</v>
      </c>
      <c r="K238" s="476">
        <f t="shared" si="37"/>
        <v>-9.292875825742321</v>
      </c>
      <c r="L238" s="500">
        <f t="shared" si="38"/>
        <v>-57030.378942580624</v>
      </c>
      <c r="M238" s="486">
        <v>168120.572565063</v>
      </c>
      <c r="N238" s="486"/>
      <c r="O238" s="487">
        <v>704</v>
      </c>
      <c r="P238" s="391" t="s">
        <v>1077</v>
      </c>
      <c r="Q238" s="488">
        <v>0</v>
      </c>
      <c r="R238" s="489" t="s">
        <v>788</v>
      </c>
      <c r="U238" s="490" t="s">
        <v>278</v>
      </c>
      <c r="V238" s="491">
        <v>19.75</v>
      </c>
      <c r="W238" s="492">
        <v>21430615.77</v>
      </c>
      <c r="X238" s="493">
        <f t="shared" si="47"/>
        <v>108509446.93670887</v>
      </c>
      <c r="Y238" s="492">
        <v>1176013.5738555416</v>
      </c>
      <c r="Z238" s="492">
        <v>0</v>
      </c>
      <c r="AC238">
        <v>704</v>
      </c>
      <c r="AD238">
        <f t="shared" si="39"/>
        <v>0</v>
      </c>
      <c r="AF238" s="494"/>
    </row>
    <row r="239" spans="1:32" ht="12">
      <c r="A239" s="468" t="s">
        <v>1078</v>
      </c>
      <c r="B239" s="483">
        <v>2268</v>
      </c>
      <c r="C239" s="484">
        <f t="shared" si="40"/>
        <v>4470839.738418604</v>
      </c>
      <c r="D239" s="484">
        <f t="shared" si="36"/>
        <v>488575.8101972609</v>
      </c>
      <c r="E239" s="484">
        <f t="shared" si="41"/>
        <v>0</v>
      </c>
      <c r="F239" s="484">
        <f t="shared" si="42"/>
        <v>4959415.548615865</v>
      </c>
      <c r="G239" s="485">
        <f t="shared" si="43"/>
        <v>2186.6911590017044</v>
      </c>
      <c r="H239" s="475">
        <f t="shared" si="44"/>
        <v>1495.6088409982958</v>
      </c>
      <c r="I239" s="380">
        <f t="shared" si="45"/>
        <v>0</v>
      </c>
      <c r="J239" s="380">
        <f t="shared" si="46"/>
        <v>0</v>
      </c>
      <c r="K239" s="476">
        <f t="shared" si="37"/>
        <v>1196.4870727986367</v>
      </c>
      <c r="L239" s="500">
        <f t="shared" si="38"/>
        <v>2713632.6811073082</v>
      </c>
      <c r="M239" s="486">
        <v>2864683.778102325</v>
      </c>
      <c r="N239" s="486"/>
      <c r="O239" s="495">
        <v>707</v>
      </c>
      <c r="P239" s="391" t="s">
        <v>1078</v>
      </c>
      <c r="Q239" s="488">
        <v>0</v>
      </c>
      <c r="R239" s="489" t="s">
        <v>850</v>
      </c>
      <c r="U239" s="490" t="s">
        <v>279</v>
      </c>
      <c r="V239" s="491">
        <v>21.5</v>
      </c>
      <c r="W239" s="492">
        <v>4830304.24</v>
      </c>
      <c r="X239" s="493">
        <f t="shared" si="47"/>
        <v>22466531.348837208</v>
      </c>
      <c r="Y239" s="492">
        <v>488575.8101972609</v>
      </c>
      <c r="Z239" s="492">
        <v>0</v>
      </c>
      <c r="AC239">
        <v>707</v>
      </c>
      <c r="AD239">
        <f t="shared" si="39"/>
        <v>0</v>
      </c>
      <c r="AF239" s="494"/>
    </row>
    <row r="240" spans="1:32" ht="12">
      <c r="A240" s="482" t="s">
        <v>264</v>
      </c>
      <c r="B240" s="483">
        <v>28077</v>
      </c>
      <c r="C240" s="484">
        <f t="shared" si="40"/>
        <v>87662804.0150909</v>
      </c>
      <c r="D240" s="484">
        <f t="shared" si="36"/>
        <v>4091773.692813718</v>
      </c>
      <c r="E240" s="484">
        <f t="shared" si="41"/>
        <v>0</v>
      </c>
      <c r="F240" s="484">
        <f t="shared" si="42"/>
        <v>91754577.70790462</v>
      </c>
      <c r="G240" s="485">
        <f t="shared" si="43"/>
        <v>3267.9623075080895</v>
      </c>
      <c r="H240" s="475">
        <f t="shared" si="44"/>
        <v>414.33769249191073</v>
      </c>
      <c r="I240" s="380">
        <f t="shared" si="45"/>
        <v>0</v>
      </c>
      <c r="J240" s="380">
        <f t="shared" si="46"/>
        <v>0</v>
      </c>
      <c r="K240" s="476">
        <f t="shared" si="37"/>
        <v>331.4701539935286</v>
      </c>
      <c r="L240" s="500">
        <f t="shared" si="38"/>
        <v>9306687.513676303</v>
      </c>
      <c r="M240" s="486">
        <v>9578464.777098184</v>
      </c>
      <c r="N240" s="486"/>
      <c r="O240" s="487">
        <v>710</v>
      </c>
      <c r="P240" s="496" t="s">
        <v>1079</v>
      </c>
      <c r="Q240" s="488">
        <v>3</v>
      </c>
      <c r="R240" s="489" t="s">
        <v>786</v>
      </c>
      <c r="U240" s="490" t="s">
        <v>264</v>
      </c>
      <c r="V240" s="491">
        <v>22</v>
      </c>
      <c r="W240" s="492">
        <v>96913652.68</v>
      </c>
      <c r="X240" s="493">
        <f t="shared" si="47"/>
        <v>440516603.09090906</v>
      </c>
      <c r="Y240" s="492">
        <v>4091773.692813718</v>
      </c>
      <c r="Z240" s="492">
        <v>0</v>
      </c>
      <c r="AC240">
        <v>710</v>
      </c>
      <c r="AD240">
        <f t="shared" si="39"/>
        <v>0</v>
      </c>
      <c r="AF240" s="494"/>
    </row>
    <row r="241" spans="1:32" ht="12">
      <c r="A241" s="482" t="s">
        <v>1080</v>
      </c>
      <c r="B241" s="483">
        <v>9690</v>
      </c>
      <c r="C241" s="484">
        <f t="shared" si="40"/>
        <v>23031129.60595349</v>
      </c>
      <c r="D241" s="484">
        <f t="shared" si="36"/>
        <v>1984144.8539829017</v>
      </c>
      <c r="E241" s="484">
        <f t="shared" si="41"/>
        <v>0</v>
      </c>
      <c r="F241" s="484">
        <f t="shared" si="42"/>
        <v>25015274.45993639</v>
      </c>
      <c r="G241" s="485">
        <f t="shared" si="43"/>
        <v>2581.555671820061</v>
      </c>
      <c r="H241" s="475">
        <f t="shared" si="44"/>
        <v>1100.7443281799392</v>
      </c>
      <c r="I241" s="380">
        <f t="shared" si="45"/>
        <v>0</v>
      </c>
      <c r="J241" s="380">
        <f t="shared" si="46"/>
        <v>0</v>
      </c>
      <c r="K241" s="476">
        <f t="shared" si="37"/>
        <v>880.5954625439514</v>
      </c>
      <c r="L241" s="500">
        <f t="shared" si="38"/>
        <v>8532970.032050889</v>
      </c>
      <c r="M241" s="486">
        <v>8538467.44055814</v>
      </c>
      <c r="N241" s="486"/>
      <c r="O241" s="487">
        <v>729</v>
      </c>
      <c r="P241" s="391" t="s">
        <v>1080</v>
      </c>
      <c r="Q241" s="488">
        <v>0</v>
      </c>
      <c r="R241" s="489" t="s">
        <v>814</v>
      </c>
      <c r="U241" s="490" t="s">
        <v>280</v>
      </c>
      <c r="V241" s="491">
        <v>21.5</v>
      </c>
      <c r="W241" s="492">
        <v>24882878.72</v>
      </c>
      <c r="X241" s="493">
        <f t="shared" si="47"/>
        <v>115734319.62790698</v>
      </c>
      <c r="Y241" s="492">
        <v>1984144.8539829017</v>
      </c>
      <c r="Z241" s="492">
        <v>0</v>
      </c>
      <c r="AC241">
        <v>729</v>
      </c>
      <c r="AD241">
        <f t="shared" si="39"/>
        <v>0</v>
      </c>
      <c r="AF241" s="494"/>
    </row>
    <row r="242" spans="1:32" ht="12">
      <c r="A242" s="468" t="s">
        <v>1081</v>
      </c>
      <c r="B242" s="483">
        <v>3653</v>
      </c>
      <c r="C242" s="484">
        <f t="shared" si="40"/>
        <v>8519893.55721951</v>
      </c>
      <c r="D242" s="484">
        <f t="shared" si="36"/>
        <v>1178844.1425260075</v>
      </c>
      <c r="E242" s="484">
        <f t="shared" si="41"/>
        <v>0</v>
      </c>
      <c r="F242" s="484">
        <f t="shared" si="42"/>
        <v>9698737.69974552</v>
      </c>
      <c r="G242" s="485">
        <f t="shared" si="43"/>
        <v>2655.006214000963</v>
      </c>
      <c r="H242" s="475">
        <f t="shared" si="44"/>
        <v>1027.293785999037</v>
      </c>
      <c r="I242" s="380">
        <f t="shared" si="45"/>
        <v>0</v>
      </c>
      <c r="J242" s="380">
        <f t="shared" si="46"/>
        <v>0</v>
      </c>
      <c r="K242" s="476">
        <f t="shared" si="37"/>
        <v>821.8350287992297</v>
      </c>
      <c r="L242" s="500">
        <f t="shared" si="38"/>
        <v>3002163.360203586</v>
      </c>
      <c r="M242" s="486">
        <v>3003687.6577951238</v>
      </c>
      <c r="N242" s="486"/>
      <c r="O242" s="495">
        <v>732</v>
      </c>
      <c r="P242" s="391" t="s">
        <v>1081</v>
      </c>
      <c r="Q242" s="488">
        <v>0</v>
      </c>
      <c r="R242" s="489" t="s">
        <v>794</v>
      </c>
      <c r="U242" s="490" t="s">
        <v>281</v>
      </c>
      <c r="V242" s="491">
        <v>20.5</v>
      </c>
      <c r="W242" s="492">
        <v>8776774.77</v>
      </c>
      <c r="X242" s="493">
        <f t="shared" si="47"/>
        <v>42813535.46341463</v>
      </c>
      <c r="Y242" s="492">
        <v>1178844.1425260075</v>
      </c>
      <c r="Z242" s="492">
        <v>0</v>
      </c>
      <c r="AC242">
        <v>732</v>
      </c>
      <c r="AD242">
        <f t="shared" si="39"/>
        <v>0</v>
      </c>
      <c r="AF242" s="494"/>
    </row>
    <row r="243" spans="1:32" ht="12">
      <c r="A243" s="482" t="s">
        <v>1082</v>
      </c>
      <c r="B243" s="483">
        <v>53546</v>
      </c>
      <c r="C243" s="484">
        <f t="shared" si="40"/>
        <v>153634532.01436147</v>
      </c>
      <c r="D243" s="484">
        <f t="shared" si="36"/>
        <v>11519744.387326458</v>
      </c>
      <c r="E243" s="484">
        <f t="shared" si="41"/>
        <v>0</v>
      </c>
      <c r="F243" s="484">
        <f t="shared" si="42"/>
        <v>165154276.40168792</v>
      </c>
      <c r="G243" s="485">
        <f t="shared" si="43"/>
        <v>3084.343861384378</v>
      </c>
      <c r="H243" s="475">
        <f t="shared" si="44"/>
        <v>597.956138615622</v>
      </c>
      <c r="I243" s="380">
        <f t="shared" si="45"/>
        <v>0</v>
      </c>
      <c r="J243" s="380">
        <f t="shared" si="46"/>
        <v>0</v>
      </c>
      <c r="K243" s="476">
        <f t="shared" si="37"/>
        <v>478.3649108924976</v>
      </c>
      <c r="L243" s="500">
        <f t="shared" si="38"/>
        <v>25614527.51864968</v>
      </c>
      <c r="M243" s="486">
        <v>22380136.806172512</v>
      </c>
      <c r="N243" s="486"/>
      <c r="O243" s="487">
        <v>734</v>
      </c>
      <c r="P243" s="391" t="s">
        <v>1082</v>
      </c>
      <c r="Q243" s="488">
        <v>0</v>
      </c>
      <c r="R243" s="489" t="s">
        <v>788</v>
      </c>
      <c r="U243" s="490" t="s">
        <v>282</v>
      </c>
      <c r="V243" s="491">
        <v>20.75</v>
      </c>
      <c r="W243" s="492">
        <v>160196811.02</v>
      </c>
      <c r="X243" s="493">
        <f t="shared" si="47"/>
        <v>772032824.1927712</v>
      </c>
      <c r="Y243" s="492">
        <v>11519744.387326458</v>
      </c>
      <c r="Z243" s="492">
        <v>0</v>
      </c>
      <c r="AC243">
        <v>734</v>
      </c>
      <c r="AD243">
        <f t="shared" si="39"/>
        <v>0</v>
      </c>
      <c r="AF243" s="494"/>
    </row>
    <row r="244" spans="1:32" ht="12">
      <c r="A244" s="468" t="s">
        <v>1083</v>
      </c>
      <c r="B244" s="483">
        <v>3047</v>
      </c>
      <c r="C244" s="484">
        <f t="shared" si="40"/>
        <v>9085523.637209302</v>
      </c>
      <c r="D244" s="484">
        <f t="shared" si="36"/>
        <v>421463.45020657475</v>
      </c>
      <c r="E244" s="484">
        <f t="shared" si="41"/>
        <v>0</v>
      </c>
      <c r="F244" s="484">
        <f t="shared" si="42"/>
        <v>9506987.087415876</v>
      </c>
      <c r="G244" s="485">
        <f t="shared" si="43"/>
        <v>3120.1139111965463</v>
      </c>
      <c r="H244" s="475">
        <f t="shared" si="44"/>
        <v>562.1860888034539</v>
      </c>
      <c r="I244" s="380">
        <f t="shared" si="45"/>
        <v>0</v>
      </c>
      <c r="J244" s="380">
        <f t="shared" si="46"/>
        <v>0</v>
      </c>
      <c r="K244" s="476">
        <f t="shared" si="37"/>
        <v>449.74887104276314</v>
      </c>
      <c r="L244" s="500">
        <f t="shared" si="38"/>
        <v>1370384.8100672993</v>
      </c>
      <c r="M244" s="486">
        <v>1398991.8675809517</v>
      </c>
      <c r="N244" s="486"/>
      <c r="O244" s="495">
        <v>738</v>
      </c>
      <c r="P244" s="496" t="s">
        <v>1084</v>
      </c>
      <c r="Q244" s="488">
        <v>0</v>
      </c>
      <c r="R244" s="489" t="s">
        <v>788</v>
      </c>
      <c r="U244" s="490" t="s">
        <v>284</v>
      </c>
      <c r="V244" s="491">
        <v>21.5</v>
      </c>
      <c r="W244" s="492">
        <v>9816018</v>
      </c>
      <c r="X244" s="493">
        <f t="shared" si="47"/>
        <v>45655897.674418606</v>
      </c>
      <c r="Y244" s="492">
        <v>421463.45020657475</v>
      </c>
      <c r="Z244" s="492">
        <v>0</v>
      </c>
      <c r="AC244">
        <v>738</v>
      </c>
      <c r="AD244">
        <f t="shared" si="39"/>
        <v>0</v>
      </c>
      <c r="AF244" s="494"/>
    </row>
    <row r="245" spans="1:32" ht="12">
      <c r="A245" s="468" t="s">
        <v>1085</v>
      </c>
      <c r="B245" s="483">
        <v>3534</v>
      </c>
      <c r="C245" s="484">
        <f t="shared" si="40"/>
        <v>8922098.969904762</v>
      </c>
      <c r="D245" s="484">
        <f t="shared" si="36"/>
        <v>1241556.5620074123</v>
      </c>
      <c r="E245" s="484">
        <f t="shared" si="41"/>
        <v>0</v>
      </c>
      <c r="F245" s="484">
        <f t="shared" si="42"/>
        <v>10163655.531912174</v>
      </c>
      <c r="G245" s="485">
        <f t="shared" si="43"/>
        <v>2875.9636479660935</v>
      </c>
      <c r="H245" s="475">
        <f t="shared" si="44"/>
        <v>806.3363520339067</v>
      </c>
      <c r="I245" s="380">
        <f t="shared" si="45"/>
        <v>0</v>
      </c>
      <c r="J245" s="380">
        <f t="shared" si="46"/>
        <v>0</v>
      </c>
      <c r="K245" s="476">
        <f t="shared" si="37"/>
        <v>645.0690816271253</v>
      </c>
      <c r="L245" s="500">
        <f t="shared" si="38"/>
        <v>2279674.134470261</v>
      </c>
      <c r="M245" s="486">
        <v>2355374.013847622</v>
      </c>
      <c r="N245" s="486"/>
      <c r="O245" s="495">
        <v>739</v>
      </c>
      <c r="P245" s="391" t="s">
        <v>1085</v>
      </c>
      <c r="Q245" s="488">
        <v>0</v>
      </c>
      <c r="R245" s="489" t="s">
        <v>861</v>
      </c>
      <c r="U245" s="490" t="s">
        <v>285</v>
      </c>
      <c r="V245" s="491">
        <v>21</v>
      </c>
      <c r="W245" s="492">
        <v>9415280.32</v>
      </c>
      <c r="X245" s="493">
        <f t="shared" si="47"/>
        <v>44834668.190476194</v>
      </c>
      <c r="Y245" s="492">
        <v>1241556.5620074123</v>
      </c>
      <c r="Z245" s="492">
        <v>0</v>
      </c>
      <c r="AC245">
        <v>739</v>
      </c>
      <c r="AD245">
        <f t="shared" si="39"/>
        <v>0</v>
      </c>
      <c r="AF245" s="494"/>
    </row>
    <row r="246" spans="1:32" ht="12">
      <c r="A246" s="482" t="s">
        <v>1086</v>
      </c>
      <c r="B246" s="483">
        <v>35242</v>
      </c>
      <c r="C246" s="484">
        <f t="shared" si="40"/>
        <v>98445471.65297776</v>
      </c>
      <c r="D246" s="484">
        <f t="shared" si="36"/>
        <v>8212783.569737449</v>
      </c>
      <c r="E246" s="484">
        <f t="shared" si="41"/>
        <v>0</v>
      </c>
      <c r="F246" s="484">
        <f t="shared" si="42"/>
        <v>106658255.22271521</v>
      </c>
      <c r="G246" s="485">
        <f t="shared" si="43"/>
        <v>3026.4529601814656</v>
      </c>
      <c r="H246" s="475">
        <f t="shared" si="44"/>
        <v>655.8470398185345</v>
      </c>
      <c r="I246" s="380">
        <f t="shared" si="45"/>
        <v>0</v>
      </c>
      <c r="J246" s="380">
        <f t="shared" si="46"/>
        <v>0</v>
      </c>
      <c r="K246" s="476">
        <f t="shared" si="37"/>
        <v>524.6776318548276</v>
      </c>
      <c r="L246" s="500">
        <f t="shared" si="38"/>
        <v>18490689.101827834</v>
      </c>
      <c r="M246" s="486">
        <v>17835381.274744898</v>
      </c>
      <c r="N246" s="486"/>
      <c r="O246" s="487">
        <v>740</v>
      </c>
      <c r="P246" s="496" t="s">
        <v>1087</v>
      </c>
      <c r="Q246" s="488">
        <v>0</v>
      </c>
      <c r="R246" s="489" t="s">
        <v>791</v>
      </c>
      <c r="U246" s="490" t="s">
        <v>286</v>
      </c>
      <c r="V246" s="491">
        <v>22.5</v>
      </c>
      <c r="W246" s="492">
        <v>111307694.08</v>
      </c>
      <c r="X246" s="493">
        <f t="shared" si="47"/>
        <v>494700862.5777778</v>
      </c>
      <c r="Y246" s="492">
        <v>8212783.569737449</v>
      </c>
      <c r="Z246" s="492">
        <v>0</v>
      </c>
      <c r="AC246">
        <v>740</v>
      </c>
      <c r="AD246">
        <f t="shared" si="39"/>
        <v>0</v>
      </c>
      <c r="AF246" s="494"/>
    </row>
    <row r="247" spans="1:32" ht="12">
      <c r="A247" s="468" t="s">
        <v>1088</v>
      </c>
      <c r="B247" s="483">
        <v>1044</v>
      </c>
      <c r="C247" s="484">
        <f t="shared" si="40"/>
        <v>2479362.1443218393</v>
      </c>
      <c r="D247" s="484">
        <f t="shared" si="36"/>
        <v>887556.1360438633</v>
      </c>
      <c r="E247" s="484">
        <f t="shared" si="41"/>
        <v>0</v>
      </c>
      <c r="F247" s="484">
        <f t="shared" si="42"/>
        <v>3366918.2803657027</v>
      </c>
      <c r="G247" s="485">
        <f t="shared" si="43"/>
        <v>3225.017509928834</v>
      </c>
      <c r="H247" s="475">
        <f t="shared" si="44"/>
        <v>457.2824900711662</v>
      </c>
      <c r="I247" s="380">
        <f t="shared" si="45"/>
        <v>0</v>
      </c>
      <c r="J247" s="380">
        <f t="shared" si="46"/>
        <v>0</v>
      </c>
      <c r="K247" s="476">
        <f t="shared" si="37"/>
        <v>365.825992056933</v>
      </c>
      <c r="L247" s="500">
        <f t="shared" si="38"/>
        <v>381922.33570743806</v>
      </c>
      <c r="M247" s="486">
        <v>339092.49729103467</v>
      </c>
      <c r="N247" s="486"/>
      <c r="O247" s="495">
        <v>742</v>
      </c>
      <c r="P247" s="391" t="s">
        <v>1088</v>
      </c>
      <c r="Q247" s="488">
        <v>0</v>
      </c>
      <c r="R247" s="489" t="s">
        <v>794</v>
      </c>
      <c r="U247" s="490" t="s">
        <v>287</v>
      </c>
      <c r="V247" s="491">
        <v>21.75</v>
      </c>
      <c r="W247" s="492">
        <v>2709855.61</v>
      </c>
      <c r="X247" s="493">
        <f t="shared" si="47"/>
        <v>12459106.252873564</v>
      </c>
      <c r="Y247" s="492">
        <v>887556.1360438633</v>
      </c>
      <c r="Z247" s="492">
        <v>0</v>
      </c>
      <c r="AC247">
        <v>742</v>
      </c>
      <c r="AD247">
        <f t="shared" si="39"/>
        <v>0</v>
      </c>
      <c r="AF247" s="494"/>
    </row>
    <row r="248" spans="1:32" ht="12">
      <c r="A248" s="482" t="s">
        <v>1089</v>
      </c>
      <c r="B248" s="483">
        <v>62052</v>
      </c>
      <c r="C248" s="484">
        <f t="shared" si="40"/>
        <v>193922015.93642858</v>
      </c>
      <c r="D248" s="484">
        <f t="shared" si="36"/>
        <v>14251194.351417776</v>
      </c>
      <c r="E248" s="484">
        <f t="shared" si="41"/>
        <v>0</v>
      </c>
      <c r="F248" s="484">
        <f t="shared" si="42"/>
        <v>208173210.28784636</v>
      </c>
      <c r="G248" s="485">
        <f t="shared" si="43"/>
        <v>3354.818705083581</v>
      </c>
      <c r="H248" s="475">
        <f t="shared" si="44"/>
        <v>327.4812949164193</v>
      </c>
      <c r="I248" s="380">
        <f t="shared" si="45"/>
        <v>0</v>
      </c>
      <c r="J248" s="380">
        <f t="shared" si="46"/>
        <v>0</v>
      </c>
      <c r="K248" s="476">
        <f t="shared" si="37"/>
        <v>261.98503593313546</v>
      </c>
      <c r="L248" s="500">
        <f t="shared" si="38"/>
        <v>16256695.449722921</v>
      </c>
      <c r="M248" s="486">
        <v>15394486.995268544</v>
      </c>
      <c r="N248" s="486"/>
      <c r="O248" s="487">
        <v>743</v>
      </c>
      <c r="P248" s="391" t="s">
        <v>1089</v>
      </c>
      <c r="Q248" s="488">
        <v>0</v>
      </c>
      <c r="R248" s="489" t="s">
        <v>779</v>
      </c>
      <c r="U248" s="490" t="s">
        <v>288</v>
      </c>
      <c r="V248" s="491">
        <v>21</v>
      </c>
      <c r="W248" s="492">
        <v>204641323.35</v>
      </c>
      <c r="X248" s="493">
        <f t="shared" si="47"/>
        <v>974482492.1428572</v>
      </c>
      <c r="Y248" s="492">
        <v>14251194.351417776</v>
      </c>
      <c r="Z248" s="492">
        <v>0</v>
      </c>
      <c r="AC248">
        <v>743</v>
      </c>
      <c r="AD248">
        <f t="shared" si="39"/>
        <v>0</v>
      </c>
      <c r="AF248" s="494"/>
    </row>
    <row r="249" spans="1:32" ht="12">
      <c r="A249" s="468" t="s">
        <v>1090</v>
      </c>
      <c r="B249" s="483">
        <v>5069</v>
      </c>
      <c r="C249" s="484">
        <f t="shared" si="40"/>
        <v>11039621.68197701</v>
      </c>
      <c r="D249" s="484">
        <f t="shared" si="36"/>
        <v>2047075.8627135751</v>
      </c>
      <c r="E249" s="484">
        <f t="shared" si="41"/>
        <v>0</v>
      </c>
      <c r="F249" s="484">
        <f t="shared" si="42"/>
        <v>13086697.544690585</v>
      </c>
      <c r="G249" s="485">
        <f t="shared" si="43"/>
        <v>2581.7118849261365</v>
      </c>
      <c r="H249" s="475">
        <f t="shared" si="44"/>
        <v>1100.5881150738637</v>
      </c>
      <c r="I249" s="380">
        <f t="shared" si="45"/>
        <v>0</v>
      </c>
      <c r="J249" s="380">
        <f t="shared" si="46"/>
        <v>0</v>
      </c>
      <c r="K249" s="476">
        <f t="shared" si="37"/>
        <v>880.470492059091</v>
      </c>
      <c r="L249" s="500">
        <f t="shared" si="38"/>
        <v>4463104.924247532</v>
      </c>
      <c r="M249" s="486">
        <v>4728520.251023448</v>
      </c>
      <c r="N249" s="486"/>
      <c r="O249" s="495">
        <v>746</v>
      </c>
      <c r="P249" s="391" t="s">
        <v>1090</v>
      </c>
      <c r="Q249" s="488">
        <v>0</v>
      </c>
      <c r="R249" s="489" t="s">
        <v>781</v>
      </c>
      <c r="U249" s="490" t="s">
        <v>289</v>
      </c>
      <c r="V249" s="491">
        <v>21.75</v>
      </c>
      <c r="W249" s="492">
        <v>12065918.17</v>
      </c>
      <c r="X249" s="493">
        <f t="shared" si="47"/>
        <v>55475485.83908046</v>
      </c>
      <c r="Y249" s="492">
        <v>2047075.8627135751</v>
      </c>
      <c r="Z249" s="492">
        <v>0</v>
      </c>
      <c r="AC249">
        <v>746</v>
      </c>
      <c r="AD249">
        <f t="shared" si="39"/>
        <v>0</v>
      </c>
      <c r="AF249" s="494"/>
    </row>
    <row r="250" spans="1:32" ht="12">
      <c r="A250" s="468" t="s">
        <v>1091</v>
      </c>
      <c r="B250" s="483">
        <v>1494</v>
      </c>
      <c r="C250" s="484">
        <f t="shared" si="40"/>
        <v>3017208.9459999995</v>
      </c>
      <c r="D250" s="484">
        <f t="shared" si="36"/>
        <v>549520.404056166</v>
      </c>
      <c r="E250" s="484">
        <f t="shared" si="41"/>
        <v>0</v>
      </c>
      <c r="F250" s="484">
        <f t="shared" si="42"/>
        <v>3566729.3500561654</v>
      </c>
      <c r="G250" s="485">
        <f t="shared" si="43"/>
        <v>2387.3690428756126</v>
      </c>
      <c r="H250" s="475">
        <f t="shared" si="44"/>
        <v>1294.9309571243875</v>
      </c>
      <c r="I250" s="380">
        <f t="shared" si="45"/>
        <v>0</v>
      </c>
      <c r="J250" s="380">
        <f t="shared" si="46"/>
        <v>0</v>
      </c>
      <c r="K250" s="476">
        <f t="shared" si="37"/>
        <v>1035.94476569951</v>
      </c>
      <c r="L250" s="500">
        <f t="shared" si="38"/>
        <v>1547701.479955068</v>
      </c>
      <c r="M250" s="486">
        <v>1544739.8149561908</v>
      </c>
      <c r="N250" s="486"/>
      <c r="O250" s="495">
        <v>747</v>
      </c>
      <c r="P250" s="391" t="s">
        <v>1091</v>
      </c>
      <c r="Q250" s="488">
        <v>0</v>
      </c>
      <c r="R250" s="489" t="s">
        <v>798</v>
      </c>
      <c r="U250" s="490" t="s">
        <v>290</v>
      </c>
      <c r="V250" s="491">
        <v>21</v>
      </c>
      <c r="W250" s="492">
        <v>3183989.34</v>
      </c>
      <c r="X250" s="493">
        <f t="shared" si="47"/>
        <v>15161854</v>
      </c>
      <c r="Y250" s="492">
        <v>549520.404056166</v>
      </c>
      <c r="Z250" s="492">
        <v>0</v>
      </c>
      <c r="AC250">
        <v>747</v>
      </c>
      <c r="AD250">
        <f t="shared" si="39"/>
        <v>0</v>
      </c>
      <c r="AF250" s="494"/>
    </row>
    <row r="251" spans="1:32" ht="12">
      <c r="A251" s="468" t="s">
        <v>1092</v>
      </c>
      <c r="B251" s="483">
        <v>5366</v>
      </c>
      <c r="C251" s="484">
        <f t="shared" si="40"/>
        <v>12906813.965636363</v>
      </c>
      <c r="D251" s="484">
        <f t="shared" si="36"/>
        <v>806306.6315384228</v>
      </c>
      <c r="E251" s="484">
        <f t="shared" si="41"/>
        <v>0</v>
      </c>
      <c r="F251" s="484">
        <f t="shared" si="42"/>
        <v>13713120.597174786</v>
      </c>
      <c r="G251" s="485">
        <f t="shared" si="43"/>
        <v>2555.5573233646637</v>
      </c>
      <c r="H251" s="475">
        <f t="shared" si="44"/>
        <v>1126.7426766353365</v>
      </c>
      <c r="I251" s="380">
        <f t="shared" si="45"/>
        <v>0</v>
      </c>
      <c r="J251" s="380">
        <f t="shared" si="46"/>
        <v>0</v>
      </c>
      <c r="K251" s="476">
        <f t="shared" si="37"/>
        <v>901.3941413082692</v>
      </c>
      <c r="L251" s="500">
        <f t="shared" si="38"/>
        <v>4836880.962260173</v>
      </c>
      <c r="M251" s="486">
        <v>4870270.077229092</v>
      </c>
      <c r="N251" s="486"/>
      <c r="O251" s="495">
        <v>748</v>
      </c>
      <c r="P251" s="391" t="s">
        <v>1092</v>
      </c>
      <c r="Q251" s="488">
        <v>0</v>
      </c>
      <c r="R251" s="489" t="s">
        <v>781</v>
      </c>
      <c r="U251" s="490" t="s">
        <v>291</v>
      </c>
      <c r="V251" s="491">
        <v>22</v>
      </c>
      <c r="W251" s="492">
        <v>14268839.56</v>
      </c>
      <c r="X251" s="493">
        <f t="shared" si="47"/>
        <v>64858361.63636363</v>
      </c>
      <c r="Y251" s="492">
        <v>806306.6315384228</v>
      </c>
      <c r="Z251" s="492">
        <v>0</v>
      </c>
      <c r="AC251">
        <v>748</v>
      </c>
      <c r="AD251">
        <f t="shared" si="39"/>
        <v>0</v>
      </c>
      <c r="AF251" s="494"/>
    </row>
    <row r="252" spans="1:32" ht="12">
      <c r="A252" s="468" t="s">
        <v>1093</v>
      </c>
      <c r="B252" s="483">
        <v>21768</v>
      </c>
      <c r="C252" s="484">
        <f t="shared" si="40"/>
        <v>70156405.3483294</v>
      </c>
      <c r="D252" s="484">
        <f t="shared" si="36"/>
        <v>4321351.275186593</v>
      </c>
      <c r="E252" s="484">
        <f t="shared" si="41"/>
        <v>0</v>
      </c>
      <c r="F252" s="484">
        <f t="shared" si="42"/>
        <v>74477756.623516</v>
      </c>
      <c r="G252" s="485">
        <f t="shared" si="43"/>
        <v>3421.4331414698636</v>
      </c>
      <c r="H252" s="475">
        <f t="shared" si="44"/>
        <v>260.8668585301366</v>
      </c>
      <c r="I252" s="380">
        <f t="shared" si="45"/>
        <v>0</v>
      </c>
      <c r="J252" s="380">
        <f t="shared" si="46"/>
        <v>0</v>
      </c>
      <c r="K252" s="476">
        <f t="shared" si="37"/>
        <v>208.6934868241093</v>
      </c>
      <c r="L252" s="500">
        <f t="shared" si="38"/>
        <v>4542839.821187211</v>
      </c>
      <c r="M252" s="486">
        <v>5033154.683821173</v>
      </c>
      <c r="N252" s="486"/>
      <c r="O252" s="495">
        <v>749</v>
      </c>
      <c r="P252" s="391" t="s">
        <v>1093</v>
      </c>
      <c r="Q252" s="488">
        <v>0</v>
      </c>
      <c r="R252" s="489" t="s">
        <v>843</v>
      </c>
      <c r="U252" s="490" t="s">
        <v>293</v>
      </c>
      <c r="V252" s="491">
        <v>21.25</v>
      </c>
      <c r="W252" s="492">
        <v>74915759.48</v>
      </c>
      <c r="X252" s="493">
        <f t="shared" si="47"/>
        <v>352544750.4941176</v>
      </c>
      <c r="Y252" s="492">
        <v>4321351.275186593</v>
      </c>
      <c r="Z252" s="492">
        <v>0</v>
      </c>
      <c r="AC252">
        <v>749</v>
      </c>
      <c r="AD252">
        <f t="shared" si="39"/>
        <v>0</v>
      </c>
      <c r="AF252" s="494"/>
    </row>
    <row r="253" spans="1:32" ht="12">
      <c r="A253" s="468" t="s">
        <v>1094</v>
      </c>
      <c r="B253" s="483">
        <v>3170</v>
      </c>
      <c r="C253" s="484">
        <f t="shared" si="40"/>
        <v>9190229.460590908</v>
      </c>
      <c r="D253" s="484">
        <f t="shared" si="36"/>
        <v>325614.0267570152</v>
      </c>
      <c r="E253" s="484">
        <f t="shared" si="41"/>
        <v>0</v>
      </c>
      <c r="F253" s="484">
        <f t="shared" si="42"/>
        <v>9515843.487347923</v>
      </c>
      <c r="G253" s="485">
        <f t="shared" si="43"/>
        <v>3001.8433714031303</v>
      </c>
      <c r="H253" s="475">
        <f t="shared" si="44"/>
        <v>680.4566285968699</v>
      </c>
      <c r="I253" s="380">
        <f t="shared" si="45"/>
        <v>0</v>
      </c>
      <c r="J253" s="380">
        <f t="shared" si="46"/>
        <v>0</v>
      </c>
      <c r="K253" s="476">
        <f t="shared" si="37"/>
        <v>544.365302877496</v>
      </c>
      <c r="L253" s="500">
        <f t="shared" si="38"/>
        <v>1725638.0101216624</v>
      </c>
      <c r="M253" s="486">
        <v>1714908.9554436363</v>
      </c>
      <c r="N253" s="486"/>
      <c r="O253" s="495">
        <v>751</v>
      </c>
      <c r="P253" s="391" t="s">
        <v>1094</v>
      </c>
      <c r="Q253" s="488">
        <v>0</v>
      </c>
      <c r="R253" s="489" t="s">
        <v>794</v>
      </c>
      <c r="U253" s="490" t="s">
        <v>294</v>
      </c>
      <c r="V253" s="491">
        <v>22</v>
      </c>
      <c r="W253" s="492">
        <v>10160052.67</v>
      </c>
      <c r="X253" s="493">
        <f t="shared" si="47"/>
        <v>46182057.59090909</v>
      </c>
      <c r="Y253" s="492">
        <v>325614.0267570152</v>
      </c>
      <c r="Z253" s="492">
        <v>0</v>
      </c>
      <c r="AC253">
        <v>751</v>
      </c>
      <c r="AD253">
        <f t="shared" si="39"/>
        <v>0</v>
      </c>
      <c r="AF253" s="494"/>
    </row>
    <row r="254" spans="1:32" ht="12">
      <c r="A254" s="468" t="s">
        <v>1095</v>
      </c>
      <c r="B254" s="483">
        <v>19922</v>
      </c>
      <c r="C254" s="484">
        <f t="shared" si="40"/>
        <v>84228726.77812986</v>
      </c>
      <c r="D254" s="484">
        <f t="shared" si="36"/>
        <v>4342939.053886212</v>
      </c>
      <c r="E254" s="484">
        <f t="shared" si="41"/>
        <v>0</v>
      </c>
      <c r="F254" s="484">
        <f t="shared" si="42"/>
        <v>88571665.83201608</v>
      </c>
      <c r="G254" s="485">
        <f t="shared" si="43"/>
        <v>4445.922388917583</v>
      </c>
      <c r="H254" s="475">
        <f t="shared" si="44"/>
        <v>-763.6223889175826</v>
      </c>
      <c r="I254" s="380">
        <f t="shared" si="45"/>
        <v>6.638073411638608</v>
      </c>
      <c r="J254" s="380">
        <f t="shared" si="46"/>
        <v>36.63807341163861</v>
      </c>
      <c r="K254" s="476">
        <f t="shared" si="37"/>
        <v>-279.7765314393324</v>
      </c>
      <c r="L254" s="500">
        <f t="shared" si="38"/>
        <v>-5573708.059334381</v>
      </c>
      <c r="M254" s="486">
        <v>-5370218.688258954</v>
      </c>
      <c r="N254" s="486"/>
      <c r="O254" s="495">
        <v>753</v>
      </c>
      <c r="P254" s="496" t="s">
        <v>1096</v>
      </c>
      <c r="Q254" s="488">
        <v>1</v>
      </c>
      <c r="R254" s="489" t="s">
        <v>786</v>
      </c>
      <c r="U254" s="490" t="s">
        <v>295</v>
      </c>
      <c r="V254" s="491">
        <v>19.25</v>
      </c>
      <c r="W254" s="492">
        <v>81477537.21</v>
      </c>
      <c r="X254" s="493">
        <f t="shared" si="47"/>
        <v>423259933.5584415</v>
      </c>
      <c r="Y254" s="492">
        <v>4342939.053886212</v>
      </c>
      <c r="Z254" s="492">
        <v>0</v>
      </c>
      <c r="AC254">
        <v>753</v>
      </c>
      <c r="AD254">
        <f t="shared" si="39"/>
        <v>0</v>
      </c>
      <c r="AF254" s="494"/>
    </row>
    <row r="255" spans="1:32" ht="12">
      <c r="A255" s="468" t="s">
        <v>1097</v>
      </c>
      <c r="B255" s="483">
        <v>6178</v>
      </c>
      <c r="C255" s="484">
        <f t="shared" si="40"/>
        <v>23897875.762744185</v>
      </c>
      <c r="D255" s="484">
        <f t="shared" si="36"/>
        <v>526396.1869487291</v>
      </c>
      <c r="E255" s="484">
        <f t="shared" si="41"/>
        <v>0</v>
      </c>
      <c r="F255" s="484">
        <f t="shared" si="42"/>
        <v>24424271.949692912</v>
      </c>
      <c r="G255" s="485">
        <f t="shared" si="43"/>
        <v>3953.4269908858714</v>
      </c>
      <c r="H255" s="475">
        <f t="shared" si="44"/>
        <v>-271.12699088587124</v>
      </c>
      <c r="I255" s="380">
        <f t="shared" si="45"/>
        <v>5.602587312175389</v>
      </c>
      <c r="J255" s="380">
        <f t="shared" si="46"/>
        <v>35.60258731217539</v>
      </c>
      <c r="K255" s="476">
        <f t="shared" si="37"/>
        <v>-96.52822365701611</v>
      </c>
      <c r="L255" s="500">
        <f t="shared" si="38"/>
        <v>-596351.3657530455</v>
      </c>
      <c r="M255" s="486">
        <v>-593607.7117675637</v>
      </c>
      <c r="N255" s="486"/>
      <c r="O255" s="495">
        <v>755</v>
      </c>
      <c r="P255" s="496" t="s">
        <v>1098</v>
      </c>
      <c r="Q255" s="488">
        <v>1</v>
      </c>
      <c r="R255" s="489" t="s">
        <v>786</v>
      </c>
      <c r="U255" s="490" t="s">
        <v>296</v>
      </c>
      <c r="V255" s="491">
        <v>21.5</v>
      </c>
      <c r="W255" s="492">
        <v>25819313.01</v>
      </c>
      <c r="X255" s="493">
        <f t="shared" si="47"/>
        <v>120089827.95348836</v>
      </c>
      <c r="Y255" s="492">
        <v>526396.1869487291</v>
      </c>
      <c r="Z255" s="492">
        <v>0</v>
      </c>
      <c r="AC255">
        <v>755</v>
      </c>
      <c r="AD255">
        <f t="shared" si="39"/>
        <v>0</v>
      </c>
      <c r="AF255" s="494"/>
    </row>
    <row r="256" spans="1:32" ht="12">
      <c r="A256" s="468" t="s">
        <v>1099</v>
      </c>
      <c r="B256" s="483">
        <v>8653</v>
      </c>
      <c r="C256" s="484">
        <f t="shared" si="40"/>
        <v>25810279.522899996</v>
      </c>
      <c r="D256" s="484">
        <f t="shared" si="36"/>
        <v>2657042.5931752003</v>
      </c>
      <c r="E256" s="484">
        <f t="shared" si="41"/>
        <v>0</v>
      </c>
      <c r="F256" s="484">
        <f t="shared" si="42"/>
        <v>28467322.116075195</v>
      </c>
      <c r="G256" s="485">
        <f t="shared" si="43"/>
        <v>3289.878899349959</v>
      </c>
      <c r="H256" s="475">
        <f t="shared" si="44"/>
        <v>392.42110065004135</v>
      </c>
      <c r="I256" s="380">
        <f t="shared" si="45"/>
        <v>0</v>
      </c>
      <c r="J256" s="380">
        <f t="shared" si="46"/>
        <v>0</v>
      </c>
      <c r="K256" s="476">
        <f t="shared" si="37"/>
        <v>313.9368805200331</v>
      </c>
      <c r="L256" s="500">
        <f t="shared" si="38"/>
        <v>2716495.8271398465</v>
      </c>
      <c r="M256" s="486">
        <v>2717664.467875999</v>
      </c>
      <c r="N256" s="486"/>
      <c r="O256" s="495">
        <v>758</v>
      </c>
      <c r="P256" s="391" t="s">
        <v>1099</v>
      </c>
      <c r="Q256" s="488">
        <v>0</v>
      </c>
      <c r="R256" s="489" t="s">
        <v>794</v>
      </c>
      <c r="U256" s="490" t="s">
        <v>297</v>
      </c>
      <c r="V256" s="491">
        <v>20</v>
      </c>
      <c r="W256" s="492">
        <v>25939979.42</v>
      </c>
      <c r="X256" s="493">
        <f t="shared" si="47"/>
        <v>129699897.1</v>
      </c>
      <c r="Y256" s="492">
        <v>2657042.5931752003</v>
      </c>
      <c r="Z256" s="492">
        <v>0</v>
      </c>
      <c r="AC256">
        <v>758</v>
      </c>
      <c r="AD256">
        <f t="shared" si="39"/>
        <v>0</v>
      </c>
      <c r="AF256" s="494"/>
    </row>
    <row r="257" spans="1:32" ht="12">
      <c r="A257" s="468" t="s">
        <v>1100</v>
      </c>
      <c r="B257" s="483">
        <v>2186</v>
      </c>
      <c r="C257" s="484">
        <f t="shared" si="40"/>
        <v>4399364.996827587</v>
      </c>
      <c r="D257" s="484">
        <f t="shared" si="36"/>
        <v>583852.5673544355</v>
      </c>
      <c r="E257" s="484">
        <f t="shared" si="41"/>
        <v>0</v>
      </c>
      <c r="F257" s="484">
        <f t="shared" si="42"/>
        <v>4983217.564182022</v>
      </c>
      <c r="G257" s="485">
        <f t="shared" si="43"/>
        <v>2279.605473093331</v>
      </c>
      <c r="H257" s="475">
        <f t="shared" si="44"/>
        <v>1402.6945269066691</v>
      </c>
      <c r="I257" s="380">
        <f t="shared" si="45"/>
        <v>0</v>
      </c>
      <c r="J257" s="380">
        <f t="shared" si="46"/>
        <v>0</v>
      </c>
      <c r="K257" s="476">
        <f t="shared" si="37"/>
        <v>1122.1556215253354</v>
      </c>
      <c r="L257" s="500">
        <f t="shared" si="38"/>
        <v>2453032.188654383</v>
      </c>
      <c r="M257" s="486">
        <v>2536301.1528349426</v>
      </c>
      <c r="N257" s="486"/>
      <c r="O257" s="495">
        <v>759</v>
      </c>
      <c r="P257" s="391" t="s">
        <v>1100</v>
      </c>
      <c r="Q257" s="488">
        <v>0</v>
      </c>
      <c r="R257" s="489" t="s">
        <v>779</v>
      </c>
      <c r="U257" s="490" t="s">
        <v>298</v>
      </c>
      <c r="V257" s="491">
        <v>21.75</v>
      </c>
      <c r="W257" s="492">
        <v>4808351.19</v>
      </c>
      <c r="X257" s="493">
        <f t="shared" si="47"/>
        <v>22107361.793103453</v>
      </c>
      <c r="Y257" s="492">
        <v>583852.5673544355</v>
      </c>
      <c r="Z257" s="492">
        <v>0</v>
      </c>
      <c r="AC257">
        <v>759</v>
      </c>
      <c r="AD257">
        <f t="shared" si="39"/>
        <v>0</v>
      </c>
      <c r="AF257" s="494"/>
    </row>
    <row r="258" spans="1:32" ht="12">
      <c r="A258" s="468" t="s">
        <v>1101</v>
      </c>
      <c r="B258" s="483">
        <v>9027</v>
      </c>
      <c r="C258" s="484">
        <f t="shared" si="40"/>
        <v>23649360.857333332</v>
      </c>
      <c r="D258" s="484">
        <f t="shared" si="36"/>
        <v>1230677.2675684073</v>
      </c>
      <c r="E258" s="484">
        <f t="shared" si="41"/>
        <v>0</v>
      </c>
      <c r="F258" s="484">
        <f t="shared" si="42"/>
        <v>24880038.124901738</v>
      </c>
      <c r="G258" s="485">
        <f t="shared" si="43"/>
        <v>2756.1801401242647</v>
      </c>
      <c r="H258" s="475">
        <f t="shared" si="44"/>
        <v>926.1198598757355</v>
      </c>
      <c r="I258" s="380">
        <f t="shared" si="45"/>
        <v>0</v>
      </c>
      <c r="J258" s="380">
        <f t="shared" si="46"/>
        <v>0</v>
      </c>
      <c r="K258" s="476">
        <f t="shared" si="37"/>
        <v>740.8958879005885</v>
      </c>
      <c r="L258" s="500">
        <f t="shared" si="38"/>
        <v>6688067.180078613</v>
      </c>
      <c r="M258" s="486">
        <v>6587352.793513843</v>
      </c>
      <c r="N258" s="486"/>
      <c r="O258" s="495">
        <v>761</v>
      </c>
      <c r="P258" s="391" t="s">
        <v>1101</v>
      </c>
      <c r="Q258" s="488">
        <v>0</v>
      </c>
      <c r="R258" s="489" t="s">
        <v>788</v>
      </c>
      <c r="U258" s="490" t="s">
        <v>299</v>
      </c>
      <c r="V258" s="491">
        <v>19.5</v>
      </c>
      <c r="W258" s="492">
        <v>23173996.82</v>
      </c>
      <c r="X258" s="493">
        <f t="shared" si="47"/>
        <v>118841009.33333333</v>
      </c>
      <c r="Y258" s="492">
        <v>1230677.2675684073</v>
      </c>
      <c r="Z258" s="492">
        <v>0</v>
      </c>
      <c r="AC258">
        <v>761</v>
      </c>
      <c r="AD258">
        <f t="shared" si="39"/>
        <v>0</v>
      </c>
      <c r="AF258" s="494"/>
    </row>
    <row r="259" spans="1:32" ht="12">
      <c r="A259" s="468" t="s">
        <v>1102</v>
      </c>
      <c r="B259" s="483">
        <v>4199</v>
      </c>
      <c r="C259" s="484">
        <f t="shared" si="40"/>
        <v>9357504.991121951</v>
      </c>
      <c r="D259" s="484">
        <f t="shared" si="36"/>
        <v>1932942.753955174</v>
      </c>
      <c r="E259" s="484">
        <f t="shared" si="41"/>
        <v>0</v>
      </c>
      <c r="F259" s="484">
        <f t="shared" si="42"/>
        <v>11290447.745077126</v>
      </c>
      <c r="G259" s="485">
        <f t="shared" si="43"/>
        <v>2688.8420445527804</v>
      </c>
      <c r="H259" s="475">
        <f t="shared" si="44"/>
        <v>993.4579554472198</v>
      </c>
      <c r="I259" s="380">
        <f t="shared" si="45"/>
        <v>0</v>
      </c>
      <c r="J259" s="380">
        <f t="shared" si="46"/>
        <v>0</v>
      </c>
      <c r="K259" s="476">
        <f t="shared" si="37"/>
        <v>794.7663643577758</v>
      </c>
      <c r="L259" s="500">
        <f t="shared" si="38"/>
        <v>3337223.963938301</v>
      </c>
      <c r="M259" s="486">
        <v>3390094.8734321943</v>
      </c>
      <c r="N259" s="486"/>
      <c r="O259" s="495">
        <v>762</v>
      </c>
      <c r="P259" s="391" t="s">
        <v>1102</v>
      </c>
      <c r="Q259" s="488">
        <v>0</v>
      </c>
      <c r="R259" s="489" t="s">
        <v>843</v>
      </c>
      <c r="U259" s="490" t="s">
        <v>300</v>
      </c>
      <c r="V259" s="491">
        <v>20.5</v>
      </c>
      <c r="W259" s="492">
        <v>9639640.82</v>
      </c>
      <c r="X259" s="493">
        <f t="shared" si="47"/>
        <v>47022638.146341465</v>
      </c>
      <c r="Y259" s="492">
        <v>1932942.753955174</v>
      </c>
      <c r="Z259" s="492">
        <v>0</v>
      </c>
      <c r="AC259">
        <v>762</v>
      </c>
      <c r="AD259">
        <f t="shared" si="39"/>
        <v>0</v>
      </c>
      <c r="AF259" s="494"/>
    </row>
    <row r="260" spans="1:32" ht="12">
      <c r="A260" s="468" t="s">
        <v>1103</v>
      </c>
      <c r="B260" s="483">
        <v>10471</v>
      </c>
      <c r="C260" s="484">
        <f t="shared" si="40"/>
        <v>30048295.20287059</v>
      </c>
      <c r="D260" s="484">
        <f t="shared" si="36"/>
        <v>2269127.72950449</v>
      </c>
      <c r="E260" s="484">
        <f t="shared" si="41"/>
        <v>0</v>
      </c>
      <c r="F260" s="484">
        <f t="shared" si="42"/>
        <v>32317422.932375077</v>
      </c>
      <c r="G260" s="485">
        <f t="shared" si="43"/>
        <v>3086.3740743362696</v>
      </c>
      <c r="H260" s="475">
        <f t="shared" si="44"/>
        <v>595.9259256637306</v>
      </c>
      <c r="I260" s="380">
        <f t="shared" si="45"/>
        <v>0</v>
      </c>
      <c r="J260" s="380">
        <f t="shared" si="46"/>
        <v>0</v>
      </c>
      <c r="K260" s="476">
        <f t="shared" si="37"/>
        <v>476.7407405309845</v>
      </c>
      <c r="L260" s="500">
        <f t="shared" si="38"/>
        <v>4991952.294099939</v>
      </c>
      <c r="M260" s="486">
        <v>5036227.705957648</v>
      </c>
      <c r="N260" s="486"/>
      <c r="O260" s="495">
        <v>765</v>
      </c>
      <c r="P260" s="391" t="s">
        <v>1103</v>
      </c>
      <c r="Q260" s="488">
        <v>0</v>
      </c>
      <c r="R260" s="489" t="s">
        <v>832</v>
      </c>
      <c r="U260" s="490" t="s">
        <v>301</v>
      </c>
      <c r="V260" s="491">
        <v>21.25</v>
      </c>
      <c r="W260" s="492">
        <v>32086747.39</v>
      </c>
      <c r="X260" s="493">
        <f t="shared" si="47"/>
        <v>150996458.30588236</v>
      </c>
      <c r="Y260" s="492">
        <v>2269127.72950449</v>
      </c>
      <c r="Z260" s="492">
        <v>0</v>
      </c>
      <c r="AC260">
        <v>765</v>
      </c>
      <c r="AD260">
        <f t="shared" si="39"/>
        <v>0</v>
      </c>
      <c r="AF260" s="494"/>
    </row>
    <row r="261" spans="1:32" ht="12">
      <c r="A261" s="468" t="s">
        <v>1104</v>
      </c>
      <c r="B261" s="483">
        <v>2661</v>
      </c>
      <c r="C261" s="484">
        <f t="shared" si="40"/>
        <v>5812151.385860465</v>
      </c>
      <c r="D261" s="484">
        <f t="shared" si="36"/>
        <v>1090409.1776790768</v>
      </c>
      <c r="E261" s="484">
        <f t="shared" si="41"/>
        <v>0</v>
      </c>
      <c r="F261" s="484">
        <f t="shared" si="42"/>
        <v>6902560.563539541</v>
      </c>
      <c r="G261" s="485">
        <f t="shared" si="43"/>
        <v>2593.9724026830295</v>
      </c>
      <c r="H261" s="475">
        <f t="shared" si="44"/>
        <v>1088.3275973169707</v>
      </c>
      <c r="I261" s="380">
        <f t="shared" si="45"/>
        <v>0</v>
      </c>
      <c r="J261" s="380">
        <f t="shared" si="46"/>
        <v>0</v>
      </c>
      <c r="K261" s="476">
        <f t="shared" si="37"/>
        <v>870.6620778535766</v>
      </c>
      <c r="L261" s="500">
        <f t="shared" si="38"/>
        <v>2316831.7891683676</v>
      </c>
      <c r="M261" s="486">
        <v>2211834.5565879075</v>
      </c>
      <c r="N261" s="486"/>
      <c r="O261" s="495">
        <v>768</v>
      </c>
      <c r="P261" s="391" t="s">
        <v>1104</v>
      </c>
      <c r="Q261" s="488">
        <v>0</v>
      </c>
      <c r="R261" s="489" t="s">
        <v>791</v>
      </c>
      <c r="U261" s="490" t="s">
        <v>302</v>
      </c>
      <c r="V261" s="491">
        <v>21.5</v>
      </c>
      <c r="W261" s="492">
        <v>6279460.04</v>
      </c>
      <c r="X261" s="493">
        <f t="shared" si="47"/>
        <v>29206790.88372093</v>
      </c>
      <c r="Y261" s="492">
        <v>1090409.1776790768</v>
      </c>
      <c r="Z261" s="492">
        <v>0</v>
      </c>
      <c r="AC261">
        <v>768</v>
      </c>
      <c r="AD261">
        <f t="shared" si="39"/>
        <v>0</v>
      </c>
      <c r="AF261" s="494"/>
    </row>
    <row r="262" spans="1:32" ht="12">
      <c r="A262" s="468" t="s">
        <v>1105</v>
      </c>
      <c r="B262" s="483">
        <v>8187</v>
      </c>
      <c r="C262" s="484">
        <f t="shared" si="40"/>
        <v>19831132.875707317</v>
      </c>
      <c r="D262" s="484">
        <f t="shared" si="36"/>
        <v>2541376.1175206816</v>
      </c>
      <c r="E262" s="484">
        <f t="shared" si="41"/>
        <v>0</v>
      </c>
      <c r="F262" s="484">
        <f t="shared" si="42"/>
        <v>22372508.993228</v>
      </c>
      <c r="G262" s="485">
        <f t="shared" si="43"/>
        <v>2732.6870640317575</v>
      </c>
      <c r="H262" s="475">
        <f t="shared" si="44"/>
        <v>949.6129359682427</v>
      </c>
      <c r="I262" s="380">
        <f t="shared" si="45"/>
        <v>0</v>
      </c>
      <c r="J262" s="380">
        <f t="shared" si="46"/>
        <v>0</v>
      </c>
      <c r="K262" s="476">
        <f t="shared" si="37"/>
        <v>759.6903487745942</v>
      </c>
      <c r="L262" s="500">
        <f t="shared" si="38"/>
        <v>6219584.885417603</v>
      </c>
      <c r="M262" s="486">
        <v>6211974.088386345</v>
      </c>
      <c r="N262" s="486"/>
      <c r="O262" s="495">
        <v>777</v>
      </c>
      <c r="P262" s="391" t="s">
        <v>1105</v>
      </c>
      <c r="Q262" s="488">
        <v>0</v>
      </c>
      <c r="R262" s="489" t="s">
        <v>832</v>
      </c>
      <c r="U262" s="490" t="s">
        <v>303</v>
      </c>
      <c r="V262" s="491">
        <v>20.5</v>
      </c>
      <c r="W262" s="492">
        <v>20429056.48</v>
      </c>
      <c r="X262" s="493">
        <f t="shared" si="47"/>
        <v>99653934.04878049</v>
      </c>
      <c r="Y262" s="492">
        <v>2541376.1175206816</v>
      </c>
      <c r="Z262" s="492">
        <v>0</v>
      </c>
      <c r="AC262">
        <v>777</v>
      </c>
      <c r="AD262">
        <f t="shared" si="39"/>
        <v>0</v>
      </c>
      <c r="AF262" s="494"/>
    </row>
    <row r="263" spans="1:32" ht="12">
      <c r="A263" s="468" t="s">
        <v>1106</v>
      </c>
      <c r="B263" s="483">
        <v>7312</v>
      </c>
      <c r="C263" s="484">
        <f t="shared" si="40"/>
        <v>18237894.22137931</v>
      </c>
      <c r="D263" s="484">
        <f t="shared" si="36"/>
        <v>1653704.9704276323</v>
      </c>
      <c r="E263" s="484">
        <f t="shared" si="41"/>
        <v>0</v>
      </c>
      <c r="F263" s="484">
        <f t="shared" si="42"/>
        <v>19891599.191806942</v>
      </c>
      <c r="G263" s="485">
        <f t="shared" si="43"/>
        <v>2720.4047034746914</v>
      </c>
      <c r="H263" s="475">
        <f t="shared" si="44"/>
        <v>961.8952965253088</v>
      </c>
      <c r="I263" s="380">
        <f t="shared" si="45"/>
        <v>0</v>
      </c>
      <c r="J263" s="380">
        <f t="shared" si="46"/>
        <v>0</v>
      </c>
      <c r="K263" s="476">
        <f t="shared" si="37"/>
        <v>769.5162372202471</v>
      </c>
      <c r="L263" s="500">
        <f t="shared" si="38"/>
        <v>5626702.726554447</v>
      </c>
      <c r="M263" s="486">
        <v>5616726.783458183</v>
      </c>
      <c r="N263" s="486"/>
      <c r="O263" s="495">
        <v>778</v>
      </c>
      <c r="P263" s="391" t="s">
        <v>1106</v>
      </c>
      <c r="Q263" s="488">
        <v>0</v>
      </c>
      <c r="R263" s="489" t="s">
        <v>843</v>
      </c>
      <c r="U263" s="490" t="s">
        <v>304</v>
      </c>
      <c r="V263" s="491">
        <v>21.75</v>
      </c>
      <c r="W263" s="492">
        <v>19933376.85</v>
      </c>
      <c r="X263" s="493">
        <f t="shared" si="47"/>
        <v>91647709.65517242</v>
      </c>
      <c r="Y263" s="492">
        <v>1653704.9704276323</v>
      </c>
      <c r="Z263" s="492">
        <v>0</v>
      </c>
      <c r="AC263">
        <v>778</v>
      </c>
      <c r="AD263">
        <f t="shared" si="39"/>
        <v>0</v>
      </c>
      <c r="AF263" s="494"/>
    </row>
    <row r="264" spans="1:32" ht="12">
      <c r="A264" s="468" t="s">
        <v>1107</v>
      </c>
      <c r="B264" s="483">
        <v>3953</v>
      </c>
      <c r="C264" s="484">
        <f t="shared" si="40"/>
        <v>9004216.648578947</v>
      </c>
      <c r="D264" s="484">
        <f t="shared" si="36"/>
        <v>1351941.743934483</v>
      </c>
      <c r="E264" s="484">
        <f t="shared" si="41"/>
        <v>0</v>
      </c>
      <c r="F264" s="484">
        <f t="shared" si="42"/>
        <v>10356158.39251343</v>
      </c>
      <c r="G264" s="485">
        <f t="shared" si="43"/>
        <v>2619.8225126520188</v>
      </c>
      <c r="H264" s="475">
        <f t="shared" si="44"/>
        <v>1062.4774873479814</v>
      </c>
      <c r="I264" s="380">
        <f t="shared" si="45"/>
        <v>0</v>
      </c>
      <c r="J264" s="380">
        <f t="shared" si="46"/>
        <v>0</v>
      </c>
      <c r="K264" s="476">
        <f t="shared" si="37"/>
        <v>849.9819898783852</v>
      </c>
      <c r="L264" s="500">
        <f t="shared" si="38"/>
        <v>3359978.8059892566</v>
      </c>
      <c r="M264" s="486">
        <v>3373219.5752210524</v>
      </c>
      <c r="N264" s="486"/>
      <c r="O264" s="495">
        <v>781</v>
      </c>
      <c r="P264" s="391" t="s">
        <v>1107</v>
      </c>
      <c r="Q264" s="488">
        <v>0</v>
      </c>
      <c r="R264" s="489" t="s">
        <v>784</v>
      </c>
      <c r="U264" s="490" t="s">
        <v>305</v>
      </c>
      <c r="V264" s="491">
        <v>19</v>
      </c>
      <c r="W264" s="492">
        <v>8596990.77</v>
      </c>
      <c r="X264" s="493">
        <f t="shared" si="47"/>
        <v>45247319.84210526</v>
      </c>
      <c r="Y264" s="492">
        <v>1351941.743934483</v>
      </c>
      <c r="Z264" s="492">
        <v>0</v>
      </c>
      <c r="AC264">
        <v>781</v>
      </c>
      <c r="AD264">
        <f t="shared" si="39"/>
        <v>0</v>
      </c>
      <c r="AF264" s="494"/>
    </row>
    <row r="265" spans="1:32" ht="12">
      <c r="A265" s="468" t="s">
        <v>1108</v>
      </c>
      <c r="B265" s="483">
        <v>6988</v>
      </c>
      <c r="C265" s="484">
        <f t="shared" si="40"/>
        <v>22340581.205395345</v>
      </c>
      <c r="D265" s="484">
        <f t="shared" si="36"/>
        <v>1578317.4460003513</v>
      </c>
      <c r="E265" s="484">
        <f t="shared" si="41"/>
        <v>0</v>
      </c>
      <c r="F265" s="484">
        <f t="shared" si="42"/>
        <v>23918898.651395697</v>
      </c>
      <c r="G265" s="485">
        <f t="shared" si="43"/>
        <v>3422.85327009097</v>
      </c>
      <c r="H265" s="475">
        <f t="shared" si="44"/>
        <v>259.4467299090302</v>
      </c>
      <c r="I265" s="380">
        <f t="shared" si="45"/>
        <v>0</v>
      </c>
      <c r="J265" s="380">
        <f t="shared" si="46"/>
        <v>0</v>
      </c>
      <c r="K265" s="476">
        <f t="shared" si="37"/>
        <v>207.55738392722415</v>
      </c>
      <c r="L265" s="500">
        <f t="shared" si="38"/>
        <v>1450410.9988834423</v>
      </c>
      <c r="M265" s="497">
        <v>1347436.8359106951</v>
      </c>
      <c r="N265" s="486"/>
      <c r="O265" s="495">
        <v>783</v>
      </c>
      <c r="P265" s="391" t="s">
        <v>1108</v>
      </c>
      <c r="Q265" s="488">
        <v>0</v>
      </c>
      <c r="R265" s="489" t="s">
        <v>798</v>
      </c>
      <c r="U265" s="490" t="s">
        <v>306</v>
      </c>
      <c r="V265" s="491">
        <v>21.5</v>
      </c>
      <c r="W265" s="492">
        <v>24136808.84</v>
      </c>
      <c r="X265" s="493">
        <f t="shared" si="47"/>
        <v>112264227.1627907</v>
      </c>
      <c r="Y265" s="492">
        <v>1578317.4460003513</v>
      </c>
      <c r="Z265" s="492">
        <v>0</v>
      </c>
      <c r="AC265">
        <v>783</v>
      </c>
      <c r="AD265">
        <f t="shared" si="39"/>
        <v>0</v>
      </c>
      <c r="AF265" s="494"/>
    </row>
    <row r="266" spans="1:32" ht="12">
      <c r="A266" s="468" t="s">
        <v>1109</v>
      </c>
      <c r="B266" s="483">
        <v>3040</v>
      </c>
      <c r="C266" s="484">
        <f t="shared" si="40"/>
        <v>7141750.513441861</v>
      </c>
      <c r="D266" s="484">
        <f t="shared" si="36"/>
        <v>625882.6215293658</v>
      </c>
      <c r="E266" s="484">
        <f t="shared" si="41"/>
        <v>0</v>
      </c>
      <c r="F266" s="484">
        <f t="shared" si="42"/>
        <v>7767633.134971227</v>
      </c>
      <c r="G266" s="485">
        <f t="shared" si="43"/>
        <v>2555.142478608956</v>
      </c>
      <c r="H266" s="475">
        <f t="shared" si="44"/>
        <v>1127.1575213910442</v>
      </c>
      <c r="I266" s="380">
        <f t="shared" si="45"/>
        <v>0</v>
      </c>
      <c r="J266" s="380">
        <f t="shared" si="46"/>
        <v>0</v>
      </c>
      <c r="K266" s="476">
        <f t="shared" si="37"/>
        <v>901.7260171128354</v>
      </c>
      <c r="L266" s="500">
        <f t="shared" si="38"/>
        <v>2741247.0920230197</v>
      </c>
      <c r="M266" s="486">
        <v>2730248.362567442</v>
      </c>
      <c r="N266" s="486"/>
      <c r="O266" s="495">
        <v>785</v>
      </c>
      <c r="P266" s="391" t="s">
        <v>1109</v>
      </c>
      <c r="Q266" s="488">
        <v>0</v>
      </c>
      <c r="R266" s="489" t="s">
        <v>781</v>
      </c>
      <c r="U266" s="490" t="s">
        <v>330</v>
      </c>
      <c r="V266" s="491">
        <v>21.5</v>
      </c>
      <c r="W266" s="492">
        <v>7715961.61</v>
      </c>
      <c r="X266" s="493">
        <f t="shared" si="47"/>
        <v>35888193.53488372</v>
      </c>
      <c r="Y266" s="492">
        <v>625882.6215293658</v>
      </c>
      <c r="Z266" s="492">
        <v>0</v>
      </c>
      <c r="AC266">
        <v>785</v>
      </c>
      <c r="AD266">
        <f t="shared" si="39"/>
        <v>0</v>
      </c>
      <c r="AF266" s="494"/>
    </row>
    <row r="267" spans="1:32" ht="12">
      <c r="A267" s="468" t="s">
        <v>283</v>
      </c>
      <c r="B267" s="483">
        <v>25062</v>
      </c>
      <c r="C267" s="484">
        <f t="shared" si="40"/>
        <v>67351395.80616868</v>
      </c>
      <c r="D267" s="484">
        <f t="shared" si="36"/>
        <v>4349731.019451112</v>
      </c>
      <c r="E267" s="484">
        <f t="shared" si="41"/>
        <v>0</v>
      </c>
      <c r="F267" s="484">
        <f t="shared" si="42"/>
        <v>71701126.82561979</v>
      </c>
      <c r="G267" s="485">
        <f t="shared" si="43"/>
        <v>2860.949917230061</v>
      </c>
      <c r="H267" s="475">
        <f t="shared" si="44"/>
        <v>821.350082769939</v>
      </c>
      <c r="I267" s="380">
        <f t="shared" si="45"/>
        <v>0</v>
      </c>
      <c r="J267" s="380">
        <f t="shared" si="46"/>
        <v>0</v>
      </c>
      <c r="K267" s="476">
        <f t="shared" si="37"/>
        <v>657.0800662159513</v>
      </c>
      <c r="L267" s="500">
        <f t="shared" si="38"/>
        <v>16467740.619504172</v>
      </c>
      <c r="M267" s="486">
        <v>16625858.694604332</v>
      </c>
      <c r="N267" s="486"/>
      <c r="O267" s="495">
        <v>790</v>
      </c>
      <c r="P267" s="391" t="s">
        <v>283</v>
      </c>
      <c r="Q267" s="488">
        <v>0</v>
      </c>
      <c r="R267" s="489" t="s">
        <v>789</v>
      </c>
      <c r="U267" s="490" t="s">
        <v>283</v>
      </c>
      <c r="V267" s="491">
        <v>20.75</v>
      </c>
      <c r="W267" s="492">
        <v>70228214.22</v>
      </c>
      <c r="X267" s="493">
        <f t="shared" si="47"/>
        <v>338449225.1566265</v>
      </c>
      <c r="Y267" s="492">
        <v>4349731.019451112</v>
      </c>
      <c r="Z267" s="492">
        <v>0</v>
      </c>
      <c r="AC267">
        <v>790</v>
      </c>
      <c r="AD267">
        <f t="shared" si="39"/>
        <v>0</v>
      </c>
      <c r="AF267" s="494"/>
    </row>
    <row r="268" spans="1:32" ht="12">
      <c r="A268" s="482" t="s">
        <v>292</v>
      </c>
      <c r="B268" s="483">
        <v>5583</v>
      </c>
      <c r="C268" s="484">
        <f t="shared" si="40"/>
        <v>12394739.476999998</v>
      </c>
      <c r="D268" s="484">
        <f t="shared" si="36"/>
        <v>1149670.5831267524</v>
      </c>
      <c r="E268" s="484">
        <f t="shared" si="41"/>
        <v>0</v>
      </c>
      <c r="F268" s="484">
        <f t="shared" si="42"/>
        <v>13544410.06012675</v>
      </c>
      <c r="G268" s="485">
        <f t="shared" si="43"/>
        <v>2426.009324758508</v>
      </c>
      <c r="H268" s="475">
        <f t="shared" si="44"/>
        <v>1256.2906752414924</v>
      </c>
      <c r="I268" s="380">
        <f t="shared" si="45"/>
        <v>0</v>
      </c>
      <c r="J268" s="380">
        <f t="shared" si="46"/>
        <v>0</v>
      </c>
      <c r="K268" s="476">
        <f t="shared" si="37"/>
        <v>1005.032540193194</v>
      </c>
      <c r="L268" s="500">
        <f t="shared" si="38"/>
        <v>5611096.6718986025</v>
      </c>
      <c r="M268" s="486">
        <v>5750185.363293483</v>
      </c>
      <c r="N268" s="486"/>
      <c r="O268" s="487">
        <v>791</v>
      </c>
      <c r="P268" s="391" t="s">
        <v>292</v>
      </c>
      <c r="Q268" s="488">
        <v>0</v>
      </c>
      <c r="R268" s="489" t="s">
        <v>781</v>
      </c>
      <c r="U268" s="490" t="s">
        <v>292</v>
      </c>
      <c r="V268" s="491">
        <v>22</v>
      </c>
      <c r="W268" s="492">
        <v>13702727.06</v>
      </c>
      <c r="X268" s="493">
        <f t="shared" si="47"/>
        <v>62285123</v>
      </c>
      <c r="Y268" s="492">
        <v>1149670.5831267524</v>
      </c>
      <c r="Z268" s="492">
        <v>0</v>
      </c>
      <c r="AC268">
        <v>791</v>
      </c>
      <c r="AD268">
        <f t="shared" si="39"/>
        <v>0</v>
      </c>
      <c r="AF268" s="494"/>
    </row>
    <row r="269" spans="1:32" ht="12">
      <c r="A269" s="468" t="s">
        <v>1110</v>
      </c>
      <c r="B269" s="483">
        <v>4832</v>
      </c>
      <c r="C269" s="484">
        <f t="shared" si="40"/>
        <v>15947620.530195123</v>
      </c>
      <c r="D269" s="484">
        <f t="shared" si="36"/>
        <v>782734.3150019622</v>
      </c>
      <c r="E269" s="484">
        <f t="shared" si="41"/>
        <v>0</v>
      </c>
      <c r="F269" s="484">
        <f t="shared" si="42"/>
        <v>16730354.845197085</v>
      </c>
      <c r="G269" s="485">
        <f t="shared" si="43"/>
        <v>3462.407873592112</v>
      </c>
      <c r="H269" s="475">
        <f t="shared" si="44"/>
        <v>219.8921264078881</v>
      </c>
      <c r="I269" s="380">
        <f t="shared" si="45"/>
        <v>0</v>
      </c>
      <c r="J269" s="380">
        <f t="shared" si="46"/>
        <v>0</v>
      </c>
      <c r="K269" s="476">
        <f t="shared" si="37"/>
        <v>175.91370112631049</v>
      </c>
      <c r="L269" s="500">
        <f t="shared" si="38"/>
        <v>850015.0038423323</v>
      </c>
      <c r="M269" s="486">
        <v>866929.6263519999</v>
      </c>
      <c r="N269" s="486"/>
      <c r="O269" s="495">
        <v>831</v>
      </c>
      <c r="P269" s="391" t="s">
        <v>1110</v>
      </c>
      <c r="Q269" s="488">
        <v>0</v>
      </c>
      <c r="R269" s="489" t="s">
        <v>861</v>
      </c>
      <c r="U269" s="490" t="s">
        <v>307</v>
      </c>
      <c r="V269" s="491">
        <v>20.5</v>
      </c>
      <c r="W269" s="492">
        <v>16428453.31</v>
      </c>
      <c r="X269" s="493">
        <f t="shared" si="47"/>
        <v>80138796.63414635</v>
      </c>
      <c r="Y269" s="492">
        <v>782734.3150019622</v>
      </c>
      <c r="Z269" s="492">
        <v>0</v>
      </c>
      <c r="AC269">
        <v>831</v>
      </c>
      <c r="AD269">
        <f t="shared" si="39"/>
        <v>0</v>
      </c>
      <c r="AF269" s="494"/>
    </row>
    <row r="270" spans="1:32" ht="12">
      <c r="A270" s="468" t="s">
        <v>1111</v>
      </c>
      <c r="B270" s="483">
        <v>4133</v>
      </c>
      <c r="C270" s="484">
        <f t="shared" si="40"/>
        <v>9377427.948926829</v>
      </c>
      <c r="D270" s="484">
        <f t="shared" si="36"/>
        <v>1170604.4711134937</v>
      </c>
      <c r="E270" s="484">
        <f t="shared" si="41"/>
        <v>0</v>
      </c>
      <c r="F270" s="484">
        <f t="shared" si="42"/>
        <v>10548032.420040322</v>
      </c>
      <c r="G270" s="485">
        <f t="shared" si="43"/>
        <v>2552.149145908619</v>
      </c>
      <c r="H270" s="475">
        <f t="shared" si="44"/>
        <v>1130.150854091381</v>
      </c>
      <c r="I270" s="380">
        <f t="shared" si="45"/>
        <v>0</v>
      </c>
      <c r="J270" s="380">
        <f t="shared" si="46"/>
        <v>0</v>
      </c>
      <c r="K270" s="476">
        <f t="shared" si="37"/>
        <v>904.1206832731049</v>
      </c>
      <c r="L270" s="500">
        <f t="shared" si="38"/>
        <v>3736730.783967742</v>
      </c>
      <c r="M270" s="486">
        <v>3821793.392230245</v>
      </c>
      <c r="N270" s="486"/>
      <c r="O270" s="495">
        <v>832</v>
      </c>
      <c r="P270" s="391" t="s">
        <v>1111</v>
      </c>
      <c r="Q270" s="488">
        <v>0</v>
      </c>
      <c r="R270" s="489" t="s">
        <v>781</v>
      </c>
      <c r="U270" s="490" t="s">
        <v>308</v>
      </c>
      <c r="V270" s="491">
        <v>20.5</v>
      </c>
      <c r="W270" s="492">
        <v>9660164.47</v>
      </c>
      <c r="X270" s="493">
        <f t="shared" si="47"/>
        <v>47122753.512195125</v>
      </c>
      <c r="Y270" s="492">
        <v>1170604.4711134937</v>
      </c>
      <c r="Z270" s="492">
        <v>0</v>
      </c>
      <c r="AC270">
        <v>832</v>
      </c>
      <c r="AD270">
        <f t="shared" si="39"/>
        <v>0</v>
      </c>
      <c r="AF270" s="494"/>
    </row>
    <row r="271" spans="1:32" ht="12">
      <c r="A271" s="468" t="s">
        <v>1112</v>
      </c>
      <c r="B271" s="483">
        <v>1622</v>
      </c>
      <c r="C271" s="484">
        <f t="shared" si="40"/>
        <v>4720700.105783132</v>
      </c>
      <c r="D271" s="484">
        <f t="shared" si="36"/>
        <v>222521.46680183354</v>
      </c>
      <c r="E271" s="484">
        <f t="shared" si="41"/>
        <v>0</v>
      </c>
      <c r="F271" s="484">
        <f t="shared" si="42"/>
        <v>4943221.572584965</v>
      </c>
      <c r="G271" s="485">
        <f t="shared" si="43"/>
        <v>3047.608861026489</v>
      </c>
      <c r="H271" s="475">
        <f t="shared" si="44"/>
        <v>634.691138973511</v>
      </c>
      <c r="I271" s="380">
        <f t="shared" si="45"/>
        <v>0</v>
      </c>
      <c r="J271" s="380">
        <f t="shared" si="46"/>
        <v>0</v>
      </c>
      <c r="K271" s="476">
        <f t="shared" si="37"/>
        <v>507.7529111788088</v>
      </c>
      <c r="L271" s="500">
        <f t="shared" si="38"/>
        <v>823575.2219320278</v>
      </c>
      <c r="M271" s="486">
        <v>941587.1567190355</v>
      </c>
      <c r="N271" s="486"/>
      <c r="O271" s="495">
        <v>833</v>
      </c>
      <c r="P271" s="496" t="s">
        <v>1113</v>
      </c>
      <c r="Q271" s="488">
        <v>0</v>
      </c>
      <c r="R271" s="489" t="s">
        <v>788</v>
      </c>
      <c r="U271" s="490" t="s">
        <v>309</v>
      </c>
      <c r="V271" s="491">
        <v>20.75</v>
      </c>
      <c r="W271" s="492">
        <v>4922338.05</v>
      </c>
      <c r="X271" s="493">
        <f t="shared" si="47"/>
        <v>23722111.08433735</v>
      </c>
      <c r="Y271" s="492">
        <v>222521.46680183354</v>
      </c>
      <c r="Z271" s="492">
        <v>0</v>
      </c>
      <c r="AC271">
        <v>833</v>
      </c>
      <c r="AD271">
        <f t="shared" si="39"/>
        <v>0</v>
      </c>
      <c r="AF271" s="494"/>
    </row>
    <row r="272" spans="1:32" ht="12">
      <c r="A272" s="468" t="s">
        <v>1114</v>
      </c>
      <c r="B272" s="483">
        <v>6241</v>
      </c>
      <c r="C272" s="484">
        <f t="shared" si="40"/>
        <v>18090533.291358024</v>
      </c>
      <c r="D272" s="484">
        <f t="shared" si="36"/>
        <v>1191940.7271328464</v>
      </c>
      <c r="E272" s="484">
        <f t="shared" si="41"/>
        <v>0</v>
      </c>
      <c r="F272" s="484">
        <f t="shared" si="42"/>
        <v>19282474.01849087</v>
      </c>
      <c r="G272" s="485">
        <f t="shared" si="43"/>
        <v>3089.6449316601297</v>
      </c>
      <c r="H272" s="475">
        <f t="shared" si="44"/>
        <v>592.6550683398705</v>
      </c>
      <c r="I272" s="380">
        <f t="shared" si="45"/>
        <v>0</v>
      </c>
      <c r="J272" s="380">
        <f t="shared" si="46"/>
        <v>0</v>
      </c>
      <c r="K272" s="476">
        <f t="shared" si="37"/>
        <v>474.1240546718964</v>
      </c>
      <c r="L272" s="500">
        <f t="shared" si="38"/>
        <v>2959008.225207305</v>
      </c>
      <c r="M272" s="486">
        <v>2852944.5499364096</v>
      </c>
      <c r="N272" s="486"/>
      <c r="O272" s="495">
        <v>834</v>
      </c>
      <c r="P272" s="391" t="s">
        <v>1114</v>
      </c>
      <c r="Q272" s="488">
        <v>0</v>
      </c>
      <c r="R272" s="489" t="s">
        <v>803</v>
      </c>
      <c r="U272" s="490" t="s">
        <v>310</v>
      </c>
      <c r="V272" s="491">
        <v>20.25</v>
      </c>
      <c r="W272" s="492">
        <v>18408708.5</v>
      </c>
      <c r="X272" s="493">
        <f t="shared" si="47"/>
        <v>90907202.4691358</v>
      </c>
      <c r="Y272" s="492">
        <v>1191940.7271328464</v>
      </c>
      <c r="Z272" s="492">
        <v>0</v>
      </c>
      <c r="AC272">
        <v>834</v>
      </c>
      <c r="AD272">
        <f t="shared" si="39"/>
        <v>0</v>
      </c>
      <c r="AF272" s="494"/>
    </row>
    <row r="273" spans="1:32" ht="12">
      <c r="A273" s="468" t="s">
        <v>1115</v>
      </c>
      <c r="B273" s="483">
        <v>228274</v>
      </c>
      <c r="C273" s="484">
        <f t="shared" si="40"/>
        <v>761419941.3717468</v>
      </c>
      <c r="D273" s="484">
        <f t="shared" si="36"/>
        <v>61575125.38403094</v>
      </c>
      <c r="E273" s="484">
        <f t="shared" si="41"/>
        <v>0</v>
      </c>
      <c r="F273" s="484">
        <f t="shared" si="42"/>
        <v>822995066.7557777</v>
      </c>
      <c r="G273" s="485">
        <f t="shared" si="43"/>
        <v>3605.2948069240374</v>
      </c>
      <c r="H273" s="475">
        <f t="shared" si="44"/>
        <v>77.00519307596278</v>
      </c>
      <c r="I273" s="380">
        <f t="shared" si="45"/>
        <v>0</v>
      </c>
      <c r="J273" s="380">
        <f t="shared" si="46"/>
        <v>0</v>
      </c>
      <c r="K273" s="476">
        <f t="shared" si="37"/>
        <v>61.604154460770225</v>
      </c>
      <c r="L273" s="500">
        <f t="shared" si="38"/>
        <v>14062626.755377863</v>
      </c>
      <c r="M273" s="486">
        <v>7073312.696157957</v>
      </c>
      <c r="N273" s="486"/>
      <c r="O273" s="495">
        <v>837</v>
      </c>
      <c r="P273" s="496" t="s">
        <v>1116</v>
      </c>
      <c r="Q273" s="488">
        <v>0</v>
      </c>
      <c r="R273" s="489" t="s">
        <v>789</v>
      </c>
      <c r="U273" s="490" t="s">
        <v>311</v>
      </c>
      <c r="V273" s="491">
        <v>19.75</v>
      </c>
      <c r="W273" s="492">
        <v>755680595.08</v>
      </c>
      <c r="X273" s="493">
        <f t="shared" si="47"/>
        <v>3826230861.164557</v>
      </c>
      <c r="Y273" s="492">
        <v>61575125.38403094</v>
      </c>
      <c r="Z273" s="492">
        <v>0</v>
      </c>
      <c r="AC273">
        <v>837</v>
      </c>
      <c r="AD273">
        <f t="shared" si="39"/>
        <v>0</v>
      </c>
      <c r="AF273" s="494"/>
    </row>
    <row r="274" spans="1:32" ht="12">
      <c r="A274" s="468" t="s">
        <v>1117</v>
      </c>
      <c r="B274" s="483">
        <v>1611</v>
      </c>
      <c r="C274" s="484">
        <f t="shared" si="40"/>
        <v>3378266.7538313246</v>
      </c>
      <c r="D274" s="484">
        <f t="shared" si="36"/>
        <v>388845.5317156057</v>
      </c>
      <c r="E274" s="484">
        <f t="shared" si="41"/>
        <v>0</v>
      </c>
      <c r="F274" s="484">
        <f t="shared" si="42"/>
        <v>3767112.2855469305</v>
      </c>
      <c r="G274" s="485">
        <f t="shared" si="43"/>
        <v>2338.3688923320487</v>
      </c>
      <c r="H274" s="475">
        <f t="shared" si="44"/>
        <v>1343.9311076679514</v>
      </c>
      <c r="I274" s="380">
        <f t="shared" si="45"/>
        <v>0</v>
      </c>
      <c r="J274" s="380">
        <f t="shared" si="46"/>
        <v>0</v>
      </c>
      <c r="K274" s="476">
        <f t="shared" si="37"/>
        <v>1075.1448861343613</v>
      </c>
      <c r="L274" s="500">
        <f t="shared" si="38"/>
        <v>1732058.411562456</v>
      </c>
      <c r="M274" s="486">
        <v>1674938.2325320481</v>
      </c>
      <c r="N274" s="486"/>
      <c r="O274" s="495">
        <v>844</v>
      </c>
      <c r="P274" s="391" t="s">
        <v>1117</v>
      </c>
      <c r="Q274" s="488">
        <v>0</v>
      </c>
      <c r="R274" s="489" t="s">
        <v>843</v>
      </c>
      <c r="U274" s="490" t="s">
        <v>312</v>
      </c>
      <c r="V274" s="491">
        <v>20.75</v>
      </c>
      <c r="W274" s="492">
        <v>3522564.58</v>
      </c>
      <c r="X274" s="493">
        <f t="shared" si="47"/>
        <v>16976214.843373492</v>
      </c>
      <c r="Y274" s="492">
        <v>388845.5317156057</v>
      </c>
      <c r="Z274" s="492">
        <v>0</v>
      </c>
      <c r="AC274">
        <v>844</v>
      </c>
      <c r="AD274">
        <f t="shared" si="39"/>
        <v>0</v>
      </c>
      <c r="AF274" s="494"/>
    </row>
    <row r="275" spans="1:32" ht="12">
      <c r="A275" s="468" t="s">
        <v>1118</v>
      </c>
      <c r="B275" s="483">
        <v>3099</v>
      </c>
      <c r="C275" s="484">
        <f t="shared" si="40"/>
        <v>8088520.557794872</v>
      </c>
      <c r="D275" s="484">
        <f aca="true" t="shared" si="48" ref="D275:D313">Y275</f>
        <v>535726.074374964</v>
      </c>
      <c r="E275" s="484">
        <f t="shared" si="41"/>
        <v>0</v>
      </c>
      <c r="F275" s="484">
        <f t="shared" si="42"/>
        <v>8624246.632169835</v>
      </c>
      <c r="G275" s="485">
        <f t="shared" si="43"/>
        <v>2782.912756427827</v>
      </c>
      <c r="H275" s="475">
        <f t="shared" si="44"/>
        <v>899.3872435721732</v>
      </c>
      <c r="I275" s="380">
        <f t="shared" si="45"/>
        <v>0</v>
      </c>
      <c r="J275" s="380">
        <f t="shared" si="46"/>
        <v>0</v>
      </c>
      <c r="K275" s="476">
        <f aca="true" t="shared" si="49" ref="K275:K313">IF(H275&gt;0,H275*0.8,J275*H275/100)</f>
        <v>719.5097948577386</v>
      </c>
      <c r="L275" s="500">
        <f aca="true" t="shared" si="50" ref="L275:L313">K275*B275</f>
        <v>2229760.8542641317</v>
      </c>
      <c r="M275" s="486">
        <v>2328215.3990687174</v>
      </c>
      <c r="N275" s="486"/>
      <c r="O275" s="495">
        <v>845</v>
      </c>
      <c r="P275" s="391" t="s">
        <v>1118</v>
      </c>
      <c r="Q275" s="488">
        <v>0</v>
      </c>
      <c r="R275" s="489" t="s">
        <v>794</v>
      </c>
      <c r="U275" s="490" t="s">
        <v>313</v>
      </c>
      <c r="V275" s="491">
        <v>19.5</v>
      </c>
      <c r="W275" s="492">
        <v>7925937.23</v>
      </c>
      <c r="X275" s="493">
        <f t="shared" si="47"/>
        <v>40645831.94871795</v>
      </c>
      <c r="Y275" s="492">
        <v>535726.074374964</v>
      </c>
      <c r="Z275" s="492">
        <v>0</v>
      </c>
      <c r="AC275">
        <v>845</v>
      </c>
      <c r="AD275">
        <f aca="true" t="shared" si="51" ref="AD275:AD338">O275-AC275</f>
        <v>0</v>
      </c>
      <c r="AF275" s="494"/>
    </row>
    <row r="276" spans="1:32" s="1" customFormat="1" ht="12.75">
      <c r="A276" s="468" t="s">
        <v>1119</v>
      </c>
      <c r="B276" s="483">
        <v>5363</v>
      </c>
      <c r="C276" s="484">
        <f aca="true" t="shared" si="52" ref="C276:C313">$V$15*X276/100</f>
        <v>12639233.436863637</v>
      </c>
      <c r="D276" s="484">
        <f t="shared" si="48"/>
        <v>770241.2824440404</v>
      </c>
      <c r="E276" s="484">
        <f aca="true" t="shared" si="53" ref="E276:E313">IF(Z276=0,0,3.1*Z276/100/2)</f>
        <v>0</v>
      </c>
      <c r="F276" s="484">
        <f aca="true" t="shared" si="54" ref="F276:F313">C276+D276+E276</f>
        <v>13409474.719307678</v>
      </c>
      <c r="G276" s="485">
        <f aca="true" t="shared" si="55" ref="G276:G313">F276/B276</f>
        <v>2500.3682116926493</v>
      </c>
      <c r="H276" s="475">
        <f aca="true" t="shared" si="56" ref="H276:H313">$G$15-G276</f>
        <v>1181.9317883073509</v>
      </c>
      <c r="I276" s="380">
        <f aca="true" t="shared" si="57" ref="I276:I313">IF(H276&lt;0,LN(-H276),0)</f>
        <v>0</v>
      </c>
      <c r="J276" s="380">
        <f aca="true" t="shared" si="58" ref="J276:J313">IF(H276&lt;0,30+I276,0)</f>
        <v>0</v>
      </c>
      <c r="K276" s="476">
        <f t="shared" si="49"/>
        <v>945.5454306458807</v>
      </c>
      <c r="L276" s="500">
        <f t="shared" si="50"/>
        <v>5070960.144553859</v>
      </c>
      <c r="M276" s="486">
        <v>4950775.711345456</v>
      </c>
      <c r="N276" s="486"/>
      <c r="O276" s="495">
        <v>846</v>
      </c>
      <c r="P276" s="496" t="s">
        <v>1120</v>
      </c>
      <c r="Q276" s="488">
        <v>0</v>
      </c>
      <c r="R276" s="489" t="s">
        <v>779</v>
      </c>
      <c r="S276"/>
      <c r="T276"/>
      <c r="U276" s="490" t="s">
        <v>314</v>
      </c>
      <c r="V276" s="491">
        <v>22</v>
      </c>
      <c r="W276" s="492">
        <v>13973021.89</v>
      </c>
      <c r="X276" s="493">
        <f aca="true" t="shared" si="59" ref="X276:X313">100*W276/V276</f>
        <v>63513735.86363637</v>
      </c>
      <c r="Y276" s="492">
        <v>770241.2824440404</v>
      </c>
      <c r="Z276" s="492">
        <v>0</v>
      </c>
      <c r="AA276"/>
      <c r="AC276" s="1">
        <v>846</v>
      </c>
      <c r="AD276">
        <f t="shared" si="51"/>
        <v>0</v>
      </c>
      <c r="AF276" s="494"/>
    </row>
    <row r="277" spans="1:32" ht="12.75">
      <c r="A277" s="468" t="s">
        <v>1121</v>
      </c>
      <c r="B277" s="483">
        <v>4653</v>
      </c>
      <c r="C277" s="484">
        <f t="shared" si="52"/>
        <v>10463599.987494253</v>
      </c>
      <c r="D277" s="484">
        <f t="shared" si="48"/>
        <v>931030.4832756311</v>
      </c>
      <c r="E277" s="484">
        <f t="shared" si="53"/>
        <v>0</v>
      </c>
      <c r="F277" s="484">
        <f t="shared" si="54"/>
        <v>11394630.470769884</v>
      </c>
      <c r="G277" s="485">
        <f t="shared" si="55"/>
        <v>2448.878244309023</v>
      </c>
      <c r="H277" s="475">
        <f t="shared" si="56"/>
        <v>1233.421755690977</v>
      </c>
      <c r="I277" s="380">
        <f t="shared" si="57"/>
        <v>0</v>
      </c>
      <c r="J277" s="380">
        <f t="shared" si="58"/>
        <v>0</v>
      </c>
      <c r="K277" s="476">
        <f t="shared" si="49"/>
        <v>986.7374045527818</v>
      </c>
      <c r="L277" s="500">
        <f t="shared" si="50"/>
        <v>4591289.143384093</v>
      </c>
      <c r="M277" s="486">
        <v>4545906.068049656</v>
      </c>
      <c r="N277" s="486"/>
      <c r="O277" s="495">
        <v>848</v>
      </c>
      <c r="P277" s="391" t="s">
        <v>1121</v>
      </c>
      <c r="Q277" s="488">
        <v>0</v>
      </c>
      <c r="R277" s="489" t="s">
        <v>850</v>
      </c>
      <c r="U277" s="490" t="s">
        <v>315</v>
      </c>
      <c r="V277" s="491">
        <v>21.75</v>
      </c>
      <c r="W277" s="492">
        <v>11436346.72</v>
      </c>
      <c r="X277" s="493">
        <f t="shared" si="59"/>
        <v>52580904.45977011</v>
      </c>
      <c r="Y277" s="492">
        <v>931030.4832756311</v>
      </c>
      <c r="Z277" s="492">
        <v>0</v>
      </c>
      <c r="AA277" s="1"/>
      <c r="AC277">
        <v>848</v>
      </c>
      <c r="AD277">
        <f t="shared" si="51"/>
        <v>0</v>
      </c>
      <c r="AF277" s="494"/>
    </row>
    <row r="278" spans="1:32" ht="12">
      <c r="A278" s="468" t="s">
        <v>1122</v>
      </c>
      <c r="B278" s="483">
        <v>3232</v>
      </c>
      <c r="C278" s="484">
        <f t="shared" si="52"/>
        <v>7261514.3317209305</v>
      </c>
      <c r="D278" s="484">
        <f t="shared" si="48"/>
        <v>619432.276321247</v>
      </c>
      <c r="E278" s="484">
        <f t="shared" si="53"/>
        <v>0</v>
      </c>
      <c r="F278" s="484">
        <f t="shared" si="54"/>
        <v>7880946.608042178</v>
      </c>
      <c r="G278" s="485">
        <f t="shared" si="55"/>
        <v>2438.411698032852</v>
      </c>
      <c r="H278" s="475">
        <f t="shared" si="56"/>
        <v>1243.888301967148</v>
      </c>
      <c r="I278" s="380">
        <f t="shared" si="57"/>
        <v>0</v>
      </c>
      <c r="J278" s="380">
        <f t="shared" si="58"/>
        <v>0</v>
      </c>
      <c r="K278" s="476">
        <f t="shared" si="49"/>
        <v>995.1106415737185</v>
      </c>
      <c r="L278" s="500">
        <f t="shared" si="50"/>
        <v>3216197.593566258</v>
      </c>
      <c r="M278" s="486">
        <v>3224221.0022623264</v>
      </c>
      <c r="N278" s="486"/>
      <c r="O278" s="495">
        <v>849</v>
      </c>
      <c r="P278" s="391" t="s">
        <v>1122</v>
      </c>
      <c r="Q278" s="488">
        <v>0</v>
      </c>
      <c r="R278" s="489" t="s">
        <v>809</v>
      </c>
      <c r="U278" s="490" t="s">
        <v>316</v>
      </c>
      <c r="V278" s="491">
        <v>21.5</v>
      </c>
      <c r="W278" s="492">
        <v>7845354.68</v>
      </c>
      <c r="X278" s="493">
        <f t="shared" si="59"/>
        <v>36490021.76744186</v>
      </c>
      <c r="Y278" s="492">
        <v>619432.276321247</v>
      </c>
      <c r="Z278" s="492">
        <v>0</v>
      </c>
      <c r="AC278">
        <v>849</v>
      </c>
      <c r="AD278">
        <f t="shared" si="51"/>
        <v>0</v>
      </c>
      <c r="AF278" s="494"/>
    </row>
    <row r="279" spans="1:32" ht="12">
      <c r="A279" s="468" t="s">
        <v>1123</v>
      </c>
      <c r="B279" s="483">
        <v>2432</v>
      </c>
      <c r="C279" s="484">
        <f t="shared" si="52"/>
        <v>6352110.65547619</v>
      </c>
      <c r="D279" s="484">
        <f t="shared" si="48"/>
        <v>503391.92943710467</v>
      </c>
      <c r="E279" s="484">
        <f t="shared" si="53"/>
        <v>0</v>
      </c>
      <c r="F279" s="484">
        <f t="shared" si="54"/>
        <v>6855502.584913295</v>
      </c>
      <c r="G279" s="485">
        <f t="shared" si="55"/>
        <v>2818.87441813869</v>
      </c>
      <c r="H279" s="475">
        <f t="shared" si="56"/>
        <v>863.4255818613101</v>
      </c>
      <c r="I279" s="380">
        <f t="shared" si="57"/>
        <v>0</v>
      </c>
      <c r="J279" s="380">
        <f t="shared" si="58"/>
        <v>0</v>
      </c>
      <c r="K279" s="476">
        <f t="shared" si="49"/>
        <v>690.7404654890481</v>
      </c>
      <c r="L279" s="500">
        <f t="shared" si="50"/>
        <v>1679880.812069365</v>
      </c>
      <c r="M279" s="486">
        <v>1746967.278442926</v>
      </c>
      <c r="N279" s="486"/>
      <c r="O279" s="495">
        <v>850</v>
      </c>
      <c r="P279" s="391" t="s">
        <v>1123</v>
      </c>
      <c r="Q279" s="488">
        <v>0</v>
      </c>
      <c r="R279" s="489" t="s">
        <v>814</v>
      </c>
      <c r="U279" s="490" t="s">
        <v>317</v>
      </c>
      <c r="V279" s="491">
        <v>21</v>
      </c>
      <c r="W279" s="492">
        <v>6703232.35</v>
      </c>
      <c r="X279" s="493">
        <f t="shared" si="59"/>
        <v>31920154.04761905</v>
      </c>
      <c r="Y279" s="492">
        <v>503391.92943710467</v>
      </c>
      <c r="Z279" s="492">
        <v>0</v>
      </c>
      <c r="AC279">
        <v>850</v>
      </c>
      <c r="AD279">
        <f t="shared" si="51"/>
        <v>0</v>
      </c>
      <c r="AF279" s="494"/>
    </row>
    <row r="280" spans="1:32" ht="12">
      <c r="A280" s="468" t="s">
        <v>1124</v>
      </c>
      <c r="B280" s="483">
        <v>22117</v>
      </c>
      <c r="C280" s="484">
        <f t="shared" si="52"/>
        <v>68790671.65195237</v>
      </c>
      <c r="D280" s="484">
        <f t="shared" si="48"/>
        <v>2959067.9220000254</v>
      </c>
      <c r="E280" s="484">
        <f t="shared" si="53"/>
        <v>0</v>
      </c>
      <c r="F280" s="484">
        <f t="shared" si="54"/>
        <v>71749739.57395239</v>
      </c>
      <c r="G280" s="485">
        <f t="shared" si="55"/>
        <v>3244.099090019098</v>
      </c>
      <c r="H280" s="475">
        <f t="shared" si="56"/>
        <v>438.200909980902</v>
      </c>
      <c r="I280" s="380">
        <f t="shared" si="57"/>
        <v>0</v>
      </c>
      <c r="J280" s="380">
        <f t="shared" si="58"/>
        <v>0</v>
      </c>
      <c r="K280" s="476">
        <f t="shared" si="49"/>
        <v>350.5607279847216</v>
      </c>
      <c r="L280" s="500">
        <f t="shared" si="50"/>
        <v>7753351.620838088</v>
      </c>
      <c r="M280" s="486">
        <v>8420200.911313172</v>
      </c>
      <c r="N280" s="486"/>
      <c r="O280" s="495">
        <v>851</v>
      </c>
      <c r="P280" s="496" t="s">
        <v>1125</v>
      </c>
      <c r="Q280" s="488">
        <v>0</v>
      </c>
      <c r="R280" s="489" t="s">
        <v>794</v>
      </c>
      <c r="U280" s="490" t="s">
        <v>318</v>
      </c>
      <c r="V280" s="491">
        <v>21</v>
      </c>
      <c r="W280" s="492">
        <v>72593171.09</v>
      </c>
      <c r="X280" s="493">
        <f t="shared" si="59"/>
        <v>345681767.0952381</v>
      </c>
      <c r="Y280" s="492">
        <v>2959067.9220000254</v>
      </c>
      <c r="Z280" s="492">
        <v>0</v>
      </c>
      <c r="AC280">
        <v>851</v>
      </c>
      <c r="AD280">
        <f t="shared" si="51"/>
        <v>0</v>
      </c>
      <c r="AF280" s="494"/>
    </row>
    <row r="281" spans="1:32" ht="12">
      <c r="A281" s="468" t="s">
        <v>1126</v>
      </c>
      <c r="B281" s="483">
        <v>187604</v>
      </c>
      <c r="C281" s="484">
        <f t="shared" si="52"/>
        <v>603362115.9884102</v>
      </c>
      <c r="D281" s="484">
        <f t="shared" si="48"/>
        <v>86775602.66387163</v>
      </c>
      <c r="E281" s="484">
        <f t="shared" si="53"/>
        <v>0</v>
      </c>
      <c r="F281" s="484">
        <f t="shared" si="54"/>
        <v>690137718.6522819</v>
      </c>
      <c r="G281" s="485">
        <f t="shared" si="55"/>
        <v>3678.6940505121524</v>
      </c>
      <c r="H281" s="475">
        <f t="shared" si="56"/>
        <v>3.605949487847738</v>
      </c>
      <c r="I281" s="380">
        <f t="shared" si="57"/>
        <v>0</v>
      </c>
      <c r="J281" s="380">
        <f t="shared" si="58"/>
        <v>0</v>
      </c>
      <c r="K281" s="476">
        <f t="shared" si="49"/>
        <v>2.8847595902781906</v>
      </c>
      <c r="L281" s="500">
        <f t="shared" si="50"/>
        <v>541192.4381745497</v>
      </c>
      <c r="M281" s="486">
        <v>-1027344.6763409525</v>
      </c>
      <c r="N281" s="486"/>
      <c r="O281" s="495">
        <v>853</v>
      </c>
      <c r="P281" s="496" t="s">
        <v>1127</v>
      </c>
      <c r="Q281" s="488">
        <v>1</v>
      </c>
      <c r="R281" s="489" t="s">
        <v>788</v>
      </c>
      <c r="U281" s="490" t="s">
        <v>319</v>
      </c>
      <c r="V281" s="491">
        <v>19.5</v>
      </c>
      <c r="W281" s="492">
        <v>591234234.26</v>
      </c>
      <c r="X281" s="493">
        <f t="shared" si="59"/>
        <v>3031970432.1025643</v>
      </c>
      <c r="Y281" s="492">
        <v>86775602.66387163</v>
      </c>
      <c r="Z281" s="492">
        <v>0</v>
      </c>
      <c r="AC281">
        <v>853</v>
      </c>
      <c r="AD281">
        <f t="shared" si="51"/>
        <v>0</v>
      </c>
      <c r="AF281" s="494"/>
    </row>
    <row r="282" spans="1:32" ht="12">
      <c r="A282" s="468" t="s">
        <v>1128</v>
      </c>
      <c r="B282" s="483">
        <v>3565</v>
      </c>
      <c r="C282" s="484">
        <f t="shared" si="52"/>
        <v>9181803.67071605</v>
      </c>
      <c r="D282" s="484">
        <f t="shared" si="48"/>
        <v>721001.8783921805</v>
      </c>
      <c r="E282" s="484">
        <f t="shared" si="53"/>
        <v>0</v>
      </c>
      <c r="F282" s="484">
        <f t="shared" si="54"/>
        <v>9902805.54910823</v>
      </c>
      <c r="G282" s="485">
        <f t="shared" si="55"/>
        <v>2777.7855677722946</v>
      </c>
      <c r="H282" s="475">
        <f t="shared" si="56"/>
        <v>904.5144322277056</v>
      </c>
      <c r="I282" s="380">
        <f t="shared" si="57"/>
        <v>0</v>
      </c>
      <c r="J282" s="380">
        <f t="shared" si="58"/>
        <v>0</v>
      </c>
      <c r="K282" s="476">
        <f t="shared" si="49"/>
        <v>723.6115457821645</v>
      </c>
      <c r="L282" s="500">
        <f t="shared" si="50"/>
        <v>2579675.1607134165</v>
      </c>
      <c r="M282" s="486">
        <v>2567089.9503091346</v>
      </c>
      <c r="N282" s="486"/>
      <c r="O282" s="495">
        <v>854</v>
      </c>
      <c r="P282" s="391" t="s">
        <v>1128</v>
      </c>
      <c r="Q282" s="488">
        <v>0</v>
      </c>
      <c r="R282" s="489" t="s">
        <v>794</v>
      </c>
      <c r="U282" s="490" t="s">
        <v>236</v>
      </c>
      <c r="V282" s="491">
        <v>20.25</v>
      </c>
      <c r="W282" s="492">
        <v>9343292.68</v>
      </c>
      <c r="X282" s="493">
        <f t="shared" si="59"/>
        <v>46139716.938271604</v>
      </c>
      <c r="Y282" s="492">
        <v>721001.8783921805</v>
      </c>
      <c r="Z282" s="492">
        <v>0</v>
      </c>
      <c r="AC282">
        <v>854</v>
      </c>
      <c r="AD282">
        <f t="shared" si="51"/>
        <v>0</v>
      </c>
      <c r="AF282" s="494"/>
    </row>
    <row r="283" spans="1:32" ht="12">
      <c r="A283" s="468" t="s">
        <v>1129</v>
      </c>
      <c r="B283" s="483">
        <v>2643</v>
      </c>
      <c r="C283" s="484">
        <f t="shared" si="52"/>
        <v>5755297.543181818</v>
      </c>
      <c r="D283" s="484">
        <f t="shared" si="48"/>
        <v>699321.2717834258</v>
      </c>
      <c r="E283" s="484">
        <f t="shared" si="53"/>
        <v>0</v>
      </c>
      <c r="F283" s="484">
        <f t="shared" si="54"/>
        <v>6454618.814965243</v>
      </c>
      <c r="G283" s="485">
        <f t="shared" si="55"/>
        <v>2442.1561918143184</v>
      </c>
      <c r="H283" s="475">
        <f t="shared" si="56"/>
        <v>1240.1438081856818</v>
      </c>
      <c r="I283" s="380">
        <f t="shared" si="57"/>
        <v>0</v>
      </c>
      <c r="J283" s="380">
        <f t="shared" si="58"/>
        <v>0</v>
      </c>
      <c r="K283" s="476">
        <f t="shared" si="49"/>
        <v>992.1150465485455</v>
      </c>
      <c r="L283" s="500">
        <f t="shared" si="50"/>
        <v>2622160.0680278055</v>
      </c>
      <c r="M283" s="486">
        <v>2564361.26570909</v>
      </c>
      <c r="N283" s="486"/>
      <c r="O283" s="495">
        <v>857</v>
      </c>
      <c r="P283" s="391" t="s">
        <v>1129</v>
      </c>
      <c r="Q283" s="488">
        <v>0</v>
      </c>
      <c r="R283" s="489" t="s">
        <v>843</v>
      </c>
      <c r="U283" s="490" t="s">
        <v>320</v>
      </c>
      <c r="V283" s="491">
        <v>22</v>
      </c>
      <c r="W283" s="492">
        <v>6362640.5</v>
      </c>
      <c r="X283" s="493">
        <f t="shared" si="59"/>
        <v>28921093.181818184</v>
      </c>
      <c r="Y283" s="492">
        <v>699321.2717834258</v>
      </c>
      <c r="Z283" s="492">
        <v>0</v>
      </c>
      <c r="AC283">
        <v>857</v>
      </c>
      <c r="AD283">
        <f t="shared" si="51"/>
        <v>0</v>
      </c>
      <c r="AF283" s="494"/>
    </row>
    <row r="284" spans="1:32" ht="12">
      <c r="A284" s="468" t="s">
        <v>1130</v>
      </c>
      <c r="B284" s="483">
        <v>38588</v>
      </c>
      <c r="C284" s="484">
        <f t="shared" si="52"/>
        <v>161237532.83384612</v>
      </c>
      <c r="D284" s="484">
        <f t="shared" si="48"/>
        <v>6987665.738344818</v>
      </c>
      <c r="E284" s="484">
        <f t="shared" si="53"/>
        <v>0</v>
      </c>
      <c r="F284" s="484">
        <f t="shared" si="54"/>
        <v>168225198.57219094</v>
      </c>
      <c r="G284" s="485">
        <f t="shared" si="55"/>
        <v>4359.521057639446</v>
      </c>
      <c r="H284" s="475">
        <f t="shared" si="56"/>
        <v>-677.2210576394455</v>
      </c>
      <c r="I284" s="380">
        <f t="shared" si="57"/>
        <v>6.517997744931244</v>
      </c>
      <c r="J284" s="380">
        <f t="shared" si="58"/>
        <v>36.51799774493124</v>
      </c>
      <c r="K284" s="476">
        <f t="shared" si="49"/>
        <v>-247.3075705569722</v>
      </c>
      <c r="L284" s="500">
        <f t="shared" si="50"/>
        <v>-9543104.532652443</v>
      </c>
      <c r="M284" s="486">
        <v>-9419739.401096394</v>
      </c>
      <c r="N284" s="486"/>
      <c r="O284" s="495">
        <v>858</v>
      </c>
      <c r="P284" s="496" t="s">
        <v>1131</v>
      </c>
      <c r="Q284" s="488">
        <v>0</v>
      </c>
      <c r="R284" s="489" t="s">
        <v>786</v>
      </c>
      <c r="U284" s="490" t="s">
        <v>321</v>
      </c>
      <c r="V284" s="491">
        <v>19.5</v>
      </c>
      <c r="W284" s="492">
        <v>157996577.4</v>
      </c>
      <c r="X284" s="493">
        <f t="shared" si="59"/>
        <v>810238858.4615384</v>
      </c>
      <c r="Y284" s="492">
        <v>6987665.738344818</v>
      </c>
      <c r="Z284" s="492">
        <v>0</v>
      </c>
      <c r="AC284">
        <v>858</v>
      </c>
      <c r="AD284">
        <f t="shared" si="51"/>
        <v>0</v>
      </c>
      <c r="AF284" s="494"/>
    </row>
    <row r="285" spans="1:32" ht="12">
      <c r="A285" s="468" t="s">
        <v>1132</v>
      </c>
      <c r="B285" s="483">
        <v>6750</v>
      </c>
      <c r="C285" s="484">
        <f t="shared" si="52"/>
        <v>15955617.78687805</v>
      </c>
      <c r="D285" s="484">
        <f t="shared" si="48"/>
        <v>453548.8026967889</v>
      </c>
      <c r="E285" s="484">
        <f t="shared" si="53"/>
        <v>0</v>
      </c>
      <c r="F285" s="484">
        <f t="shared" si="54"/>
        <v>16409166.589574838</v>
      </c>
      <c r="G285" s="485">
        <f t="shared" si="55"/>
        <v>2430.987642899976</v>
      </c>
      <c r="H285" s="475">
        <f t="shared" si="56"/>
        <v>1251.3123571000242</v>
      </c>
      <c r="I285" s="380">
        <f t="shared" si="57"/>
        <v>0</v>
      </c>
      <c r="J285" s="380">
        <f t="shared" si="58"/>
        <v>0</v>
      </c>
      <c r="K285" s="476">
        <f t="shared" si="49"/>
        <v>1001.0498856800194</v>
      </c>
      <c r="L285" s="500">
        <f t="shared" si="50"/>
        <v>6757086.728340131</v>
      </c>
      <c r="M285" s="486">
        <v>6879363.338657562</v>
      </c>
      <c r="N285" s="486"/>
      <c r="O285" s="495">
        <v>859</v>
      </c>
      <c r="P285" s="391" t="s">
        <v>1132</v>
      </c>
      <c r="Q285" s="488">
        <v>0</v>
      </c>
      <c r="R285" s="489" t="s">
        <v>781</v>
      </c>
      <c r="U285" s="490" t="s">
        <v>322</v>
      </c>
      <c r="V285" s="491">
        <v>20.5</v>
      </c>
      <c r="W285" s="492">
        <v>16436691.69</v>
      </c>
      <c r="X285" s="493">
        <f t="shared" si="59"/>
        <v>80178983.85365854</v>
      </c>
      <c r="Y285" s="492">
        <v>453548.8026967889</v>
      </c>
      <c r="Z285" s="492">
        <v>0</v>
      </c>
      <c r="AC285">
        <v>859</v>
      </c>
      <c r="AD285">
        <f t="shared" si="51"/>
        <v>0</v>
      </c>
      <c r="AF285" s="494"/>
    </row>
    <row r="286" spans="1:32" ht="12">
      <c r="A286" s="468" t="s">
        <v>1133</v>
      </c>
      <c r="B286" s="483">
        <v>13312</v>
      </c>
      <c r="C286" s="484">
        <f t="shared" si="52"/>
        <v>41716612.76104762</v>
      </c>
      <c r="D286" s="484">
        <f t="shared" si="48"/>
        <v>1690760.199486891</v>
      </c>
      <c r="E286" s="484">
        <f t="shared" si="53"/>
        <v>0</v>
      </c>
      <c r="F286" s="484">
        <f t="shared" si="54"/>
        <v>43407372.960534506</v>
      </c>
      <c r="G286" s="485">
        <f t="shared" si="55"/>
        <v>3260.770204367075</v>
      </c>
      <c r="H286" s="475">
        <f t="shared" si="56"/>
        <v>421.529795632925</v>
      </c>
      <c r="I286" s="380">
        <f t="shared" si="57"/>
        <v>0</v>
      </c>
      <c r="J286" s="380">
        <f t="shared" si="58"/>
        <v>0</v>
      </c>
      <c r="K286" s="476">
        <f t="shared" si="49"/>
        <v>337.22383650634004</v>
      </c>
      <c r="L286" s="500">
        <f t="shared" si="50"/>
        <v>4489123.711572398</v>
      </c>
      <c r="M286" s="486">
        <v>4674317.897955126</v>
      </c>
      <c r="N286" s="486"/>
      <c r="O286" s="495">
        <v>886</v>
      </c>
      <c r="P286" s="496" t="s">
        <v>1134</v>
      </c>
      <c r="Q286" s="488">
        <v>0</v>
      </c>
      <c r="R286" s="489" t="s">
        <v>798</v>
      </c>
      <c r="U286" s="490" t="s">
        <v>323</v>
      </c>
      <c r="V286" s="491">
        <v>21</v>
      </c>
      <c r="W286" s="492">
        <v>44022556.18</v>
      </c>
      <c r="X286" s="493">
        <f t="shared" si="59"/>
        <v>209631219.9047619</v>
      </c>
      <c r="Y286" s="492">
        <v>1690760.199486891</v>
      </c>
      <c r="Z286" s="492">
        <v>0</v>
      </c>
      <c r="AC286">
        <v>886</v>
      </c>
      <c r="AD286">
        <f t="shared" si="51"/>
        <v>0</v>
      </c>
      <c r="AF286" s="494"/>
    </row>
    <row r="287" spans="1:32" ht="12">
      <c r="A287" s="468" t="s">
        <v>1135</v>
      </c>
      <c r="B287" s="483">
        <v>4858</v>
      </c>
      <c r="C287" s="484">
        <f t="shared" si="52"/>
        <v>12071276.171906976</v>
      </c>
      <c r="D287" s="484">
        <f t="shared" si="48"/>
        <v>811178.9022912446</v>
      </c>
      <c r="E287" s="484">
        <f t="shared" si="53"/>
        <v>0</v>
      </c>
      <c r="F287" s="484">
        <f t="shared" si="54"/>
        <v>12882455.07419822</v>
      </c>
      <c r="G287" s="485">
        <f t="shared" si="55"/>
        <v>2651.8021972412967</v>
      </c>
      <c r="H287" s="475">
        <f t="shared" si="56"/>
        <v>1030.4978027587035</v>
      </c>
      <c r="I287" s="380">
        <f t="shared" si="57"/>
        <v>0</v>
      </c>
      <c r="J287" s="380">
        <f t="shared" si="58"/>
        <v>0</v>
      </c>
      <c r="K287" s="476">
        <f t="shared" si="49"/>
        <v>824.3982422069629</v>
      </c>
      <c r="L287" s="500">
        <f t="shared" si="50"/>
        <v>4004926.6606414258</v>
      </c>
      <c r="M287" s="486">
        <v>4068737.9462799984</v>
      </c>
      <c r="N287" s="486"/>
      <c r="O287" s="495">
        <v>887</v>
      </c>
      <c r="P287" s="391" t="s">
        <v>1135</v>
      </c>
      <c r="Q287" s="488">
        <v>0</v>
      </c>
      <c r="R287" s="489" t="s">
        <v>789</v>
      </c>
      <c r="U287" s="490" t="s">
        <v>324</v>
      </c>
      <c r="V287" s="491">
        <v>21.5</v>
      </c>
      <c r="W287" s="492">
        <v>13041831.04</v>
      </c>
      <c r="X287" s="493">
        <f t="shared" si="59"/>
        <v>60659679.255813956</v>
      </c>
      <c r="Y287" s="492">
        <v>811178.9022912446</v>
      </c>
      <c r="Z287" s="492">
        <v>0</v>
      </c>
      <c r="AC287">
        <v>887</v>
      </c>
      <c r="AD287">
        <f t="shared" si="51"/>
        <v>0</v>
      </c>
      <c r="AF287" s="494"/>
    </row>
    <row r="288" spans="1:32" ht="12">
      <c r="A288" s="468" t="s">
        <v>1136</v>
      </c>
      <c r="B288" s="483">
        <v>2824</v>
      </c>
      <c r="C288" s="484">
        <f t="shared" si="52"/>
        <v>6295300.931707317</v>
      </c>
      <c r="D288" s="484">
        <f t="shared" si="48"/>
        <v>914505.9209728079</v>
      </c>
      <c r="E288" s="484">
        <f t="shared" si="53"/>
        <v>0</v>
      </c>
      <c r="F288" s="484">
        <f t="shared" si="54"/>
        <v>7209806.852680125</v>
      </c>
      <c r="G288" s="485">
        <f t="shared" si="55"/>
        <v>2553.0477523654836</v>
      </c>
      <c r="H288" s="475">
        <f t="shared" si="56"/>
        <v>1129.2522476345166</v>
      </c>
      <c r="I288" s="380">
        <f t="shared" si="57"/>
        <v>0</v>
      </c>
      <c r="J288" s="380">
        <f t="shared" si="58"/>
        <v>0</v>
      </c>
      <c r="K288" s="476">
        <f t="shared" si="49"/>
        <v>903.4017981076133</v>
      </c>
      <c r="L288" s="500">
        <f t="shared" si="50"/>
        <v>2551206.6778559</v>
      </c>
      <c r="M288" s="486">
        <v>2503115.364401951</v>
      </c>
      <c r="N288" s="486"/>
      <c r="O288" s="495">
        <v>889</v>
      </c>
      <c r="P288" s="391" t="s">
        <v>1136</v>
      </c>
      <c r="Q288" s="488">
        <v>0</v>
      </c>
      <c r="R288" s="489" t="s">
        <v>781</v>
      </c>
      <c r="U288" s="490" t="s">
        <v>325</v>
      </c>
      <c r="V288" s="491">
        <v>20.5</v>
      </c>
      <c r="W288" s="492">
        <v>6485109</v>
      </c>
      <c r="X288" s="493">
        <f t="shared" si="59"/>
        <v>31634678.048780486</v>
      </c>
      <c r="Y288" s="492">
        <v>914505.9209728079</v>
      </c>
      <c r="Z288" s="492">
        <v>0</v>
      </c>
      <c r="AC288">
        <v>889</v>
      </c>
      <c r="AD288">
        <f t="shared" si="51"/>
        <v>0</v>
      </c>
      <c r="AF288" s="494"/>
    </row>
    <row r="289" spans="1:32" ht="12">
      <c r="A289" s="468" t="s">
        <v>1137</v>
      </c>
      <c r="B289" s="483">
        <v>1241</v>
      </c>
      <c r="C289" s="484">
        <f t="shared" si="52"/>
        <v>3559349.656963855</v>
      </c>
      <c r="D289" s="484">
        <f t="shared" si="48"/>
        <v>146919.27783467754</v>
      </c>
      <c r="E289" s="484">
        <f t="shared" si="53"/>
        <v>0</v>
      </c>
      <c r="F289" s="484">
        <f t="shared" si="54"/>
        <v>3706268.9347985326</v>
      </c>
      <c r="G289" s="485">
        <f t="shared" si="55"/>
        <v>2986.5180780004293</v>
      </c>
      <c r="H289" s="475">
        <f t="shared" si="56"/>
        <v>695.7819219995708</v>
      </c>
      <c r="I289" s="380">
        <f t="shared" si="57"/>
        <v>0</v>
      </c>
      <c r="J289" s="380">
        <f t="shared" si="58"/>
        <v>0</v>
      </c>
      <c r="K289" s="476">
        <f t="shared" si="49"/>
        <v>556.6255375996567</v>
      </c>
      <c r="L289" s="500">
        <f t="shared" si="50"/>
        <v>690772.292161174</v>
      </c>
      <c r="M289" s="486">
        <v>716633.0211624096</v>
      </c>
      <c r="N289" s="486"/>
      <c r="O289" s="495">
        <v>890</v>
      </c>
      <c r="P289" s="391" t="s">
        <v>1137</v>
      </c>
      <c r="Q289" s="488">
        <v>0</v>
      </c>
      <c r="R289" s="489" t="s">
        <v>794</v>
      </c>
      <c r="U289" s="490" t="s">
        <v>326</v>
      </c>
      <c r="V289" s="491">
        <v>20.75</v>
      </c>
      <c r="W289" s="492">
        <v>3711382.18</v>
      </c>
      <c r="X289" s="493">
        <f t="shared" si="59"/>
        <v>17886179.180722892</v>
      </c>
      <c r="Y289" s="492">
        <v>146919.27783467754</v>
      </c>
      <c r="Z289" s="492">
        <v>0</v>
      </c>
      <c r="AC289">
        <v>890</v>
      </c>
      <c r="AD289">
        <f t="shared" si="51"/>
        <v>0</v>
      </c>
      <c r="AF289" s="494"/>
    </row>
    <row r="290" spans="1:32" s="1" customFormat="1" ht="12.75">
      <c r="A290" s="468" t="s">
        <v>1138</v>
      </c>
      <c r="B290" s="483">
        <v>3717</v>
      </c>
      <c r="C290" s="484">
        <f t="shared" si="52"/>
        <v>9043612.156682927</v>
      </c>
      <c r="D290" s="484">
        <f t="shared" si="48"/>
        <v>543538.1231031163</v>
      </c>
      <c r="E290" s="484">
        <f t="shared" si="53"/>
        <v>0</v>
      </c>
      <c r="F290" s="484">
        <f t="shared" si="54"/>
        <v>9587150.279786043</v>
      </c>
      <c r="G290" s="485">
        <f t="shared" si="55"/>
        <v>2579.2709926785155</v>
      </c>
      <c r="H290" s="475">
        <f t="shared" si="56"/>
        <v>1103.0290073214846</v>
      </c>
      <c r="I290" s="380">
        <f t="shared" si="57"/>
        <v>0</v>
      </c>
      <c r="J290" s="380">
        <f t="shared" si="58"/>
        <v>0</v>
      </c>
      <c r="K290" s="476">
        <f t="shared" si="49"/>
        <v>882.4232058571878</v>
      </c>
      <c r="L290" s="500">
        <f t="shared" si="50"/>
        <v>3279967.056171167</v>
      </c>
      <c r="M290" s="486">
        <v>3190080.896792195</v>
      </c>
      <c r="N290" s="486"/>
      <c r="O290" s="495">
        <v>892</v>
      </c>
      <c r="P290" s="391" t="s">
        <v>1138</v>
      </c>
      <c r="Q290" s="488">
        <v>0</v>
      </c>
      <c r="R290" s="489" t="s">
        <v>814</v>
      </c>
      <c r="S290"/>
      <c r="T290"/>
      <c r="U290" s="490" t="s">
        <v>327</v>
      </c>
      <c r="V290" s="491">
        <v>20.5</v>
      </c>
      <c r="W290" s="492">
        <v>9316283.88</v>
      </c>
      <c r="X290" s="493">
        <f t="shared" si="59"/>
        <v>45445287.2195122</v>
      </c>
      <c r="Y290" s="492">
        <v>543538.1231031163</v>
      </c>
      <c r="Z290" s="492">
        <v>0</v>
      </c>
      <c r="AA290"/>
      <c r="AB290"/>
      <c r="AC290">
        <v>892</v>
      </c>
      <c r="AD290">
        <f t="shared" si="51"/>
        <v>0</v>
      </c>
      <c r="AE290"/>
      <c r="AF290" s="494"/>
    </row>
    <row r="291" spans="1:32" ht="12.75">
      <c r="A291" s="468" t="s">
        <v>1139</v>
      </c>
      <c r="B291" s="483">
        <v>7516</v>
      </c>
      <c r="C291" s="484">
        <f t="shared" si="52"/>
        <v>19795573.58442857</v>
      </c>
      <c r="D291" s="484">
        <f t="shared" si="48"/>
        <v>2856581.3030473045</v>
      </c>
      <c r="E291" s="484">
        <f t="shared" si="53"/>
        <v>0</v>
      </c>
      <c r="F291" s="484">
        <f t="shared" si="54"/>
        <v>22652154.887475874</v>
      </c>
      <c r="G291" s="485">
        <f t="shared" si="55"/>
        <v>3013.8577551191956</v>
      </c>
      <c r="H291" s="475">
        <f t="shared" si="56"/>
        <v>668.4422448808045</v>
      </c>
      <c r="I291" s="380">
        <f t="shared" si="57"/>
        <v>0</v>
      </c>
      <c r="J291" s="380">
        <f t="shared" si="58"/>
        <v>0</v>
      </c>
      <c r="K291" s="476">
        <f t="shared" si="49"/>
        <v>534.7537959046437</v>
      </c>
      <c r="L291" s="500">
        <f t="shared" si="50"/>
        <v>4019209.530019302</v>
      </c>
      <c r="M291" s="486">
        <v>2813753.8253599997</v>
      </c>
      <c r="N291" s="486"/>
      <c r="O291" s="495">
        <v>893</v>
      </c>
      <c r="P291" s="496" t="s">
        <v>1140</v>
      </c>
      <c r="Q291" s="488">
        <v>3</v>
      </c>
      <c r="R291" s="489" t="s">
        <v>859</v>
      </c>
      <c r="U291" s="490" t="s">
        <v>328</v>
      </c>
      <c r="V291" s="491">
        <v>21</v>
      </c>
      <c r="W291" s="492">
        <v>20889801.27</v>
      </c>
      <c r="X291" s="493">
        <f t="shared" si="59"/>
        <v>99475244.14285715</v>
      </c>
      <c r="Y291" s="492">
        <v>2856581.3030473045</v>
      </c>
      <c r="Z291" s="492">
        <v>0</v>
      </c>
      <c r="AB291" s="1"/>
      <c r="AC291" s="1">
        <v>893</v>
      </c>
      <c r="AD291">
        <f t="shared" si="51"/>
        <v>0</v>
      </c>
      <c r="AE291" s="1"/>
      <c r="AF291" s="494"/>
    </row>
    <row r="292" spans="1:32" ht="12.75">
      <c r="A292" s="468" t="s">
        <v>1141</v>
      </c>
      <c r="B292" s="483">
        <v>15404</v>
      </c>
      <c r="C292" s="484">
        <f t="shared" si="52"/>
        <v>50582093.334891565</v>
      </c>
      <c r="D292" s="484">
        <f t="shared" si="48"/>
        <v>4062081.9011349715</v>
      </c>
      <c r="E292" s="484">
        <f t="shared" si="53"/>
        <v>0</v>
      </c>
      <c r="F292" s="484">
        <f t="shared" si="54"/>
        <v>54644175.23602654</v>
      </c>
      <c r="G292" s="485">
        <f t="shared" si="55"/>
        <v>3547.401664244777</v>
      </c>
      <c r="H292" s="475">
        <f t="shared" si="56"/>
        <v>134.89833575522334</v>
      </c>
      <c r="I292" s="380">
        <f t="shared" si="57"/>
        <v>0</v>
      </c>
      <c r="J292" s="380">
        <f t="shared" si="58"/>
        <v>0</v>
      </c>
      <c r="K292" s="476">
        <f t="shared" si="49"/>
        <v>107.91866860417868</v>
      </c>
      <c r="L292" s="500">
        <f t="shared" si="50"/>
        <v>1662379.1711787684</v>
      </c>
      <c r="M292" s="486">
        <v>2843667.7846322875</v>
      </c>
      <c r="N292" s="486"/>
      <c r="O292" s="495">
        <v>895</v>
      </c>
      <c r="P292" s="496" t="s">
        <v>1142</v>
      </c>
      <c r="Q292" s="488">
        <v>0</v>
      </c>
      <c r="R292" s="489" t="s">
        <v>788</v>
      </c>
      <c r="U292" s="490" t="s">
        <v>329</v>
      </c>
      <c r="V292" s="491">
        <v>20.75</v>
      </c>
      <c r="W292" s="492">
        <v>52742635.01</v>
      </c>
      <c r="X292" s="493">
        <f t="shared" si="59"/>
        <v>254181373.54216868</v>
      </c>
      <c r="Y292" s="492">
        <v>4062081.9011349715</v>
      </c>
      <c r="Z292" s="492">
        <v>0</v>
      </c>
      <c r="AA292" s="1"/>
      <c r="AC292">
        <v>895</v>
      </c>
      <c r="AD292">
        <f t="shared" si="51"/>
        <v>0</v>
      </c>
      <c r="AF292" s="494"/>
    </row>
    <row r="293" spans="1:32" ht="12">
      <c r="A293" s="468" t="s">
        <v>1143</v>
      </c>
      <c r="B293" s="483">
        <v>67620</v>
      </c>
      <c r="C293" s="484">
        <f t="shared" si="52"/>
        <v>222614991.35175</v>
      </c>
      <c r="D293" s="484">
        <f t="shared" si="48"/>
        <v>27729562.40201746</v>
      </c>
      <c r="E293" s="484">
        <f t="shared" si="53"/>
        <v>0</v>
      </c>
      <c r="F293" s="484">
        <f t="shared" si="54"/>
        <v>250344553.75376743</v>
      </c>
      <c r="G293" s="485">
        <f t="shared" si="55"/>
        <v>3702.226467816732</v>
      </c>
      <c r="H293" s="475">
        <f t="shared" si="56"/>
        <v>-19.92646781673193</v>
      </c>
      <c r="I293" s="380">
        <f t="shared" si="57"/>
        <v>2.992048889051169</v>
      </c>
      <c r="J293" s="380">
        <f t="shared" si="58"/>
        <v>32.99204888905117</v>
      </c>
      <c r="K293" s="476">
        <f t="shared" si="49"/>
        <v>-6.574150003957246</v>
      </c>
      <c r="L293" s="500">
        <f t="shared" si="50"/>
        <v>-444544.0232675889</v>
      </c>
      <c r="M293" s="486">
        <v>-3847527.400301501</v>
      </c>
      <c r="N293" s="486"/>
      <c r="O293" s="495">
        <v>905</v>
      </c>
      <c r="P293" s="496" t="s">
        <v>1144</v>
      </c>
      <c r="Q293" s="488">
        <v>1</v>
      </c>
      <c r="R293" s="489" t="s">
        <v>859</v>
      </c>
      <c r="U293" s="490" t="s">
        <v>331</v>
      </c>
      <c r="V293" s="491">
        <v>20</v>
      </c>
      <c r="W293" s="492">
        <v>223733659.65</v>
      </c>
      <c r="X293" s="493">
        <f t="shared" si="59"/>
        <v>1118668298.25</v>
      </c>
      <c r="Y293" s="492">
        <v>27729562.40201746</v>
      </c>
      <c r="Z293" s="492">
        <v>0</v>
      </c>
      <c r="AC293">
        <v>905</v>
      </c>
      <c r="AD293">
        <f t="shared" si="51"/>
        <v>0</v>
      </c>
      <c r="AF293" s="494"/>
    </row>
    <row r="294" spans="1:32" ht="12">
      <c r="A294" s="468" t="s">
        <v>1145</v>
      </c>
      <c r="B294" s="483">
        <v>21346</v>
      </c>
      <c r="C294" s="484">
        <f t="shared" si="52"/>
        <v>69098662.39893669</v>
      </c>
      <c r="D294" s="484">
        <f t="shared" si="48"/>
        <v>4255265.312022097</v>
      </c>
      <c r="E294" s="484">
        <f t="shared" si="53"/>
        <v>0</v>
      </c>
      <c r="F294" s="484">
        <f t="shared" si="54"/>
        <v>73353927.71095878</v>
      </c>
      <c r="G294" s="485">
        <f t="shared" si="55"/>
        <v>3436.4249841168735</v>
      </c>
      <c r="H294" s="475">
        <f t="shared" si="56"/>
        <v>245.8750158831267</v>
      </c>
      <c r="I294" s="380">
        <f t="shared" si="57"/>
        <v>0</v>
      </c>
      <c r="J294" s="380">
        <f t="shared" si="58"/>
        <v>0</v>
      </c>
      <c r="K294" s="476">
        <f t="shared" si="49"/>
        <v>196.70001270650138</v>
      </c>
      <c r="L294" s="500">
        <f t="shared" si="50"/>
        <v>4198758.471232979</v>
      </c>
      <c r="M294" s="486">
        <v>3550081.827062276</v>
      </c>
      <c r="N294" s="486"/>
      <c r="O294" s="495">
        <v>908</v>
      </c>
      <c r="P294" s="391" t="s">
        <v>1145</v>
      </c>
      <c r="Q294" s="488">
        <v>0</v>
      </c>
      <c r="R294" s="489" t="s">
        <v>789</v>
      </c>
      <c r="U294" s="490" t="s">
        <v>332</v>
      </c>
      <c r="V294" s="491">
        <v>19.75</v>
      </c>
      <c r="W294" s="492">
        <v>68577818.21</v>
      </c>
      <c r="X294" s="493">
        <f t="shared" si="59"/>
        <v>347229459.2911392</v>
      </c>
      <c r="Y294" s="492">
        <v>4255265.312022097</v>
      </c>
      <c r="Z294" s="492">
        <v>0</v>
      </c>
      <c r="AC294">
        <v>908</v>
      </c>
      <c r="AD294">
        <f t="shared" si="51"/>
        <v>0</v>
      </c>
      <c r="AF294" s="494"/>
    </row>
    <row r="295" spans="1:32" ht="12">
      <c r="A295" s="468" t="s">
        <v>1146</v>
      </c>
      <c r="B295" s="483">
        <v>2245</v>
      </c>
      <c r="C295" s="484">
        <f t="shared" si="52"/>
        <v>4816566.9459999995</v>
      </c>
      <c r="D295" s="484">
        <f t="shared" si="48"/>
        <v>926708.5250356048</v>
      </c>
      <c r="E295" s="484">
        <f t="shared" si="53"/>
        <v>0</v>
      </c>
      <c r="F295" s="484">
        <f t="shared" si="54"/>
        <v>5743275.471035604</v>
      </c>
      <c r="G295" s="485">
        <f t="shared" si="55"/>
        <v>2558.251880194033</v>
      </c>
      <c r="H295" s="475">
        <f t="shared" si="56"/>
        <v>1124.048119805967</v>
      </c>
      <c r="I295" s="380">
        <f t="shared" si="57"/>
        <v>0</v>
      </c>
      <c r="J295" s="380">
        <f t="shared" si="58"/>
        <v>0</v>
      </c>
      <c r="K295" s="476">
        <f t="shared" si="49"/>
        <v>899.2384958447736</v>
      </c>
      <c r="L295" s="500">
        <f t="shared" si="50"/>
        <v>2018790.4231715167</v>
      </c>
      <c r="M295" s="486">
        <v>2008547.6823009523</v>
      </c>
      <c r="N295" s="486"/>
      <c r="O295" s="495">
        <v>911</v>
      </c>
      <c r="P295" s="391" t="s">
        <v>1146</v>
      </c>
      <c r="Q295" s="488">
        <v>0</v>
      </c>
      <c r="R295" s="489" t="s">
        <v>850</v>
      </c>
      <c r="U295" s="490" t="s">
        <v>333</v>
      </c>
      <c r="V295" s="491">
        <v>21</v>
      </c>
      <c r="W295" s="492">
        <v>5082809.34</v>
      </c>
      <c r="X295" s="493">
        <f t="shared" si="59"/>
        <v>24203854</v>
      </c>
      <c r="Y295" s="492">
        <v>926708.5250356048</v>
      </c>
      <c r="Z295" s="492">
        <v>0</v>
      </c>
      <c r="AC295">
        <v>911</v>
      </c>
      <c r="AD295">
        <f t="shared" si="51"/>
        <v>0</v>
      </c>
      <c r="AF295" s="494"/>
    </row>
    <row r="296" spans="1:32" ht="12">
      <c r="A296" s="468" t="s">
        <v>1147</v>
      </c>
      <c r="B296" s="483">
        <v>21468</v>
      </c>
      <c r="C296" s="484">
        <f t="shared" si="52"/>
        <v>65107062.5267619</v>
      </c>
      <c r="D296" s="484">
        <f t="shared" si="48"/>
        <v>3795520.9289486944</v>
      </c>
      <c r="E296" s="484">
        <f t="shared" si="53"/>
        <v>0</v>
      </c>
      <c r="F296" s="484">
        <f t="shared" si="54"/>
        <v>68902583.45571059</v>
      </c>
      <c r="G296" s="485">
        <f t="shared" si="55"/>
        <v>3209.548325680575</v>
      </c>
      <c r="H296" s="475">
        <f t="shared" si="56"/>
        <v>472.7516743194251</v>
      </c>
      <c r="I296" s="380">
        <f t="shared" si="57"/>
        <v>0</v>
      </c>
      <c r="J296" s="380">
        <f t="shared" si="58"/>
        <v>0</v>
      </c>
      <c r="K296" s="476">
        <f t="shared" si="49"/>
        <v>378.2013394555401</v>
      </c>
      <c r="L296" s="500">
        <f t="shared" si="50"/>
        <v>8119226.355431535</v>
      </c>
      <c r="M296" s="486">
        <v>7800986.761692527</v>
      </c>
      <c r="N296" s="486"/>
      <c r="O296" s="495">
        <v>915</v>
      </c>
      <c r="P296" s="391" t="s">
        <v>1147</v>
      </c>
      <c r="Q296" s="488">
        <v>0</v>
      </c>
      <c r="R296" s="489" t="s">
        <v>843</v>
      </c>
      <c r="U296" s="490" t="s">
        <v>335</v>
      </c>
      <c r="V296" s="491">
        <v>21</v>
      </c>
      <c r="W296" s="492">
        <v>68705945.38</v>
      </c>
      <c r="X296" s="493">
        <f t="shared" si="59"/>
        <v>327171168.47619045</v>
      </c>
      <c r="Y296" s="492">
        <v>3795520.9289486944</v>
      </c>
      <c r="Z296" s="492">
        <v>0</v>
      </c>
      <c r="AC296">
        <v>915</v>
      </c>
      <c r="AD296">
        <f t="shared" si="51"/>
        <v>0</v>
      </c>
      <c r="AF296" s="494"/>
    </row>
    <row r="297" spans="1:32" ht="12">
      <c r="A297" s="468" t="s">
        <v>1148</v>
      </c>
      <c r="B297" s="483">
        <v>2277</v>
      </c>
      <c r="C297" s="484">
        <f t="shared" si="52"/>
        <v>6158100.121573034</v>
      </c>
      <c r="D297" s="484">
        <f t="shared" si="48"/>
        <v>348585.35083764134</v>
      </c>
      <c r="E297" s="484">
        <f t="shared" si="53"/>
        <v>0</v>
      </c>
      <c r="F297" s="484">
        <f t="shared" si="54"/>
        <v>6506685.472410675</v>
      </c>
      <c r="G297" s="485">
        <f t="shared" si="55"/>
        <v>2857.5693774311267</v>
      </c>
      <c r="H297" s="475">
        <f t="shared" si="56"/>
        <v>824.7306225688735</v>
      </c>
      <c r="I297" s="380">
        <f t="shared" si="57"/>
        <v>0</v>
      </c>
      <c r="J297" s="380">
        <f t="shared" si="58"/>
        <v>0</v>
      </c>
      <c r="K297" s="476">
        <f t="shared" si="49"/>
        <v>659.7844980550989</v>
      </c>
      <c r="L297" s="500">
        <f t="shared" si="50"/>
        <v>1502329.30207146</v>
      </c>
      <c r="M297" s="486">
        <v>1559499.0695627904</v>
      </c>
      <c r="N297" s="486"/>
      <c r="O297" s="495">
        <v>918</v>
      </c>
      <c r="P297" s="391" t="s">
        <v>1148</v>
      </c>
      <c r="Q297" s="488">
        <v>0</v>
      </c>
      <c r="R297" s="489" t="s">
        <v>788</v>
      </c>
      <c r="U297" s="490" t="s">
        <v>336</v>
      </c>
      <c r="V297" s="491">
        <v>22.25</v>
      </c>
      <c r="W297" s="492">
        <v>6885312.95</v>
      </c>
      <c r="X297" s="493">
        <f t="shared" si="59"/>
        <v>30945226.741573032</v>
      </c>
      <c r="Y297" s="492">
        <v>348585.35083764134</v>
      </c>
      <c r="Z297" s="492">
        <v>0</v>
      </c>
      <c r="AC297">
        <v>918</v>
      </c>
      <c r="AD297">
        <f t="shared" si="51"/>
        <v>0</v>
      </c>
      <c r="AF297" s="494"/>
    </row>
    <row r="298" spans="1:32" ht="12">
      <c r="A298" s="468" t="s">
        <v>1149</v>
      </c>
      <c r="B298" s="483">
        <v>2148</v>
      </c>
      <c r="C298" s="484">
        <f t="shared" si="52"/>
        <v>4527836.26347619</v>
      </c>
      <c r="D298" s="484">
        <f t="shared" si="48"/>
        <v>543675.4879318917</v>
      </c>
      <c r="E298" s="484">
        <f t="shared" si="53"/>
        <v>0</v>
      </c>
      <c r="F298" s="484">
        <f t="shared" si="54"/>
        <v>5071511.7514080815</v>
      </c>
      <c r="G298" s="485">
        <f t="shared" si="55"/>
        <v>2361.038990413446</v>
      </c>
      <c r="H298" s="475">
        <f t="shared" si="56"/>
        <v>1321.2610095865543</v>
      </c>
      <c r="I298" s="380">
        <f t="shared" si="57"/>
        <v>0</v>
      </c>
      <c r="J298" s="380">
        <f t="shared" si="58"/>
        <v>0</v>
      </c>
      <c r="K298" s="476">
        <f t="shared" si="49"/>
        <v>1057.0088076692434</v>
      </c>
      <c r="L298" s="500">
        <f t="shared" si="50"/>
        <v>2270454.918873535</v>
      </c>
      <c r="M298" s="486">
        <v>2403397.1428076196</v>
      </c>
      <c r="N298" s="486"/>
      <c r="O298" s="495">
        <v>921</v>
      </c>
      <c r="P298" s="391" t="s">
        <v>1149</v>
      </c>
      <c r="Q298" s="488">
        <v>0</v>
      </c>
      <c r="R298" s="489" t="s">
        <v>843</v>
      </c>
      <c r="U298" s="490" t="s">
        <v>337</v>
      </c>
      <c r="V298" s="491">
        <v>21</v>
      </c>
      <c r="W298" s="492">
        <v>4778118.67</v>
      </c>
      <c r="X298" s="493">
        <f t="shared" si="59"/>
        <v>22752946.04761905</v>
      </c>
      <c r="Y298" s="492">
        <v>543675.4879318917</v>
      </c>
      <c r="Z298" s="492">
        <v>0</v>
      </c>
      <c r="AC298">
        <v>921</v>
      </c>
      <c r="AD298">
        <f t="shared" si="51"/>
        <v>0</v>
      </c>
      <c r="AF298" s="494"/>
    </row>
    <row r="299" spans="1:32" ht="12">
      <c r="A299" s="468" t="s">
        <v>1150</v>
      </c>
      <c r="B299" s="483">
        <v>4462</v>
      </c>
      <c r="C299" s="484">
        <f t="shared" si="52"/>
        <v>13353567.251627907</v>
      </c>
      <c r="D299" s="484">
        <f t="shared" si="48"/>
        <v>462210.46568888193</v>
      </c>
      <c r="E299" s="484">
        <f t="shared" si="53"/>
        <v>0</v>
      </c>
      <c r="F299" s="484">
        <f t="shared" si="54"/>
        <v>13815777.71731679</v>
      </c>
      <c r="G299" s="485">
        <f t="shared" si="55"/>
        <v>3096.31952427539</v>
      </c>
      <c r="H299" s="475">
        <f t="shared" si="56"/>
        <v>585.9804757246102</v>
      </c>
      <c r="I299" s="380">
        <f t="shared" si="57"/>
        <v>0</v>
      </c>
      <c r="J299" s="380">
        <f t="shared" si="58"/>
        <v>0</v>
      </c>
      <c r="K299" s="476">
        <f t="shared" si="49"/>
        <v>468.78438057968816</v>
      </c>
      <c r="L299" s="500">
        <f t="shared" si="50"/>
        <v>2091715.9061465685</v>
      </c>
      <c r="M299" s="486">
        <v>2010655.5603013965</v>
      </c>
      <c r="N299" s="486"/>
      <c r="O299" s="495">
        <v>922</v>
      </c>
      <c r="P299" s="391" t="s">
        <v>1150</v>
      </c>
      <c r="Q299" s="488">
        <v>0</v>
      </c>
      <c r="R299" s="489" t="s">
        <v>789</v>
      </c>
      <c r="U299" s="490" t="s">
        <v>338</v>
      </c>
      <c r="V299" s="491">
        <v>21.5</v>
      </c>
      <c r="W299" s="492">
        <v>14427220.9</v>
      </c>
      <c r="X299" s="493">
        <f t="shared" si="59"/>
        <v>67103353.02325582</v>
      </c>
      <c r="Y299" s="492">
        <v>462210.46568888193</v>
      </c>
      <c r="Z299" s="492">
        <v>0</v>
      </c>
      <c r="AC299">
        <v>922</v>
      </c>
      <c r="AD299">
        <f t="shared" si="51"/>
        <v>0</v>
      </c>
      <c r="AF299" s="494"/>
    </row>
    <row r="300" spans="1:32" ht="12">
      <c r="A300" s="468" t="s">
        <v>1151</v>
      </c>
      <c r="B300" s="483">
        <v>3259</v>
      </c>
      <c r="C300" s="484">
        <f t="shared" si="52"/>
        <v>8044762.277090907</v>
      </c>
      <c r="D300" s="484">
        <f t="shared" si="48"/>
        <v>703529.754730116</v>
      </c>
      <c r="E300" s="484">
        <f t="shared" si="53"/>
        <v>0</v>
      </c>
      <c r="F300" s="484">
        <f t="shared" si="54"/>
        <v>8748292.031821024</v>
      </c>
      <c r="G300" s="485">
        <f t="shared" si="55"/>
        <v>2684.348582946003</v>
      </c>
      <c r="H300" s="475">
        <f t="shared" si="56"/>
        <v>997.9514170539974</v>
      </c>
      <c r="I300" s="380">
        <f t="shared" si="57"/>
        <v>0</v>
      </c>
      <c r="J300" s="380">
        <f t="shared" si="58"/>
        <v>0</v>
      </c>
      <c r="K300" s="476">
        <f t="shared" si="49"/>
        <v>798.361133643198</v>
      </c>
      <c r="L300" s="500">
        <f t="shared" si="50"/>
        <v>2601858.934543182</v>
      </c>
      <c r="M300" s="486">
        <v>2482955.6648363625</v>
      </c>
      <c r="N300" s="486"/>
      <c r="O300" s="495">
        <v>924</v>
      </c>
      <c r="P300" s="496" t="s">
        <v>1152</v>
      </c>
      <c r="Q300" s="488">
        <v>0</v>
      </c>
      <c r="R300" s="489" t="s">
        <v>809</v>
      </c>
      <c r="U300" s="490" t="s">
        <v>339</v>
      </c>
      <c r="V300" s="491">
        <v>22</v>
      </c>
      <c r="W300" s="492">
        <v>8893707.04</v>
      </c>
      <c r="X300" s="493">
        <f t="shared" si="59"/>
        <v>40425941.090909086</v>
      </c>
      <c r="Y300" s="492">
        <v>703529.754730116</v>
      </c>
      <c r="Z300" s="492">
        <v>0</v>
      </c>
      <c r="AC300">
        <v>924</v>
      </c>
      <c r="AD300">
        <f t="shared" si="51"/>
        <v>0</v>
      </c>
      <c r="AF300" s="494"/>
    </row>
    <row r="301" spans="1:32" ht="12">
      <c r="A301" s="468" t="s">
        <v>1153</v>
      </c>
      <c r="B301" s="483">
        <v>3721</v>
      </c>
      <c r="C301" s="484">
        <f t="shared" si="52"/>
        <v>8700361.561571427</v>
      </c>
      <c r="D301" s="484">
        <f t="shared" si="48"/>
        <v>2893859.0460652257</v>
      </c>
      <c r="E301" s="484">
        <f t="shared" si="53"/>
        <v>0</v>
      </c>
      <c r="F301" s="484">
        <f t="shared" si="54"/>
        <v>11594220.607636653</v>
      </c>
      <c r="G301" s="485">
        <f t="shared" si="55"/>
        <v>3115.8883653954995</v>
      </c>
      <c r="H301" s="475">
        <f t="shared" si="56"/>
        <v>566.4116346045007</v>
      </c>
      <c r="I301" s="380">
        <f t="shared" si="57"/>
        <v>0</v>
      </c>
      <c r="J301" s="380">
        <f t="shared" si="58"/>
        <v>0</v>
      </c>
      <c r="K301" s="476">
        <f t="shared" si="49"/>
        <v>453.1293076836006</v>
      </c>
      <c r="L301" s="500">
        <f t="shared" si="50"/>
        <v>1686094.1538906777</v>
      </c>
      <c r="M301" s="486">
        <v>2117277.1657980965</v>
      </c>
      <c r="N301" s="486"/>
      <c r="O301" s="495">
        <v>925</v>
      </c>
      <c r="P301" s="391" t="s">
        <v>1153</v>
      </c>
      <c r="Q301" s="488">
        <v>0</v>
      </c>
      <c r="R301" s="489" t="s">
        <v>843</v>
      </c>
      <c r="U301" s="490" t="s">
        <v>340</v>
      </c>
      <c r="V301" s="491">
        <v>21</v>
      </c>
      <c r="W301" s="492">
        <v>9181286.07</v>
      </c>
      <c r="X301" s="493">
        <f t="shared" si="59"/>
        <v>43720409.85714286</v>
      </c>
      <c r="Y301" s="492">
        <v>2893859.0460652257</v>
      </c>
      <c r="Z301" s="492">
        <v>0</v>
      </c>
      <c r="AC301">
        <v>925</v>
      </c>
      <c r="AD301">
        <f t="shared" si="51"/>
        <v>0</v>
      </c>
      <c r="AF301" s="494"/>
    </row>
    <row r="302" spans="1:32" ht="12">
      <c r="A302" s="468" t="s">
        <v>1154</v>
      </c>
      <c r="B302" s="483">
        <v>28967</v>
      </c>
      <c r="C302" s="484">
        <f t="shared" si="52"/>
        <v>107805240.41136585</v>
      </c>
      <c r="D302" s="484">
        <f t="shared" si="48"/>
        <v>3403129.1663366808</v>
      </c>
      <c r="E302" s="484">
        <f t="shared" si="53"/>
        <v>0</v>
      </c>
      <c r="F302" s="484">
        <f t="shared" si="54"/>
        <v>111208369.57770254</v>
      </c>
      <c r="G302" s="485">
        <f t="shared" si="55"/>
        <v>3839.140041347138</v>
      </c>
      <c r="H302" s="475">
        <f t="shared" si="56"/>
        <v>-156.84004134713769</v>
      </c>
      <c r="I302" s="380">
        <f t="shared" si="57"/>
        <v>5.0552264410503245</v>
      </c>
      <c r="J302" s="380">
        <f t="shared" si="58"/>
        <v>35.05522644105032</v>
      </c>
      <c r="K302" s="476">
        <f t="shared" si="49"/>
        <v>-54.98063164447607</v>
      </c>
      <c r="L302" s="500">
        <f t="shared" si="50"/>
        <v>-1592623.9568455382</v>
      </c>
      <c r="M302" s="486">
        <v>-1803417.0423273125</v>
      </c>
      <c r="N302" s="486"/>
      <c r="O302" s="495">
        <v>927</v>
      </c>
      <c r="P302" s="496" t="s">
        <v>1155</v>
      </c>
      <c r="Q302" s="488">
        <v>0</v>
      </c>
      <c r="R302" s="489" t="s">
        <v>786</v>
      </c>
      <c r="U302" s="490" t="s">
        <v>341</v>
      </c>
      <c r="V302" s="491">
        <v>20.5</v>
      </c>
      <c r="W302" s="492">
        <v>111055649.67</v>
      </c>
      <c r="X302" s="493">
        <f t="shared" si="59"/>
        <v>541734876.4390244</v>
      </c>
      <c r="Y302" s="492">
        <v>3403129.1663366808</v>
      </c>
      <c r="Z302" s="492">
        <v>0</v>
      </c>
      <c r="AC302">
        <v>927</v>
      </c>
      <c r="AD302">
        <f t="shared" si="51"/>
        <v>0</v>
      </c>
      <c r="AF302" s="494"/>
    </row>
    <row r="303" spans="1:32" ht="12">
      <c r="A303" s="468" t="s">
        <v>1156</v>
      </c>
      <c r="B303" s="483">
        <v>6607</v>
      </c>
      <c r="C303" s="484">
        <f t="shared" si="52"/>
        <v>15541109.534095237</v>
      </c>
      <c r="D303" s="484">
        <f t="shared" si="48"/>
        <v>2123538.5868751584</v>
      </c>
      <c r="E303" s="484">
        <f t="shared" si="53"/>
        <v>0</v>
      </c>
      <c r="F303" s="484">
        <f t="shared" si="54"/>
        <v>17664648.120970394</v>
      </c>
      <c r="G303" s="485">
        <f t="shared" si="55"/>
        <v>2673.626172388436</v>
      </c>
      <c r="H303" s="475">
        <f t="shared" si="56"/>
        <v>1008.6738276115643</v>
      </c>
      <c r="I303" s="380">
        <f t="shared" si="57"/>
        <v>0</v>
      </c>
      <c r="J303" s="380">
        <f t="shared" si="58"/>
        <v>0</v>
      </c>
      <c r="K303" s="476">
        <f t="shared" si="49"/>
        <v>806.9390620892515</v>
      </c>
      <c r="L303" s="500">
        <f t="shared" si="50"/>
        <v>5331446.3832236845</v>
      </c>
      <c r="M303" s="486">
        <v>5166430.435459046</v>
      </c>
      <c r="N303" s="486"/>
      <c r="O303" s="495">
        <v>931</v>
      </c>
      <c r="P303" s="391" t="s">
        <v>1156</v>
      </c>
      <c r="Q303" s="488">
        <v>0</v>
      </c>
      <c r="R303" s="489" t="s">
        <v>814</v>
      </c>
      <c r="U303" s="490" t="s">
        <v>342</v>
      </c>
      <c r="V303" s="491">
        <v>21</v>
      </c>
      <c r="W303" s="492">
        <v>16400165.84</v>
      </c>
      <c r="X303" s="493">
        <f t="shared" si="59"/>
        <v>78096027.8095238</v>
      </c>
      <c r="Y303" s="492">
        <v>2123538.5868751584</v>
      </c>
      <c r="Z303" s="492">
        <v>0</v>
      </c>
      <c r="AC303">
        <v>931</v>
      </c>
      <c r="AD303">
        <f t="shared" si="51"/>
        <v>0</v>
      </c>
      <c r="AF303" s="494"/>
    </row>
    <row r="304" spans="1:32" ht="12">
      <c r="A304" s="468" t="s">
        <v>1157</v>
      </c>
      <c r="B304" s="483">
        <v>3025</v>
      </c>
      <c r="C304" s="484">
        <f t="shared" si="52"/>
        <v>7745826.26341573</v>
      </c>
      <c r="D304" s="484">
        <f t="shared" si="48"/>
        <v>588932.6770655782</v>
      </c>
      <c r="E304" s="484">
        <f t="shared" si="53"/>
        <v>0</v>
      </c>
      <c r="F304" s="484">
        <f t="shared" si="54"/>
        <v>8334758.940481308</v>
      </c>
      <c r="G304" s="485">
        <f t="shared" si="55"/>
        <v>2755.292211729358</v>
      </c>
      <c r="H304" s="475">
        <f t="shared" si="56"/>
        <v>927.0077882706423</v>
      </c>
      <c r="I304" s="380">
        <f t="shared" si="57"/>
        <v>0</v>
      </c>
      <c r="J304" s="380">
        <f t="shared" si="58"/>
        <v>0</v>
      </c>
      <c r="K304" s="476">
        <f t="shared" si="49"/>
        <v>741.6062306165139</v>
      </c>
      <c r="L304" s="500">
        <f t="shared" si="50"/>
        <v>2243358.8476149547</v>
      </c>
      <c r="M304" s="486">
        <v>2138255.9598561795</v>
      </c>
      <c r="N304" s="486"/>
      <c r="O304" s="495">
        <v>934</v>
      </c>
      <c r="P304" s="391" t="s">
        <v>1157</v>
      </c>
      <c r="Q304" s="488">
        <v>0</v>
      </c>
      <c r="R304" s="489" t="s">
        <v>779</v>
      </c>
      <c r="U304" s="490" t="s">
        <v>343</v>
      </c>
      <c r="V304" s="491">
        <v>22.25</v>
      </c>
      <c r="W304" s="492">
        <v>8660534.39</v>
      </c>
      <c r="X304" s="493">
        <f t="shared" si="59"/>
        <v>38923750.06741573</v>
      </c>
      <c r="Y304" s="492">
        <v>588932.6770655782</v>
      </c>
      <c r="Z304" s="492">
        <v>0</v>
      </c>
      <c r="AC304">
        <v>934</v>
      </c>
      <c r="AD304">
        <f t="shared" si="51"/>
        <v>0</v>
      </c>
      <c r="AF304" s="494"/>
    </row>
    <row r="305" spans="1:32" ht="12">
      <c r="A305" s="468" t="s">
        <v>1158</v>
      </c>
      <c r="B305" s="483">
        <v>3267</v>
      </c>
      <c r="C305" s="484">
        <f t="shared" si="52"/>
        <v>8173713.413249999</v>
      </c>
      <c r="D305" s="484">
        <f t="shared" si="48"/>
        <v>1014111.4619515628</v>
      </c>
      <c r="E305" s="484">
        <f t="shared" si="53"/>
        <v>0</v>
      </c>
      <c r="F305" s="484">
        <f t="shared" si="54"/>
        <v>9187824.875201562</v>
      </c>
      <c r="G305" s="485">
        <f t="shared" si="55"/>
        <v>2812.3124809309957</v>
      </c>
      <c r="H305" s="475">
        <f t="shared" si="56"/>
        <v>869.9875190690045</v>
      </c>
      <c r="I305" s="380">
        <f t="shared" si="57"/>
        <v>0</v>
      </c>
      <c r="J305" s="380">
        <f t="shared" si="58"/>
        <v>0</v>
      </c>
      <c r="K305" s="476">
        <f t="shared" si="49"/>
        <v>695.9900152552036</v>
      </c>
      <c r="L305" s="500">
        <f t="shared" si="50"/>
        <v>2273799.37983875</v>
      </c>
      <c r="M305" s="486">
        <v>2178209.2124439985</v>
      </c>
      <c r="N305" s="486"/>
      <c r="O305" s="495">
        <v>935</v>
      </c>
      <c r="P305" s="391" t="s">
        <v>1158</v>
      </c>
      <c r="Q305" s="488">
        <v>0</v>
      </c>
      <c r="R305" s="489" t="s">
        <v>812</v>
      </c>
      <c r="U305" s="490" t="s">
        <v>344</v>
      </c>
      <c r="V305" s="491">
        <v>20</v>
      </c>
      <c r="W305" s="492">
        <v>8214787.35</v>
      </c>
      <c r="X305" s="493">
        <f t="shared" si="59"/>
        <v>41073936.75</v>
      </c>
      <c r="Y305" s="492">
        <v>1014111.4619515628</v>
      </c>
      <c r="Z305" s="492">
        <v>0</v>
      </c>
      <c r="AC305">
        <v>935</v>
      </c>
      <c r="AD305">
        <f t="shared" si="51"/>
        <v>0</v>
      </c>
      <c r="AF305" s="494"/>
    </row>
    <row r="306" spans="1:32" ht="12">
      <c r="A306" s="468" t="s">
        <v>1159</v>
      </c>
      <c r="B306" s="483">
        <v>6917</v>
      </c>
      <c r="C306" s="484">
        <f t="shared" si="52"/>
        <v>17021368.655228917</v>
      </c>
      <c r="D306" s="484">
        <f t="shared" si="48"/>
        <v>2183890.720255172</v>
      </c>
      <c r="E306" s="484">
        <f t="shared" si="53"/>
        <v>0</v>
      </c>
      <c r="F306" s="484">
        <f t="shared" si="54"/>
        <v>19205259.375484087</v>
      </c>
      <c r="G306" s="485">
        <f t="shared" si="55"/>
        <v>2776.5301974098725</v>
      </c>
      <c r="H306" s="475">
        <f t="shared" si="56"/>
        <v>905.7698025901277</v>
      </c>
      <c r="I306" s="380">
        <f t="shared" si="57"/>
        <v>0</v>
      </c>
      <c r="J306" s="380">
        <f t="shared" si="58"/>
        <v>0</v>
      </c>
      <c r="K306" s="476">
        <f t="shared" si="49"/>
        <v>724.6158420721022</v>
      </c>
      <c r="L306" s="500">
        <f t="shared" si="50"/>
        <v>5012167.77961273</v>
      </c>
      <c r="M306" s="486">
        <v>5095408.961920002</v>
      </c>
      <c r="N306" s="486"/>
      <c r="O306" s="495">
        <v>936</v>
      </c>
      <c r="P306" s="496" t="s">
        <v>1160</v>
      </c>
      <c r="Q306" s="488">
        <v>0</v>
      </c>
      <c r="R306" s="489" t="s">
        <v>789</v>
      </c>
      <c r="U306" s="490" t="s">
        <v>345</v>
      </c>
      <c r="V306" s="491">
        <v>20.75</v>
      </c>
      <c r="W306" s="492">
        <v>17748412.04</v>
      </c>
      <c r="X306" s="493">
        <f t="shared" si="59"/>
        <v>85534515.85542169</v>
      </c>
      <c r="Y306" s="492">
        <v>2183890.720255172</v>
      </c>
      <c r="Z306" s="492">
        <v>0</v>
      </c>
      <c r="AC306">
        <v>936</v>
      </c>
      <c r="AD306">
        <f t="shared" si="51"/>
        <v>0</v>
      </c>
      <c r="AF306" s="494"/>
    </row>
    <row r="307" spans="1:32" ht="12">
      <c r="A307" s="468" t="s">
        <v>346</v>
      </c>
      <c r="B307" s="483">
        <v>6684</v>
      </c>
      <c r="C307" s="484">
        <f t="shared" si="52"/>
        <v>17480173.11504762</v>
      </c>
      <c r="D307" s="484">
        <f t="shared" si="48"/>
        <v>1938860.7038020766</v>
      </c>
      <c r="E307" s="484">
        <f t="shared" si="53"/>
        <v>0</v>
      </c>
      <c r="F307" s="484">
        <f t="shared" si="54"/>
        <v>19419033.818849694</v>
      </c>
      <c r="G307" s="485">
        <f t="shared" si="55"/>
        <v>2905.3012894748194</v>
      </c>
      <c r="H307" s="475">
        <f t="shared" si="56"/>
        <v>776.9987105251807</v>
      </c>
      <c r="I307" s="380">
        <f t="shared" si="57"/>
        <v>0</v>
      </c>
      <c r="J307" s="380">
        <f t="shared" si="58"/>
        <v>0</v>
      </c>
      <c r="K307" s="476">
        <f t="shared" si="49"/>
        <v>621.5989684201446</v>
      </c>
      <c r="L307" s="500">
        <f t="shared" si="50"/>
        <v>4154767.5049202465</v>
      </c>
      <c r="M307" s="486">
        <v>3413016.3044685726</v>
      </c>
      <c r="N307" s="486"/>
      <c r="O307" s="495">
        <v>946</v>
      </c>
      <c r="P307" s="496" t="s">
        <v>1161</v>
      </c>
      <c r="Q307" s="488">
        <v>3</v>
      </c>
      <c r="R307" s="489" t="s">
        <v>859</v>
      </c>
      <c r="U307" s="490" t="s">
        <v>346</v>
      </c>
      <c r="V307" s="491">
        <v>21</v>
      </c>
      <c r="W307" s="492">
        <v>18446413.84</v>
      </c>
      <c r="X307" s="493">
        <f t="shared" si="59"/>
        <v>87840065.90476191</v>
      </c>
      <c r="Y307" s="492">
        <v>1938860.7038020766</v>
      </c>
      <c r="Z307" s="492">
        <v>0</v>
      </c>
      <c r="AC307">
        <v>946</v>
      </c>
      <c r="AD307">
        <f t="shared" si="51"/>
        <v>0</v>
      </c>
      <c r="AF307" s="494"/>
    </row>
    <row r="308" spans="1:32" ht="12">
      <c r="A308" s="468" t="s">
        <v>1162</v>
      </c>
      <c r="B308" s="483">
        <v>4200</v>
      </c>
      <c r="C308" s="484">
        <f t="shared" si="52"/>
        <v>10534964.945194805</v>
      </c>
      <c r="D308" s="484">
        <f t="shared" si="48"/>
        <v>678234.149490796</v>
      </c>
      <c r="E308" s="484">
        <f t="shared" si="53"/>
        <v>0</v>
      </c>
      <c r="F308" s="484">
        <f t="shared" si="54"/>
        <v>11213199.094685601</v>
      </c>
      <c r="G308" s="485">
        <f t="shared" si="55"/>
        <v>2669.8093082584764</v>
      </c>
      <c r="H308" s="475">
        <f t="shared" si="56"/>
        <v>1012.4906917415237</v>
      </c>
      <c r="I308" s="380">
        <f t="shared" si="57"/>
        <v>0</v>
      </c>
      <c r="J308" s="380">
        <f t="shared" si="58"/>
        <v>0</v>
      </c>
      <c r="K308" s="476">
        <f t="shared" si="49"/>
        <v>809.992553393219</v>
      </c>
      <c r="L308" s="500">
        <f t="shared" si="50"/>
        <v>3401968.72425152</v>
      </c>
      <c r="M308" s="486">
        <v>3503274.9548425977</v>
      </c>
      <c r="N308" s="486"/>
      <c r="O308" s="495">
        <v>976</v>
      </c>
      <c r="P308" s="496" t="s">
        <v>1163</v>
      </c>
      <c r="Q308" s="488">
        <v>0</v>
      </c>
      <c r="R308" s="489" t="s">
        <v>794</v>
      </c>
      <c r="U308" s="490" t="s">
        <v>347</v>
      </c>
      <c r="V308" s="491">
        <v>19.25</v>
      </c>
      <c r="W308" s="492">
        <v>10190858.05</v>
      </c>
      <c r="X308" s="493">
        <f t="shared" si="59"/>
        <v>52939522.33766235</v>
      </c>
      <c r="Y308" s="492">
        <v>678234.149490796</v>
      </c>
      <c r="Z308" s="492">
        <v>0</v>
      </c>
      <c r="AC308">
        <v>976</v>
      </c>
      <c r="AD308">
        <f t="shared" si="51"/>
        <v>0</v>
      </c>
      <c r="AF308" s="494"/>
    </row>
    <row r="309" spans="1:32" ht="12">
      <c r="A309" s="468" t="s">
        <v>1164</v>
      </c>
      <c r="B309" s="483">
        <v>15199</v>
      </c>
      <c r="C309" s="484">
        <f t="shared" si="52"/>
        <v>41615682.034790695</v>
      </c>
      <c r="D309" s="484">
        <f t="shared" si="48"/>
        <v>3604329.39339858</v>
      </c>
      <c r="E309" s="484">
        <f t="shared" si="53"/>
        <v>0</v>
      </c>
      <c r="F309" s="484">
        <f t="shared" si="54"/>
        <v>45220011.42818928</v>
      </c>
      <c r="G309" s="485">
        <f t="shared" si="55"/>
        <v>2975.196488465641</v>
      </c>
      <c r="H309" s="475">
        <f t="shared" si="56"/>
        <v>707.1035115343593</v>
      </c>
      <c r="I309" s="380">
        <f t="shared" si="57"/>
        <v>0</v>
      </c>
      <c r="J309" s="380">
        <f t="shared" si="58"/>
        <v>0</v>
      </c>
      <c r="K309" s="476">
        <f t="shared" si="49"/>
        <v>565.6828092274875</v>
      </c>
      <c r="L309" s="500">
        <f t="shared" si="50"/>
        <v>8597813.017448582</v>
      </c>
      <c r="M309" s="486">
        <v>8526573.220312556</v>
      </c>
      <c r="N309" s="486"/>
      <c r="O309" s="495">
        <v>977</v>
      </c>
      <c r="P309" s="391" t="s">
        <v>1164</v>
      </c>
      <c r="Q309" s="488">
        <v>0</v>
      </c>
      <c r="R309" s="489" t="s">
        <v>781</v>
      </c>
      <c r="U309" s="490" t="s">
        <v>348</v>
      </c>
      <c r="V309" s="491">
        <v>21.5</v>
      </c>
      <c r="W309" s="492">
        <v>44961666.52</v>
      </c>
      <c r="X309" s="493">
        <f t="shared" si="59"/>
        <v>209124030.3255814</v>
      </c>
      <c r="Y309" s="492">
        <v>3604329.39339858</v>
      </c>
      <c r="Z309" s="492">
        <v>0</v>
      </c>
      <c r="AC309">
        <v>977</v>
      </c>
      <c r="AD309">
        <f t="shared" si="51"/>
        <v>0</v>
      </c>
      <c r="AF309" s="494"/>
    </row>
    <row r="310" spans="1:32" ht="12">
      <c r="A310" s="468" t="s">
        <v>1165</v>
      </c>
      <c r="B310" s="483">
        <v>32799</v>
      </c>
      <c r="C310" s="484">
        <f t="shared" si="52"/>
        <v>107018282.44717072</v>
      </c>
      <c r="D310" s="484">
        <f t="shared" si="48"/>
        <v>5534335.270250584</v>
      </c>
      <c r="E310" s="484">
        <f t="shared" si="53"/>
        <v>0</v>
      </c>
      <c r="F310" s="484">
        <f t="shared" si="54"/>
        <v>112552617.71742131</v>
      </c>
      <c r="G310" s="485">
        <f t="shared" si="55"/>
        <v>3431.5868690332422</v>
      </c>
      <c r="H310" s="475">
        <f t="shared" si="56"/>
        <v>250.71313096675794</v>
      </c>
      <c r="I310" s="380">
        <f t="shared" si="57"/>
        <v>0</v>
      </c>
      <c r="J310" s="380">
        <f t="shared" si="58"/>
        <v>0</v>
      </c>
      <c r="K310" s="476">
        <f t="shared" si="49"/>
        <v>200.57050477340636</v>
      </c>
      <c r="L310" s="500">
        <f t="shared" si="50"/>
        <v>6578511.986062955</v>
      </c>
      <c r="M310" s="486">
        <v>6675940.734591225</v>
      </c>
      <c r="N310" s="486"/>
      <c r="O310" s="495">
        <v>980</v>
      </c>
      <c r="P310" s="391" t="s">
        <v>1165</v>
      </c>
      <c r="Q310" s="488">
        <v>0</v>
      </c>
      <c r="R310" s="489" t="s">
        <v>789</v>
      </c>
      <c r="U310" s="490" t="s">
        <v>349</v>
      </c>
      <c r="V310" s="491">
        <v>20.5</v>
      </c>
      <c r="W310" s="492">
        <v>110244964.33</v>
      </c>
      <c r="X310" s="493">
        <f t="shared" si="59"/>
        <v>537780313.804878</v>
      </c>
      <c r="Y310" s="492">
        <v>5534335.270250584</v>
      </c>
      <c r="Z310" s="492">
        <v>0</v>
      </c>
      <c r="AC310">
        <v>980</v>
      </c>
      <c r="AD310">
        <f t="shared" si="51"/>
        <v>0</v>
      </c>
      <c r="AF310" s="494"/>
    </row>
    <row r="311" spans="1:32" ht="12">
      <c r="A311" s="468" t="s">
        <v>1166</v>
      </c>
      <c r="B311" s="483">
        <v>2382</v>
      </c>
      <c r="C311" s="484">
        <f t="shared" si="52"/>
        <v>6277936.089441861</v>
      </c>
      <c r="D311" s="484">
        <f t="shared" si="48"/>
        <v>325541.5049530034</v>
      </c>
      <c r="E311" s="484">
        <f t="shared" si="53"/>
        <v>0</v>
      </c>
      <c r="F311" s="484">
        <f t="shared" si="54"/>
        <v>6603477.5943948645</v>
      </c>
      <c r="G311" s="485">
        <f t="shared" si="55"/>
        <v>2772.2408036922184</v>
      </c>
      <c r="H311" s="475">
        <f t="shared" si="56"/>
        <v>910.0591963077818</v>
      </c>
      <c r="I311" s="380">
        <f t="shared" si="57"/>
        <v>0</v>
      </c>
      <c r="J311" s="380">
        <f t="shared" si="58"/>
        <v>0</v>
      </c>
      <c r="K311" s="476">
        <f t="shared" si="49"/>
        <v>728.0473570462254</v>
      </c>
      <c r="L311" s="500">
        <f t="shared" si="50"/>
        <v>1734208.804484109</v>
      </c>
      <c r="M311" s="486">
        <v>1765501.7747809521</v>
      </c>
      <c r="N311" s="486"/>
      <c r="O311" s="495">
        <v>981</v>
      </c>
      <c r="P311" s="391" t="s">
        <v>1166</v>
      </c>
      <c r="Q311" s="488">
        <v>0</v>
      </c>
      <c r="R311" s="489" t="s">
        <v>803</v>
      </c>
      <c r="U311" s="490" t="s">
        <v>350</v>
      </c>
      <c r="V311" s="491">
        <v>21.5</v>
      </c>
      <c r="W311" s="492">
        <v>6782694.77</v>
      </c>
      <c r="X311" s="493">
        <f t="shared" si="59"/>
        <v>31547417.534883723</v>
      </c>
      <c r="Y311" s="492">
        <v>325541.5049530034</v>
      </c>
      <c r="Z311" s="492">
        <v>0</v>
      </c>
      <c r="AC311">
        <v>981</v>
      </c>
      <c r="AD311">
        <f t="shared" si="51"/>
        <v>0</v>
      </c>
      <c r="AF311" s="494"/>
    </row>
    <row r="312" spans="1:32" ht="12">
      <c r="A312" s="468" t="s">
        <v>1167</v>
      </c>
      <c r="B312" s="483">
        <v>5985</v>
      </c>
      <c r="C312" s="484">
        <f t="shared" si="52"/>
        <v>15440384.509909088</v>
      </c>
      <c r="D312" s="484">
        <f t="shared" si="48"/>
        <v>1387086.4927167625</v>
      </c>
      <c r="E312" s="484">
        <f t="shared" si="53"/>
        <v>0</v>
      </c>
      <c r="F312" s="484">
        <f t="shared" si="54"/>
        <v>16827471.00262585</v>
      </c>
      <c r="G312" s="485">
        <f t="shared" si="55"/>
        <v>2811.6075192357307</v>
      </c>
      <c r="H312" s="475">
        <f t="shared" si="56"/>
        <v>870.6924807642695</v>
      </c>
      <c r="I312" s="380">
        <f t="shared" si="57"/>
        <v>0</v>
      </c>
      <c r="J312" s="380">
        <f t="shared" si="58"/>
        <v>0</v>
      </c>
      <c r="K312" s="476">
        <f t="shared" si="49"/>
        <v>696.5539846114157</v>
      </c>
      <c r="L312" s="500">
        <f t="shared" si="50"/>
        <v>4168875.597899323</v>
      </c>
      <c r="M312" s="486">
        <v>4289810.412614546</v>
      </c>
      <c r="N312" s="486"/>
      <c r="O312" s="495">
        <v>989</v>
      </c>
      <c r="P312" s="496" t="s">
        <v>1168</v>
      </c>
      <c r="Q312" s="488">
        <v>0</v>
      </c>
      <c r="R312" s="489" t="s">
        <v>779</v>
      </c>
      <c r="U312" s="490" t="s">
        <v>351</v>
      </c>
      <c r="V312" s="491">
        <v>22</v>
      </c>
      <c r="W312" s="492">
        <v>17069771.82</v>
      </c>
      <c r="X312" s="493">
        <f t="shared" si="59"/>
        <v>77589871.9090909</v>
      </c>
      <c r="Y312" s="492">
        <v>1387086.4927167625</v>
      </c>
      <c r="Z312" s="492">
        <v>0</v>
      </c>
      <c r="AC312">
        <v>989</v>
      </c>
      <c r="AD312">
        <f t="shared" si="51"/>
        <v>0</v>
      </c>
      <c r="AF312" s="494"/>
    </row>
    <row r="313" spans="1:32" ht="12">
      <c r="A313" s="468" t="s">
        <v>1169</v>
      </c>
      <c r="B313" s="483">
        <v>19374</v>
      </c>
      <c r="C313" s="484">
        <f t="shared" si="52"/>
        <v>56430518.92986046</v>
      </c>
      <c r="D313" s="484">
        <f t="shared" si="48"/>
        <v>8402292.59943449</v>
      </c>
      <c r="E313" s="484">
        <f t="shared" si="53"/>
        <v>0</v>
      </c>
      <c r="F313" s="484">
        <f t="shared" si="54"/>
        <v>64832811.529294945</v>
      </c>
      <c r="G313" s="485">
        <f t="shared" si="55"/>
        <v>3346.382343826517</v>
      </c>
      <c r="H313" s="475">
        <f t="shared" si="56"/>
        <v>335.917656173483</v>
      </c>
      <c r="I313" s="380">
        <f t="shared" si="57"/>
        <v>0</v>
      </c>
      <c r="J313" s="380">
        <f t="shared" si="58"/>
        <v>0</v>
      </c>
      <c r="K313" s="476">
        <f t="shared" si="49"/>
        <v>268.7341249387864</v>
      </c>
      <c r="L313" s="500">
        <f t="shared" si="50"/>
        <v>5206454.936564048</v>
      </c>
      <c r="M313" s="486">
        <v>6029136.201804655</v>
      </c>
      <c r="N313" s="486"/>
      <c r="O313" s="495">
        <v>992</v>
      </c>
      <c r="P313" s="391" t="s">
        <v>1169</v>
      </c>
      <c r="Q313" s="488">
        <v>0</v>
      </c>
      <c r="R313" s="489" t="s">
        <v>814</v>
      </c>
      <c r="U313" s="490" t="s">
        <v>352</v>
      </c>
      <c r="V313" s="491">
        <v>21.5</v>
      </c>
      <c r="W313" s="492">
        <v>60967646.08</v>
      </c>
      <c r="X313" s="493">
        <f t="shared" si="59"/>
        <v>283570446.88372093</v>
      </c>
      <c r="Y313" s="492">
        <v>8402292.59943449</v>
      </c>
      <c r="Z313" s="492">
        <v>0</v>
      </c>
      <c r="AC313">
        <v>992</v>
      </c>
      <c r="AD313">
        <f t="shared" si="51"/>
        <v>0</v>
      </c>
      <c r="AF313" s="494"/>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39998000860214233"/>
    <pageSetUpPr fitToPage="1"/>
  </sheetPr>
  <dimension ref="A1:M109"/>
  <sheetViews>
    <sheetView zoomScalePageLayoutView="0" workbookViewId="0" topLeftCell="A1">
      <selection activeCell="A1" sqref="A1"/>
    </sheetView>
  </sheetViews>
  <sheetFormatPr defaultColWidth="9.140625" defaultRowHeight="12.75"/>
  <cols>
    <col min="1" max="4" width="2.7109375" style="0" customWidth="1"/>
    <col min="5" max="5" width="27.7109375" style="0" customWidth="1"/>
    <col min="6" max="6" width="11.140625" style="0" customWidth="1"/>
    <col min="7" max="7" width="13.7109375" style="0" customWidth="1"/>
    <col min="8" max="8" width="10.8515625" style="0" customWidth="1"/>
    <col min="9" max="9" width="8.00390625" style="0" customWidth="1"/>
    <col min="10" max="10" width="8.8515625" style="0" customWidth="1"/>
    <col min="11" max="11" width="12.7109375" style="0" customWidth="1"/>
    <col min="13" max="13" width="8.7109375" style="229" customWidth="1"/>
  </cols>
  <sheetData>
    <row r="1" spans="1:11" ht="15.75">
      <c r="A1" s="80" t="s">
        <v>724</v>
      </c>
      <c r="E1" s="29"/>
      <c r="F1" s="8"/>
      <c r="G1" s="8"/>
      <c r="H1" s="8"/>
      <c r="I1" s="8"/>
      <c r="J1" s="8"/>
      <c r="K1" s="104" t="s">
        <v>386</v>
      </c>
    </row>
    <row r="2" spans="5:11" ht="12.75">
      <c r="E2" s="61"/>
      <c r="F2" s="8"/>
      <c r="G2" s="8"/>
      <c r="H2" s="8"/>
      <c r="I2" s="8"/>
      <c r="J2" s="8"/>
      <c r="K2" s="8"/>
    </row>
    <row r="3" spans="2:11" ht="18">
      <c r="B3" s="501" t="s">
        <v>682</v>
      </c>
      <c r="C3" s="502"/>
      <c r="D3" s="502"/>
      <c r="E3" s="502"/>
      <c r="F3" s="502"/>
      <c r="G3" s="502"/>
      <c r="H3" s="502"/>
      <c r="I3" s="502"/>
      <c r="J3" s="502"/>
      <c r="K3" s="503"/>
    </row>
    <row r="4" spans="5:10" ht="12.75">
      <c r="E4" s="8"/>
      <c r="F4" s="8"/>
      <c r="G4" s="8"/>
      <c r="H4" s="8"/>
      <c r="I4" s="8"/>
      <c r="J4" s="8"/>
    </row>
    <row r="5" spans="2:11" ht="12.75">
      <c r="B5" s="55" t="s">
        <v>40</v>
      </c>
      <c r="C5" s="28"/>
      <c r="D5" s="28"/>
      <c r="E5" s="40"/>
      <c r="F5" s="56" t="s">
        <v>364</v>
      </c>
      <c r="G5" s="8"/>
      <c r="H5" s="8"/>
      <c r="I5" s="8"/>
      <c r="J5" s="8"/>
      <c r="K5" s="8"/>
    </row>
    <row r="6" spans="2:11" ht="12.75">
      <c r="B6" s="28"/>
      <c r="C6" s="28"/>
      <c r="D6" s="28"/>
      <c r="E6" s="102"/>
      <c r="F6" s="56" t="s">
        <v>363</v>
      </c>
      <c r="G6" s="8"/>
      <c r="H6" s="8"/>
      <c r="I6" s="8"/>
      <c r="J6" s="8"/>
      <c r="K6" s="8"/>
    </row>
    <row r="7" spans="2:11" ht="12.75">
      <c r="B7" s="28"/>
      <c r="C7" s="28"/>
      <c r="D7" s="28"/>
      <c r="E7" s="8"/>
      <c r="F7" s="56"/>
      <c r="G7" s="8"/>
      <c r="H7" s="8"/>
      <c r="I7" s="8"/>
      <c r="J7" s="8"/>
      <c r="K7" s="8"/>
    </row>
    <row r="8" spans="2:11" ht="12.75">
      <c r="B8" s="116"/>
      <c r="C8" s="28"/>
      <c r="D8" s="28"/>
      <c r="E8" s="8"/>
      <c r="F8" s="56"/>
      <c r="G8" s="8"/>
      <c r="H8" s="8"/>
      <c r="I8" s="8"/>
      <c r="J8" s="8"/>
      <c r="K8" s="8"/>
    </row>
    <row r="9" spans="2:13" s="5" customFormat="1" ht="12.75">
      <c r="B9" s="85" t="s">
        <v>0</v>
      </c>
      <c r="F9" s="11" t="str">
        <f>'2.Yhteenveto'!G11</f>
        <v>Alajärvi</v>
      </c>
      <c r="G9" s="88"/>
      <c r="H9" s="28"/>
      <c r="I9" s="28"/>
      <c r="M9" s="229"/>
    </row>
    <row r="10" spans="2:13" s="5" customFormat="1" ht="12.75">
      <c r="B10" s="85" t="str">
        <f>'2.Yhteenveto'!B12</f>
        <v>Asukasluku 31.12.2017:</v>
      </c>
      <c r="F10" s="150">
        <f>'2.Yhteenveto'!$H$12</f>
        <v>9831</v>
      </c>
      <c r="G10" s="88"/>
      <c r="H10" s="28"/>
      <c r="I10" s="28"/>
      <c r="M10" s="229"/>
    </row>
    <row r="11" spans="3:11" ht="12.75">
      <c r="C11" s="36" t="s">
        <v>414</v>
      </c>
      <c r="F11" s="173"/>
      <c r="G11" s="116"/>
      <c r="H11" s="8"/>
      <c r="I11" s="8"/>
      <c r="J11" s="8"/>
      <c r="K11" s="27"/>
    </row>
    <row r="12" spans="3:11" ht="12.75">
      <c r="C12" s="36"/>
      <c r="F12" s="8"/>
      <c r="G12" s="116"/>
      <c r="H12" s="8"/>
      <c r="I12" s="8"/>
      <c r="J12" s="8"/>
      <c r="K12" s="27"/>
    </row>
    <row r="13" spans="2:11" ht="14.25">
      <c r="B13" s="28" t="s">
        <v>498</v>
      </c>
      <c r="F13" s="222">
        <f>INDEX(muutla_12,MATCH(F9,kunta,0),1,1)</f>
        <v>9.745048670724213</v>
      </c>
      <c r="G13" s="28" t="s">
        <v>570</v>
      </c>
      <c r="H13" s="72"/>
      <c r="I13" s="8"/>
      <c r="J13" s="8"/>
      <c r="K13" s="27"/>
    </row>
    <row r="14" spans="5:11" ht="12.75">
      <c r="E14" s="8"/>
      <c r="F14" s="9"/>
      <c r="G14" s="8"/>
      <c r="H14" s="8"/>
      <c r="I14" s="8"/>
      <c r="J14" s="8"/>
      <c r="K14" s="8"/>
    </row>
    <row r="15" spans="2:11" ht="12.75">
      <c r="B15" s="27" t="s">
        <v>415</v>
      </c>
      <c r="F15" s="8"/>
      <c r="G15" s="8"/>
      <c r="H15" s="8"/>
      <c r="I15" s="8"/>
      <c r="J15" s="8"/>
      <c r="K15" s="19"/>
    </row>
    <row r="16" spans="2:11" ht="12.75">
      <c r="B16" s="72" t="s">
        <v>633</v>
      </c>
      <c r="F16" s="8"/>
      <c r="G16" s="8"/>
      <c r="H16" s="8"/>
      <c r="I16" s="8"/>
      <c r="J16" s="8"/>
      <c r="K16" s="19"/>
    </row>
    <row r="17" spans="5:11" ht="12.75">
      <c r="E17" s="36"/>
      <c r="F17" s="60"/>
      <c r="G17" s="8"/>
      <c r="H17" s="73"/>
      <c r="I17" s="73"/>
      <c r="J17" s="8"/>
      <c r="K17" s="19"/>
    </row>
    <row r="18" spans="3:11" ht="12.75">
      <c r="C18" s="28" t="s">
        <v>54</v>
      </c>
      <c r="G18" s="72" t="s">
        <v>712</v>
      </c>
      <c r="J18" s="8"/>
      <c r="K18" s="352">
        <f>'10.Lukio'!J58</f>
        <v>0</v>
      </c>
    </row>
    <row r="19" spans="3:11" ht="12.75">
      <c r="C19" s="28" t="s">
        <v>16</v>
      </c>
      <c r="F19" s="8"/>
      <c r="G19" s="72" t="s">
        <v>711</v>
      </c>
      <c r="J19" s="8"/>
      <c r="K19" s="30"/>
    </row>
    <row r="20" spans="5:11" ht="12.75">
      <c r="E20" s="8"/>
      <c r="F20" s="8"/>
      <c r="G20" s="8"/>
      <c r="H20" s="8"/>
      <c r="I20" s="8"/>
      <c r="J20" s="8"/>
      <c r="K20" s="19"/>
    </row>
    <row r="21" spans="2:11" ht="12.75">
      <c r="B21" s="117" t="s">
        <v>373</v>
      </c>
      <c r="C21" s="90"/>
      <c r="D21" s="90"/>
      <c r="E21" s="90"/>
      <c r="F21" s="113"/>
      <c r="G21" s="112"/>
      <c r="H21" s="131"/>
      <c r="I21" s="131"/>
      <c r="J21" s="112"/>
      <c r="K21" s="114">
        <f>SUM(K18:K19)</f>
        <v>0</v>
      </c>
    </row>
    <row r="22" spans="5:11" ht="12.75">
      <c r="E22" s="8"/>
      <c r="F22" s="8"/>
      <c r="G22" s="8"/>
      <c r="H22" s="8"/>
      <c r="I22" s="8"/>
      <c r="J22" s="8"/>
      <c r="K22" s="19"/>
    </row>
    <row r="23" spans="5:11" ht="12.75">
      <c r="E23" s="8"/>
      <c r="F23" s="8"/>
      <c r="G23" s="8"/>
      <c r="H23" s="8"/>
      <c r="I23" s="8"/>
      <c r="J23" s="8"/>
      <c r="K23" s="19"/>
    </row>
    <row r="24" spans="2:11" ht="12.75">
      <c r="B24" s="27" t="s">
        <v>710</v>
      </c>
      <c r="E24" s="8"/>
      <c r="F24" s="8"/>
      <c r="G24" s="8"/>
      <c r="H24" s="8"/>
      <c r="I24" s="8"/>
      <c r="J24" s="8"/>
      <c r="K24" s="19"/>
    </row>
    <row r="25" spans="2:11" ht="12.75">
      <c r="B25" s="27"/>
      <c r="E25" s="8"/>
      <c r="F25" s="8"/>
      <c r="G25" s="8"/>
      <c r="H25" s="8"/>
      <c r="I25" s="8"/>
      <c r="J25" s="8"/>
      <c r="K25" s="19"/>
    </row>
    <row r="26" spans="3:11" ht="12.75">
      <c r="C26" s="5" t="s">
        <v>707</v>
      </c>
      <c r="E26" s="8"/>
      <c r="F26" s="8"/>
      <c r="G26" s="345">
        <v>-80</v>
      </c>
      <c r="H26" s="8" t="s">
        <v>1</v>
      </c>
      <c r="I26" s="8"/>
      <c r="J26" s="19"/>
      <c r="K26" s="87">
        <f>G26*$F$10</f>
        <v>-786480</v>
      </c>
    </row>
    <row r="27" spans="3:11" ht="12.75">
      <c r="C27" s="5" t="s">
        <v>708</v>
      </c>
      <c r="E27" s="8"/>
      <c r="F27" s="8"/>
      <c r="G27" s="345">
        <v>-174</v>
      </c>
      <c r="H27" s="8" t="s">
        <v>1</v>
      </c>
      <c r="I27" s="8"/>
      <c r="J27" s="19"/>
      <c r="K27" s="87">
        <f>G27*$F$10</f>
        <v>-1710594</v>
      </c>
    </row>
    <row r="28" spans="2:13" s="5" customFormat="1" ht="12.75">
      <c r="B28" s="28"/>
      <c r="C28" s="66"/>
      <c r="G28" s="346"/>
      <c r="H28" s="28"/>
      <c r="I28" s="28"/>
      <c r="J28" s="87"/>
      <c r="K28" s="87"/>
      <c r="M28" s="229"/>
    </row>
    <row r="29" spans="2:13" s="5" customFormat="1" ht="12.75">
      <c r="B29" s="117" t="s">
        <v>709</v>
      </c>
      <c r="C29" s="90"/>
      <c r="D29" s="90"/>
      <c r="E29" s="90"/>
      <c r="F29" s="113"/>
      <c r="G29" s="112"/>
      <c r="H29" s="131">
        <f>SUM(G26:G27)</f>
        <v>-254</v>
      </c>
      <c r="I29" s="353" t="s">
        <v>1</v>
      </c>
      <c r="J29" s="112"/>
      <c r="K29" s="114">
        <f>SUM(K26:K27)</f>
        <v>-2497074</v>
      </c>
      <c r="M29" s="229"/>
    </row>
    <row r="30" ht="14.25">
      <c r="E30" s="47"/>
    </row>
    <row r="31" ht="14.25">
      <c r="E31" s="47"/>
    </row>
    <row r="32" spans="2:11" ht="12.75">
      <c r="B32" s="27" t="s">
        <v>374</v>
      </c>
      <c r="F32" s="8"/>
      <c r="G32" s="8"/>
      <c r="H32" s="8"/>
      <c r="I32" s="8"/>
      <c r="J32" s="8"/>
      <c r="K32" s="33"/>
    </row>
    <row r="33" spans="5:11" ht="12.75">
      <c r="E33" s="8"/>
      <c r="F33" s="8"/>
      <c r="G33" s="8"/>
      <c r="H33" s="8"/>
      <c r="I33" s="235"/>
      <c r="J33" s="8"/>
      <c r="K33" s="19"/>
    </row>
    <row r="34" spans="5:11" ht="12.75">
      <c r="E34" s="28" t="s">
        <v>571</v>
      </c>
      <c r="F34" s="97">
        <f>'8.Kotikuntakorvaukset'!F20</f>
        <v>6600.17</v>
      </c>
      <c r="G34" s="8"/>
      <c r="H34" s="116" t="s">
        <v>634</v>
      </c>
      <c r="I34" s="8"/>
      <c r="J34" s="8"/>
      <c r="K34" s="19"/>
    </row>
    <row r="35" spans="5:11" ht="13.5" thickBot="1">
      <c r="E35" s="106" t="s">
        <v>572</v>
      </c>
      <c r="F35" s="161">
        <f>-160.78-33.3-41.99-84.7</f>
        <v>-320.77</v>
      </c>
      <c r="G35" s="8"/>
      <c r="H35" s="8"/>
      <c r="I35" s="8"/>
      <c r="J35" s="8"/>
      <c r="K35" s="19"/>
    </row>
    <row r="36" spans="5:11" ht="13.5" thickTop="1">
      <c r="E36" s="28" t="s">
        <v>683</v>
      </c>
      <c r="F36" s="237">
        <f>F34+F35</f>
        <v>6279.4</v>
      </c>
      <c r="G36" s="8"/>
      <c r="H36" s="8"/>
      <c r="I36" s="235"/>
      <c r="J36" s="8"/>
      <c r="K36" s="19"/>
    </row>
    <row r="37" spans="5:11" ht="12.75">
      <c r="E37" s="28" t="s">
        <v>614</v>
      </c>
      <c r="F37" s="236">
        <v>0.9897</v>
      </c>
      <c r="G37" s="8"/>
      <c r="H37" s="8"/>
      <c r="I37" s="8"/>
      <c r="J37" s="8"/>
      <c r="K37" s="19"/>
    </row>
    <row r="38" spans="5:11" ht="12.75">
      <c r="E38" s="8"/>
      <c r="F38" s="8"/>
      <c r="G38" s="8"/>
      <c r="H38" s="8"/>
      <c r="I38" s="8"/>
      <c r="J38" s="8"/>
      <c r="K38" s="19"/>
    </row>
    <row r="39" spans="3:11" ht="12.75">
      <c r="C39" s="2"/>
      <c r="D39" s="2"/>
      <c r="E39" s="50"/>
      <c r="F39" s="132" t="s">
        <v>377</v>
      </c>
      <c r="G39" s="105"/>
      <c r="H39" s="105"/>
      <c r="I39" s="132" t="s">
        <v>378</v>
      </c>
      <c r="J39" s="105"/>
      <c r="K39" s="133"/>
    </row>
    <row r="40" spans="3:11" ht="12.75">
      <c r="C40" s="2"/>
      <c r="D40" s="2"/>
      <c r="E40" s="50"/>
      <c r="F40" s="132" t="s">
        <v>4</v>
      </c>
      <c r="G40" s="105" t="s">
        <v>376</v>
      </c>
      <c r="H40" s="105"/>
      <c r="I40" s="132" t="s">
        <v>5</v>
      </c>
      <c r="J40" s="105" t="s">
        <v>6</v>
      </c>
      <c r="K40" s="105" t="s">
        <v>361</v>
      </c>
    </row>
    <row r="41" spans="5:11" ht="12.75">
      <c r="E41" s="8"/>
      <c r="F41" s="8"/>
      <c r="G41" s="66"/>
      <c r="J41" s="8"/>
      <c r="K41" s="19"/>
    </row>
    <row r="42" spans="3:13" ht="12.75">
      <c r="C42" s="27" t="s">
        <v>29</v>
      </c>
      <c r="F42" s="44">
        <f>$F$36</f>
        <v>6279.4</v>
      </c>
      <c r="G42" s="116" t="s">
        <v>38</v>
      </c>
      <c r="I42" s="30"/>
      <c r="J42" s="8">
        <v>1.26</v>
      </c>
      <c r="K42" s="19">
        <f>F42*I42*J42*$F$37</f>
        <v>0</v>
      </c>
      <c r="M42" s="229">
        <f>J42*F42</f>
        <v>7912.044</v>
      </c>
    </row>
    <row r="43" spans="3:11" ht="12.75">
      <c r="C43" s="27"/>
      <c r="F43" s="44"/>
      <c r="G43" s="116"/>
      <c r="I43" s="8"/>
      <c r="J43" s="8"/>
      <c r="K43" s="19"/>
    </row>
    <row r="44" spans="3:11" ht="12.75">
      <c r="C44" s="27" t="s">
        <v>28</v>
      </c>
      <c r="F44" s="8"/>
      <c r="J44" s="8"/>
      <c r="K44" s="19"/>
    </row>
    <row r="45" spans="4:13" ht="12.75">
      <c r="D45" s="28" t="s">
        <v>574</v>
      </c>
      <c r="F45" s="44">
        <f>$F$36</f>
        <v>6279.4</v>
      </c>
      <c r="G45" s="116" t="s">
        <v>38</v>
      </c>
      <c r="I45" s="30"/>
      <c r="J45" s="8">
        <v>4.76</v>
      </c>
      <c r="K45" s="19">
        <f>F45*I45*J45*$F$37</f>
        <v>0</v>
      </c>
      <c r="M45" s="229">
        <f>J45*F45</f>
        <v>29889.943999999996</v>
      </c>
    </row>
    <row r="46" spans="4:13" ht="12.75">
      <c r="D46" s="28" t="s">
        <v>615</v>
      </c>
      <c r="F46" s="44">
        <f>$F$36</f>
        <v>6279.4</v>
      </c>
      <c r="G46" s="116" t="s">
        <v>38</v>
      </c>
      <c r="I46" s="30"/>
      <c r="J46" s="8">
        <v>2.97</v>
      </c>
      <c r="K46" s="19">
        <f>F46*I46*J46*$F$37</f>
        <v>0</v>
      </c>
      <c r="M46" s="229">
        <f>J46*F46</f>
        <v>18649.818</v>
      </c>
    </row>
    <row r="47" spans="5:11" ht="12.75">
      <c r="E47" s="8"/>
      <c r="F47" s="8"/>
      <c r="G47" s="66"/>
      <c r="J47" s="8"/>
      <c r="K47" s="19"/>
    </row>
    <row r="48" spans="3:13" ht="12.75">
      <c r="C48" s="27" t="s">
        <v>45</v>
      </c>
      <c r="F48" s="44">
        <f>$F$36</f>
        <v>6279.4</v>
      </c>
      <c r="G48" s="116" t="s">
        <v>38</v>
      </c>
      <c r="I48" s="30"/>
      <c r="J48" s="8">
        <v>0.46</v>
      </c>
      <c r="K48" s="19">
        <f>F48*I48*J48*$F$37</f>
        <v>0</v>
      </c>
      <c r="M48" s="229">
        <f>J48*F48</f>
        <v>2888.524</v>
      </c>
    </row>
    <row r="49" spans="3:13" ht="12.75">
      <c r="C49" s="27" t="s">
        <v>573</v>
      </c>
      <c r="F49" s="44">
        <f>$F$36</f>
        <v>6279.4</v>
      </c>
      <c r="G49" s="116" t="s">
        <v>38</v>
      </c>
      <c r="I49" s="30"/>
      <c r="J49" s="8">
        <v>1.86</v>
      </c>
      <c r="K49" s="19">
        <f>F49*I49*J49*$F$37</f>
        <v>0</v>
      </c>
      <c r="M49" s="229">
        <f>J49*F49</f>
        <v>11679.684</v>
      </c>
    </row>
    <row r="50" spans="5:11" ht="12.75">
      <c r="E50" s="27"/>
      <c r="F50" s="60"/>
      <c r="G50" s="116"/>
      <c r="I50" s="33"/>
      <c r="J50" s="8"/>
      <c r="K50" s="19"/>
    </row>
    <row r="51" spans="3:11" ht="12.75">
      <c r="C51" s="27" t="s">
        <v>30</v>
      </c>
      <c r="G51" s="66"/>
      <c r="K51" s="64"/>
    </row>
    <row r="52" spans="4:13" ht="12.75">
      <c r="D52" s="28" t="s">
        <v>595</v>
      </c>
      <c r="F52" s="44">
        <f>$F$34+$F$35</f>
        <v>6279.4</v>
      </c>
      <c r="G52" s="116" t="s">
        <v>38</v>
      </c>
      <c r="I52" s="30"/>
      <c r="J52" s="8">
        <v>1.41</v>
      </c>
      <c r="K52" s="19">
        <f>F52*I52*J52*$F$37</f>
        <v>0</v>
      </c>
      <c r="M52" s="229">
        <f>J52*F52</f>
        <v>8853.954</v>
      </c>
    </row>
    <row r="53" spans="4:11" ht="12.75">
      <c r="D53" s="28"/>
      <c r="F53" s="44"/>
      <c r="G53" s="116"/>
      <c r="I53" s="116" t="s">
        <v>617</v>
      </c>
      <c r="J53" s="8"/>
      <c r="K53" s="19"/>
    </row>
    <row r="54" spans="4:13" ht="12.75">
      <c r="D54" s="28" t="s">
        <v>616</v>
      </c>
      <c r="F54" s="44">
        <f>$F$34+$F$35</f>
        <v>6279.4</v>
      </c>
      <c r="G54" s="116" t="s">
        <v>38</v>
      </c>
      <c r="I54" s="30"/>
      <c r="J54" s="8">
        <v>0.046</v>
      </c>
      <c r="K54" s="19">
        <f>F54*I54*J54*$F$37</f>
        <v>0</v>
      </c>
      <c r="M54" s="229">
        <f>J54*F54</f>
        <v>288.8524</v>
      </c>
    </row>
    <row r="55" spans="4:13" ht="14.25">
      <c r="D55" s="28" t="s">
        <v>618</v>
      </c>
      <c r="F55" s="44">
        <v>234.7</v>
      </c>
      <c r="G55" s="116" t="s">
        <v>44</v>
      </c>
      <c r="I55" s="30"/>
      <c r="J55" s="176" t="s">
        <v>41</v>
      </c>
      <c r="K55" s="19">
        <f>F55*I55*$F$37</f>
        <v>0</v>
      </c>
      <c r="M55" s="229">
        <f>F55</f>
        <v>234.7</v>
      </c>
    </row>
    <row r="56" spans="5:11" ht="12.75">
      <c r="E56" s="238" t="s">
        <v>619</v>
      </c>
      <c r="G56" s="116"/>
      <c r="I56" s="8"/>
      <c r="K56" s="19"/>
    </row>
    <row r="57" spans="2:11" ht="14.25">
      <c r="B57" s="134"/>
      <c r="K57" s="64"/>
    </row>
    <row r="58" spans="3:11" ht="12.75">
      <c r="C58" s="27" t="s">
        <v>43</v>
      </c>
      <c r="F58" s="60"/>
      <c r="G58" s="116"/>
      <c r="I58" s="33"/>
      <c r="J58" s="8"/>
      <c r="K58" s="19"/>
    </row>
    <row r="59" spans="4:13" ht="12.75">
      <c r="D59" s="27" t="s">
        <v>42</v>
      </c>
      <c r="F59" s="44">
        <v>3100</v>
      </c>
      <c r="G59" s="116" t="s">
        <v>44</v>
      </c>
      <c r="I59" s="30"/>
      <c r="J59" s="8"/>
      <c r="K59" s="19">
        <f>F59*I59</f>
        <v>0</v>
      </c>
      <c r="M59" s="229">
        <v>3100</v>
      </c>
    </row>
    <row r="60" spans="3:11" ht="12.75">
      <c r="C60" s="27"/>
      <c r="F60" s="60"/>
      <c r="G60" s="116"/>
      <c r="I60" s="33"/>
      <c r="J60" s="8"/>
      <c r="K60" s="19"/>
    </row>
    <row r="61" spans="3:11" ht="12.75">
      <c r="C61" s="27" t="s">
        <v>684</v>
      </c>
      <c r="G61" s="66"/>
      <c r="I61" s="116" t="s">
        <v>620</v>
      </c>
      <c r="K61" s="64"/>
    </row>
    <row r="62" spans="4:13" ht="12.75">
      <c r="D62" s="27" t="s">
        <v>37</v>
      </c>
      <c r="F62" s="44">
        <f>$F$34+$F$35</f>
        <v>6279.4</v>
      </c>
      <c r="G62" s="116" t="s">
        <v>38</v>
      </c>
      <c r="I62" s="30"/>
      <c r="J62" s="8">
        <v>0.186</v>
      </c>
      <c r="K62" s="19">
        <f>F62*I62*J62*$F$37</f>
        <v>0</v>
      </c>
      <c r="M62" s="229">
        <f>J62*F62</f>
        <v>1167.9684</v>
      </c>
    </row>
    <row r="63" spans="4:11" ht="12.75">
      <c r="D63" s="28"/>
      <c r="F63" s="44"/>
      <c r="G63" s="116"/>
      <c r="J63" s="8"/>
      <c r="K63" s="19"/>
    </row>
    <row r="64" spans="5:11" ht="12.75">
      <c r="E64" s="8"/>
      <c r="F64" s="8"/>
      <c r="G64" s="8"/>
      <c r="H64" s="8"/>
      <c r="I64" s="8"/>
      <c r="J64" s="8"/>
      <c r="K64" s="19"/>
    </row>
    <row r="65" spans="2:11" ht="12.75">
      <c r="B65" s="89" t="s">
        <v>379</v>
      </c>
      <c r="C65" s="90"/>
      <c r="D65" s="90"/>
      <c r="E65" s="111"/>
      <c r="F65" s="112"/>
      <c r="G65" s="112"/>
      <c r="H65" s="112"/>
      <c r="I65" s="112"/>
      <c r="J65" s="112"/>
      <c r="K65" s="114">
        <f>SUM(K42:K63)</f>
        <v>0</v>
      </c>
    </row>
    <row r="66" spans="5:11" ht="12.75">
      <c r="E66" s="8"/>
      <c r="F66" s="8"/>
      <c r="G66" s="8"/>
      <c r="H66" s="8"/>
      <c r="I66" s="8"/>
      <c r="J66" s="8"/>
      <c r="K66" s="19"/>
    </row>
    <row r="67" spans="5:11" ht="14.25">
      <c r="E67" s="47"/>
      <c r="K67" s="64"/>
    </row>
    <row r="68" spans="5:11" ht="14.25">
      <c r="E68" s="47"/>
      <c r="K68" s="122" t="s">
        <v>387</v>
      </c>
    </row>
    <row r="69" spans="2:11" ht="12.75">
      <c r="B69" s="1" t="s">
        <v>375</v>
      </c>
      <c r="E69" s="27"/>
      <c r="F69" s="27"/>
      <c r="G69" s="8"/>
      <c r="H69" s="27"/>
      <c r="I69" s="27"/>
      <c r="J69" s="27"/>
      <c r="K69" s="19"/>
    </row>
    <row r="70" spans="5:11" ht="12.75">
      <c r="E70" s="8"/>
      <c r="F70" s="27"/>
      <c r="G70" s="8"/>
      <c r="H70" s="27"/>
      <c r="I70" s="27"/>
      <c r="J70" s="27"/>
      <c r="K70" s="19"/>
    </row>
    <row r="71" spans="3:11" ht="12.75">
      <c r="C71" s="2"/>
      <c r="D71" s="2"/>
      <c r="E71" s="50"/>
      <c r="F71" s="132" t="s">
        <v>377</v>
      </c>
      <c r="G71" s="132"/>
      <c r="H71" s="132" t="s">
        <v>380</v>
      </c>
      <c r="I71" s="132" t="s">
        <v>381</v>
      </c>
      <c r="J71" s="132" t="s">
        <v>383</v>
      </c>
      <c r="K71" s="223"/>
    </row>
    <row r="72" spans="3:11" ht="12.75">
      <c r="C72" s="2"/>
      <c r="D72" s="2"/>
      <c r="E72" s="50"/>
      <c r="F72" s="132" t="s">
        <v>4</v>
      </c>
      <c r="G72" s="132" t="s">
        <v>376</v>
      </c>
      <c r="H72" s="132" t="s">
        <v>5</v>
      </c>
      <c r="I72" s="132" t="s">
        <v>382</v>
      </c>
      <c r="J72" s="132" t="s">
        <v>6</v>
      </c>
      <c r="K72" s="223" t="s">
        <v>361</v>
      </c>
    </row>
    <row r="73" spans="5:11" ht="12.75">
      <c r="E73" s="8"/>
      <c r="F73" s="27"/>
      <c r="G73" s="8"/>
      <c r="H73" s="27"/>
      <c r="I73" s="27"/>
      <c r="J73" s="27"/>
      <c r="K73" s="19"/>
    </row>
    <row r="74" spans="3:11" ht="12.75">
      <c r="C74" s="27" t="s">
        <v>7</v>
      </c>
      <c r="F74" s="44">
        <v>26</v>
      </c>
      <c r="G74" s="116" t="s">
        <v>621</v>
      </c>
      <c r="H74" s="40"/>
      <c r="I74" s="32">
        <v>0.57</v>
      </c>
      <c r="J74" s="27"/>
      <c r="K74" s="19">
        <f>F74*H74*I74</f>
        <v>0</v>
      </c>
    </row>
    <row r="75" spans="5:11" ht="12.75">
      <c r="E75" s="28"/>
      <c r="F75" s="44"/>
      <c r="G75" s="116"/>
      <c r="H75" s="8"/>
      <c r="I75" s="8"/>
      <c r="J75" s="8"/>
      <c r="K75" s="19"/>
    </row>
    <row r="76" spans="3:11" ht="12.75">
      <c r="C76" s="27" t="s">
        <v>630</v>
      </c>
      <c r="F76" s="44"/>
      <c r="G76" s="116"/>
      <c r="H76" s="8"/>
      <c r="I76" s="8"/>
      <c r="J76" s="8"/>
      <c r="K76" s="19"/>
    </row>
    <row r="77" spans="4:11" ht="12.75">
      <c r="D77" s="28" t="s">
        <v>631</v>
      </c>
      <c r="F77" s="44">
        <v>76.82</v>
      </c>
      <c r="G77" s="116" t="s">
        <v>623</v>
      </c>
      <c r="H77" s="30"/>
      <c r="I77" s="34">
        <v>0.57</v>
      </c>
      <c r="J77" s="26"/>
      <c r="K77" s="19">
        <f>F77*H77*I77</f>
        <v>0</v>
      </c>
    </row>
    <row r="78" spans="4:11" ht="12.75">
      <c r="D78" s="8"/>
      <c r="F78" s="44"/>
      <c r="G78" s="116"/>
      <c r="H78" s="116"/>
      <c r="I78" s="34"/>
      <c r="J78" s="26"/>
      <c r="K78" s="19"/>
    </row>
    <row r="79" spans="3:11" ht="12.75">
      <c r="C79" s="27" t="s">
        <v>8</v>
      </c>
      <c r="F79" s="44">
        <v>84.65</v>
      </c>
      <c r="G79" s="116" t="s">
        <v>623</v>
      </c>
      <c r="H79" s="30"/>
      <c r="I79" s="34">
        <v>0.57</v>
      </c>
      <c r="J79" s="8"/>
      <c r="K79" s="19">
        <f>F79*H79*I79</f>
        <v>0</v>
      </c>
    </row>
    <row r="80" spans="4:6" ht="12.75">
      <c r="D80" s="28"/>
      <c r="F80" s="44"/>
    </row>
    <row r="81" spans="3:11" ht="12.75">
      <c r="C81" s="27" t="s">
        <v>622</v>
      </c>
      <c r="F81" s="44">
        <v>297.48</v>
      </c>
      <c r="G81" s="239" t="s">
        <v>624</v>
      </c>
      <c r="H81" s="30"/>
      <c r="I81" s="34">
        <v>0.57</v>
      </c>
      <c r="J81" s="8"/>
      <c r="K81" s="19">
        <f>F81*H81*I81</f>
        <v>0</v>
      </c>
    </row>
    <row r="82" spans="3:11" ht="12.75">
      <c r="C82" s="27"/>
      <c r="F82" s="234" t="s">
        <v>629</v>
      </c>
      <c r="G82" s="239"/>
      <c r="H82" s="34"/>
      <c r="I82" s="34"/>
      <c r="J82" s="8"/>
      <c r="K82" s="19"/>
    </row>
    <row r="83" spans="5:11" ht="12.75">
      <c r="E83" s="8"/>
      <c r="F83" s="44"/>
      <c r="G83" s="116"/>
      <c r="H83" s="8"/>
      <c r="I83" s="8"/>
      <c r="J83" s="8"/>
      <c r="K83" s="19"/>
    </row>
    <row r="84" spans="3:11" ht="12.75">
      <c r="C84" s="27" t="s">
        <v>625</v>
      </c>
      <c r="F84" s="44">
        <v>141.28</v>
      </c>
      <c r="G84" s="116" t="s">
        <v>623</v>
      </c>
      <c r="H84" s="30"/>
      <c r="I84" s="34">
        <v>0.65</v>
      </c>
      <c r="J84" s="8"/>
      <c r="K84" s="19">
        <f>F84*H84*I84</f>
        <v>0</v>
      </c>
    </row>
    <row r="85" spans="5:11" ht="12.75">
      <c r="E85" s="8"/>
      <c r="F85" s="44"/>
      <c r="G85" s="116"/>
      <c r="H85" s="8"/>
      <c r="I85" s="8"/>
      <c r="J85" s="8"/>
      <c r="K85" s="19"/>
    </row>
    <row r="86" spans="3:11" ht="12.75">
      <c r="C86" s="27" t="s">
        <v>626</v>
      </c>
      <c r="F86" s="44">
        <v>156.94</v>
      </c>
      <c r="G86" s="116" t="s">
        <v>623</v>
      </c>
      <c r="H86" s="30"/>
      <c r="I86" s="34">
        <v>0.57</v>
      </c>
      <c r="J86" s="8"/>
      <c r="K86" s="19">
        <f>F86*H86*I86</f>
        <v>0</v>
      </c>
    </row>
    <row r="87" spans="5:11" ht="12.75">
      <c r="E87" s="8"/>
      <c r="F87" s="44"/>
      <c r="G87" s="116"/>
      <c r="H87" s="8"/>
      <c r="I87" s="8"/>
      <c r="J87" s="8"/>
      <c r="K87" s="19"/>
    </row>
    <row r="88" spans="3:11" ht="12.75">
      <c r="C88" s="27" t="s">
        <v>627</v>
      </c>
      <c r="F88" s="44">
        <v>88.2</v>
      </c>
      <c r="G88" s="116" t="s">
        <v>628</v>
      </c>
      <c r="H88" s="30"/>
      <c r="I88" s="34">
        <v>0.65</v>
      </c>
      <c r="J88" s="8"/>
      <c r="K88" s="19">
        <f>F88*H88*I88</f>
        <v>0</v>
      </c>
    </row>
    <row r="89" spans="5:11" ht="12.75">
      <c r="E89" s="8"/>
      <c r="F89" s="44"/>
      <c r="G89" s="116"/>
      <c r="H89" s="8"/>
      <c r="I89" s="8"/>
      <c r="J89" s="8"/>
      <c r="K89" s="19"/>
    </row>
    <row r="90" spans="3:11" ht="12.75">
      <c r="C90" s="27" t="s">
        <v>9</v>
      </c>
      <c r="F90" s="44">
        <v>12</v>
      </c>
      <c r="G90" s="116" t="s">
        <v>1</v>
      </c>
      <c r="H90" s="19">
        <f>F10</f>
        <v>9831</v>
      </c>
      <c r="I90" s="35">
        <v>0.297</v>
      </c>
      <c r="J90" s="26"/>
      <c r="K90" s="19">
        <f>F90*H90*I90</f>
        <v>35037.684</v>
      </c>
    </row>
    <row r="91" spans="3:11" ht="12.75">
      <c r="C91" s="8"/>
      <c r="F91" s="44"/>
      <c r="G91" s="116"/>
      <c r="H91" s="8"/>
      <c r="I91" s="8"/>
      <c r="J91" s="26"/>
      <c r="K91" s="19"/>
    </row>
    <row r="92" spans="3:11" ht="12.75">
      <c r="C92" s="27" t="s">
        <v>10</v>
      </c>
      <c r="F92" s="44">
        <v>15</v>
      </c>
      <c r="G92" s="116" t="s">
        <v>11</v>
      </c>
      <c r="H92" s="33">
        <f>F11</f>
        <v>0</v>
      </c>
      <c r="I92" s="35">
        <v>0.297</v>
      </c>
      <c r="J92" s="26"/>
      <c r="K92" s="19">
        <f>F92*H92*I92</f>
        <v>0</v>
      </c>
    </row>
    <row r="93" spans="3:11" ht="12.75">
      <c r="C93" s="8"/>
      <c r="F93" s="44"/>
      <c r="G93" s="116"/>
      <c r="H93" s="8"/>
      <c r="I93" s="8"/>
      <c r="J93" s="26"/>
      <c r="K93" s="19"/>
    </row>
    <row r="94" spans="3:11" ht="12.75">
      <c r="C94" s="27" t="s">
        <v>12</v>
      </c>
      <c r="F94" s="64">
        <v>67543</v>
      </c>
      <c r="G94" s="116" t="s">
        <v>13</v>
      </c>
      <c r="H94" s="30"/>
      <c r="I94" s="34">
        <v>0.37</v>
      </c>
      <c r="J94" s="26"/>
      <c r="K94" s="19">
        <f>F94*H94*I94</f>
        <v>0</v>
      </c>
    </row>
    <row r="95" spans="3:11" ht="12.75">
      <c r="C95" s="8"/>
      <c r="F95" s="64"/>
      <c r="G95" s="116"/>
      <c r="H95" s="19"/>
      <c r="I95" s="8"/>
      <c r="J95" s="26"/>
      <c r="K95" s="19"/>
    </row>
    <row r="96" spans="3:11" ht="12.75">
      <c r="C96" s="27" t="s">
        <v>14</v>
      </c>
      <c r="F96" s="64">
        <v>52225</v>
      </c>
      <c r="G96" s="116" t="s">
        <v>13</v>
      </c>
      <c r="H96" s="30"/>
      <c r="I96" s="34">
        <v>0.37</v>
      </c>
      <c r="J96" s="26"/>
      <c r="K96" s="19">
        <f>F96*H96*I96</f>
        <v>0</v>
      </c>
    </row>
    <row r="97" spans="3:11" ht="12.75">
      <c r="C97" s="8"/>
      <c r="F97" s="64"/>
      <c r="G97" s="116"/>
      <c r="H97" s="19"/>
      <c r="I97" s="8"/>
      <c r="J97" s="26"/>
      <c r="K97" s="19"/>
    </row>
    <row r="98" spans="3:11" ht="12.75">
      <c r="C98" s="27" t="s">
        <v>15</v>
      </c>
      <c r="F98" s="64">
        <v>49184</v>
      </c>
      <c r="G98" s="116" t="s">
        <v>13</v>
      </c>
      <c r="H98" s="30"/>
      <c r="I98" s="34">
        <v>0.37</v>
      </c>
      <c r="J98" s="26"/>
      <c r="K98" s="19">
        <f>F98*H98*I98</f>
        <v>0</v>
      </c>
    </row>
    <row r="99" spans="5:11" ht="12.75">
      <c r="E99" s="8"/>
      <c r="F99" s="8"/>
      <c r="G99" s="116"/>
      <c r="H99" s="8"/>
      <c r="I99" s="8"/>
      <c r="J99" s="8"/>
      <c r="K99" s="19"/>
    </row>
    <row r="100" spans="2:11" ht="12.75">
      <c r="B100" s="89" t="s">
        <v>385</v>
      </c>
      <c r="C100" s="90"/>
      <c r="D100" s="90"/>
      <c r="E100" s="111"/>
      <c r="F100" s="112"/>
      <c r="G100" s="112"/>
      <c r="H100" s="112"/>
      <c r="I100" s="112"/>
      <c r="J100" s="112"/>
      <c r="K100" s="114">
        <f>SUM(K74:K99)</f>
        <v>35037.684</v>
      </c>
    </row>
    <row r="101" spans="5:11" ht="12">
      <c r="E101" s="8"/>
      <c r="F101" s="8"/>
      <c r="G101" s="8"/>
      <c r="H101" s="8"/>
      <c r="I101" s="8"/>
      <c r="J101" s="8"/>
      <c r="K101" s="19"/>
    </row>
    <row r="102" spans="5:11" ht="12">
      <c r="E102" s="8"/>
      <c r="F102" s="8"/>
      <c r="G102" s="8"/>
      <c r="H102" s="8"/>
      <c r="I102" s="8"/>
      <c r="J102" s="8"/>
      <c r="K102" s="19"/>
    </row>
    <row r="103" spans="2:11" ht="12.75">
      <c r="B103" s="92" t="s">
        <v>384</v>
      </c>
      <c r="C103" s="83"/>
      <c r="D103" s="83"/>
      <c r="E103" s="93"/>
      <c r="F103" s="130"/>
      <c r="G103" s="130"/>
      <c r="H103" s="130"/>
      <c r="I103" s="130"/>
      <c r="J103" s="130"/>
      <c r="K103" s="99">
        <f>K21+K29+K65+K100</f>
        <v>-2462036.316</v>
      </c>
    </row>
    <row r="104" spans="2:11" ht="12">
      <c r="B104" s="354" t="s">
        <v>713</v>
      </c>
      <c r="C104" s="175"/>
      <c r="D104" s="175"/>
      <c r="E104" s="175"/>
      <c r="F104" s="175"/>
      <c r="G104" s="175"/>
      <c r="H104" s="175"/>
      <c r="I104" s="175"/>
      <c r="J104" s="175"/>
      <c r="K104" s="207">
        <f>K21</f>
        <v>0</v>
      </c>
    </row>
    <row r="105" spans="2:11" ht="12">
      <c r="B105" s="354" t="s">
        <v>714</v>
      </c>
      <c r="C105" s="175"/>
      <c r="D105" s="175"/>
      <c r="E105" s="175"/>
      <c r="F105" s="175"/>
      <c r="G105" s="175"/>
      <c r="H105" s="175"/>
      <c r="I105" s="175"/>
      <c r="J105" s="175"/>
      <c r="K105" s="207">
        <f>K65</f>
        <v>0</v>
      </c>
    </row>
    <row r="106" spans="2:11" ht="12">
      <c r="B106" s="356" t="s">
        <v>715</v>
      </c>
      <c r="C106" s="357"/>
      <c r="D106" s="357"/>
      <c r="E106" s="357"/>
      <c r="F106" s="357"/>
      <c r="G106" s="357"/>
      <c r="H106" s="357"/>
      <c r="I106" s="357"/>
      <c r="J106" s="357"/>
      <c r="K106" s="358">
        <f>K100</f>
        <v>35037.684</v>
      </c>
    </row>
    <row r="107" spans="2:11" ht="12">
      <c r="B107" s="354" t="s">
        <v>718</v>
      </c>
      <c r="C107" s="175"/>
      <c r="D107" s="175"/>
      <c r="E107" s="175"/>
      <c r="F107" s="175"/>
      <c r="G107" s="175"/>
      <c r="H107" s="175"/>
      <c r="I107" s="175"/>
      <c r="J107" s="175"/>
      <c r="K107" s="207">
        <f>SUM(K104:K106)</f>
        <v>35037.684</v>
      </c>
    </row>
    <row r="108" spans="2:11" ht="12">
      <c r="B108" s="355" t="s">
        <v>716</v>
      </c>
      <c r="C108" s="175"/>
      <c r="D108" s="175"/>
      <c r="E108" s="175"/>
      <c r="F108" s="175"/>
      <c r="G108" s="175"/>
      <c r="H108" s="175"/>
      <c r="I108" s="175"/>
      <c r="J108" s="175"/>
      <c r="K108" s="207">
        <f>K26</f>
        <v>-786480</v>
      </c>
    </row>
    <row r="109" spans="2:11" ht="12">
      <c r="B109" s="355" t="s">
        <v>717</v>
      </c>
      <c r="C109" s="175"/>
      <c r="D109" s="175"/>
      <c r="E109" s="175"/>
      <c r="F109" s="175"/>
      <c r="G109" s="175"/>
      <c r="H109" s="175"/>
      <c r="I109" s="175"/>
      <c r="J109" s="175"/>
      <c r="K109" s="207">
        <f>K27</f>
        <v>-1710594</v>
      </c>
    </row>
  </sheetData>
  <sheetProtection/>
  <protectedRanges>
    <protectedRange sqref="J79 J81:J82 J84 J86 J88" name="Alue9_1"/>
    <protectedRange sqref="H74:H77 H79 H81 H83:H98" name="Alue8_1"/>
    <protectedRange sqref="F74:F77 F79 F81:F98"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4"/>
  <rowBreaks count="1" manualBreakCount="1">
    <brk id="68" max="10" man="1"/>
  </rowBreaks>
  <drawing r:id="rId3"/>
  <legacyDrawing r:id="rId2"/>
</worksheet>
</file>

<file path=xl/worksheets/sheet12.xml><?xml version="1.0" encoding="utf-8"?>
<worksheet xmlns="http://schemas.openxmlformats.org/spreadsheetml/2006/main" xmlns:r="http://schemas.openxmlformats.org/officeDocument/2006/relationships">
  <sheetPr>
    <tabColor theme="8" tint="0.39998000860214233"/>
    <pageSetUpPr fitToPage="1"/>
  </sheetPr>
  <dimension ref="A1:L59"/>
  <sheetViews>
    <sheetView zoomScalePageLayoutView="0" workbookViewId="0" topLeftCell="A1">
      <selection activeCell="A1" sqref="A1"/>
    </sheetView>
  </sheetViews>
  <sheetFormatPr defaultColWidth="9.140625" defaultRowHeight="12.75"/>
  <cols>
    <col min="1" max="4" width="3.00390625" style="0" customWidth="1"/>
    <col min="5" max="5" width="11.8515625" style="0" customWidth="1"/>
    <col min="6" max="7" width="10.00390625" style="0" customWidth="1"/>
    <col min="8" max="8" width="11.57421875" style="0" customWidth="1"/>
    <col min="9" max="9" width="12.421875" style="0" customWidth="1"/>
    <col min="10" max="11" width="11.7109375" style="0" customWidth="1"/>
    <col min="12" max="12" width="13.421875" style="0" customWidth="1"/>
  </cols>
  <sheetData>
    <row r="1" spans="1:5" ht="18">
      <c r="A1" s="80" t="s">
        <v>724</v>
      </c>
      <c r="E1" s="37"/>
    </row>
    <row r="2" ht="12">
      <c r="E2" s="61"/>
    </row>
    <row r="3" spans="2:10" ht="18">
      <c r="B3" s="501" t="s">
        <v>685</v>
      </c>
      <c r="C3" s="502"/>
      <c r="D3" s="502"/>
      <c r="E3" s="502"/>
      <c r="F3" s="502"/>
      <c r="G3" s="502"/>
      <c r="H3" s="502"/>
      <c r="I3" s="502"/>
      <c r="J3" s="503"/>
    </row>
    <row r="5" spans="2:6" ht="12.75">
      <c r="B5" s="55" t="s">
        <v>40</v>
      </c>
      <c r="C5" s="28"/>
      <c r="D5" s="28"/>
      <c r="E5" s="40"/>
      <c r="F5" s="56" t="s">
        <v>364</v>
      </c>
    </row>
    <row r="6" spans="2:6" ht="12.75">
      <c r="B6" s="28"/>
      <c r="C6" s="28"/>
      <c r="D6" s="28"/>
      <c r="E6" s="102"/>
      <c r="F6" s="56" t="s">
        <v>363</v>
      </c>
    </row>
    <row r="8" spans="2:9" s="5" customFormat="1" ht="12.75">
      <c r="B8" s="85" t="s">
        <v>0</v>
      </c>
      <c r="F8" s="11" t="str">
        <f>'2.Yhteenveto'!G11</f>
        <v>Alajärvi</v>
      </c>
      <c r="G8" s="88"/>
      <c r="H8" s="241" t="s">
        <v>704</v>
      </c>
      <c r="I8" s="28"/>
    </row>
    <row r="9" spans="2:9" s="5" customFormat="1" ht="12.75">
      <c r="B9" s="85" t="str">
        <f>'2.Yhteenveto'!B12</f>
        <v>Asukasluku 31.12.2017:</v>
      </c>
      <c r="F9" s="150">
        <f>'2.Yhteenveto'!$H$12</f>
        <v>9831</v>
      </c>
      <c r="G9" s="88"/>
      <c r="H9" s="241" t="s">
        <v>703</v>
      </c>
      <c r="I9" s="28"/>
    </row>
    <row r="10" ht="12.75">
      <c r="H10" s="241" t="s">
        <v>702</v>
      </c>
    </row>
    <row r="11" spans="2:10" ht="15.75">
      <c r="B11" s="1" t="s">
        <v>388</v>
      </c>
      <c r="E11" s="4"/>
      <c r="J11" s="44"/>
    </row>
    <row r="12" spans="3:10" ht="12.75">
      <c r="C12" s="2"/>
      <c r="E12" s="2"/>
      <c r="F12" s="38"/>
      <c r="G12" s="2"/>
      <c r="H12" s="2"/>
      <c r="J12" s="342"/>
    </row>
    <row r="13" spans="3:11" ht="12.75">
      <c r="C13" s="5" t="s">
        <v>17</v>
      </c>
      <c r="F13" s="2"/>
      <c r="G13" s="2"/>
      <c r="H13" s="97">
        <v>5906.12</v>
      </c>
      <c r="I13" s="343" t="s">
        <v>686</v>
      </c>
      <c r="J13" s="2"/>
      <c r="K13" s="2"/>
    </row>
    <row r="14" spans="3:12" ht="12.75">
      <c r="C14" s="5" t="s">
        <v>18</v>
      </c>
      <c r="F14" s="2"/>
      <c r="G14" s="2"/>
      <c r="H14" s="344">
        <v>0.918461</v>
      </c>
      <c r="I14" s="343" t="s">
        <v>705</v>
      </c>
      <c r="J14" s="2"/>
      <c r="K14" s="2"/>
      <c r="L14" s="66"/>
    </row>
    <row r="15" spans="5:11" ht="12.75">
      <c r="E15" s="2"/>
      <c r="F15" s="2"/>
      <c r="G15" s="2"/>
      <c r="H15" s="39"/>
      <c r="I15" s="2"/>
      <c r="J15" s="2"/>
      <c r="K15" s="2"/>
    </row>
    <row r="16" spans="5:11" ht="12.75">
      <c r="E16" s="2"/>
      <c r="F16" s="2"/>
      <c r="G16" s="2"/>
      <c r="I16" s="146" t="s">
        <v>689</v>
      </c>
      <c r="K16" s="2"/>
    </row>
    <row r="17" spans="5:11" ht="12.75">
      <c r="E17" s="2"/>
      <c r="F17" s="2"/>
      <c r="G17" s="2"/>
      <c r="I17" s="146" t="s">
        <v>20</v>
      </c>
      <c r="J17" s="147" t="s">
        <v>19</v>
      </c>
      <c r="K17" s="2"/>
    </row>
    <row r="18" spans="4:11" ht="12.75">
      <c r="D18" s="174" t="s">
        <v>687</v>
      </c>
      <c r="F18" s="2"/>
      <c r="G18" s="2"/>
      <c r="I18" s="40"/>
      <c r="J18" s="2">
        <f>IF(I18=0,0,IF(I18&lt;40,206,IF(I18&lt;60,100+0.4*(200-I18)+2.1*(60-I18),IF(I18&lt;200,100+0.4*(200-I18),IF(I18&gt;199,100)))))</f>
        <v>0</v>
      </c>
      <c r="K18" s="2"/>
    </row>
    <row r="19" spans="4:11" ht="12.75">
      <c r="D19" s="174" t="s">
        <v>688</v>
      </c>
      <c r="F19" s="2"/>
      <c r="G19" s="2"/>
      <c r="I19" s="40"/>
      <c r="J19" s="2">
        <f>IF(I19=0,0,IF(I19&lt;40,206,IF(I19&lt;60,100+0.4*(200-I19)+2.1*(60-I19),IF(I19&lt;200,100+0.4*(200-I19),IF(I19&gt;199,100)))))</f>
        <v>0</v>
      </c>
      <c r="K19" s="2"/>
    </row>
    <row r="20" spans="3:11" ht="12.75">
      <c r="C20" s="2" t="s">
        <v>3</v>
      </c>
      <c r="F20" s="2"/>
      <c r="G20" s="2"/>
      <c r="I20" s="41">
        <f>I18+I19</f>
        <v>0</v>
      </c>
      <c r="J20" s="2"/>
      <c r="K20" s="2"/>
    </row>
    <row r="21" spans="6:11" ht="12.75">
      <c r="F21" s="2"/>
      <c r="G21" s="2"/>
      <c r="H21" s="39"/>
      <c r="I21" s="2"/>
      <c r="J21" s="2"/>
      <c r="K21" s="2"/>
    </row>
    <row r="22" spans="3:11" ht="12">
      <c r="C22" s="2" t="s">
        <v>21</v>
      </c>
      <c r="F22" s="2"/>
      <c r="G22" s="2"/>
      <c r="H22" s="39"/>
      <c r="I22" s="2"/>
      <c r="J22" s="42">
        <f>ROUND(IF(I20=0,100,((I18*J18+I19*J19)/I20)),0)</f>
        <v>100</v>
      </c>
      <c r="K22" s="2"/>
    </row>
    <row r="23" spans="6:11" ht="12">
      <c r="F23" s="2"/>
      <c r="G23" s="2"/>
      <c r="H23" s="39"/>
      <c r="I23" s="2"/>
      <c r="J23" s="2"/>
      <c r="K23" s="2"/>
    </row>
    <row r="24" spans="3:11" ht="12">
      <c r="C24" s="5" t="s">
        <v>392</v>
      </c>
      <c r="F24" s="2"/>
      <c r="G24" s="2"/>
      <c r="H24" s="39"/>
      <c r="I24" s="2"/>
      <c r="J24" s="43">
        <f>IF(I20=0,H13*H14,H13*H14*J22/100)</f>
        <v>5424.54088132</v>
      </c>
      <c r="K24" s="2"/>
    </row>
    <row r="25" spans="6:11" ht="12">
      <c r="F25" s="2"/>
      <c r="G25" s="2"/>
      <c r="H25" s="39"/>
      <c r="I25" s="2"/>
      <c r="J25" s="2"/>
      <c r="K25" s="2"/>
    </row>
    <row r="26" spans="3:11" ht="12">
      <c r="C26" s="5" t="s">
        <v>391</v>
      </c>
      <c r="F26" s="2"/>
      <c r="G26" s="2"/>
      <c r="H26" s="39"/>
      <c r="I26" s="2"/>
      <c r="J26" s="31">
        <v>0</v>
      </c>
      <c r="K26" s="2"/>
    </row>
    <row r="27" spans="6:11" ht="12">
      <c r="F27" s="2"/>
      <c r="G27" s="2"/>
      <c r="H27" s="39"/>
      <c r="I27" s="2"/>
      <c r="J27" s="2"/>
      <c r="K27" s="2"/>
    </row>
    <row r="28" spans="2:11" ht="12.75">
      <c r="B28" s="136" t="s">
        <v>420</v>
      </c>
      <c r="C28" s="137"/>
      <c r="D28" s="137"/>
      <c r="E28" s="137"/>
      <c r="F28" s="137"/>
      <c r="G28" s="137"/>
      <c r="H28" s="138"/>
      <c r="I28" s="139">
        <f>ROUND(J24+(J24*J26/100),2)</f>
        <v>5424.54</v>
      </c>
      <c r="J28" s="140" t="s">
        <v>692</v>
      </c>
      <c r="K28" s="2"/>
    </row>
    <row r="29" spans="2:11" ht="12.75">
      <c r="B29" s="141" t="s">
        <v>690</v>
      </c>
      <c r="C29" s="142"/>
      <c r="D29" s="142"/>
      <c r="E29" s="142"/>
      <c r="F29" s="142"/>
      <c r="G29" s="142"/>
      <c r="H29" s="143"/>
      <c r="I29" s="144">
        <f>ROUND(0.65*I28,2)</f>
        <v>3525.95</v>
      </c>
      <c r="J29" s="145" t="s">
        <v>692</v>
      </c>
      <c r="K29" s="2"/>
    </row>
    <row r="30" spans="6:11" ht="12">
      <c r="F30" s="2"/>
      <c r="G30" s="2"/>
      <c r="H30" s="39"/>
      <c r="I30" s="2"/>
      <c r="J30" s="2"/>
      <c r="K30" s="2"/>
    </row>
    <row r="31" spans="2:11" ht="12">
      <c r="B31" s="55" t="s">
        <v>691</v>
      </c>
      <c r="F31" s="2"/>
      <c r="G31" s="2"/>
      <c r="H31" s="39"/>
      <c r="I31" s="2"/>
      <c r="J31" s="2"/>
      <c r="K31" s="2"/>
    </row>
    <row r="32" spans="6:11" ht="12">
      <c r="F32" s="2"/>
      <c r="G32" s="2"/>
      <c r="H32" s="39"/>
      <c r="I32" s="2"/>
      <c r="J32" s="2"/>
      <c r="K32" s="2"/>
    </row>
    <row r="33" spans="2:11" ht="15">
      <c r="B33" s="1" t="s">
        <v>389</v>
      </c>
      <c r="E33" s="4"/>
      <c r="F33" s="2"/>
      <c r="G33" s="2"/>
      <c r="H33" s="39"/>
      <c r="I33" s="2"/>
      <c r="J33" s="2"/>
      <c r="K33" s="2"/>
    </row>
    <row r="34" spans="6:11" ht="12">
      <c r="F34" s="2"/>
      <c r="G34" s="2"/>
      <c r="H34" s="39"/>
      <c r="I34" s="2"/>
      <c r="J34" s="2"/>
      <c r="K34" s="2"/>
    </row>
    <row r="35" spans="6:11" ht="12.75">
      <c r="F35" s="2"/>
      <c r="G35" s="2"/>
      <c r="H35" s="146" t="s">
        <v>689</v>
      </c>
      <c r="I35" s="147" t="s">
        <v>22</v>
      </c>
      <c r="J35" s="2"/>
      <c r="K35" s="2"/>
    </row>
    <row r="36" spans="6:11" ht="12.75">
      <c r="F36" s="2"/>
      <c r="G36" s="2"/>
      <c r="H36" s="146" t="s">
        <v>5</v>
      </c>
      <c r="I36" s="147" t="s">
        <v>693</v>
      </c>
      <c r="J36" s="2"/>
      <c r="K36" s="2"/>
    </row>
    <row r="37" spans="4:11" ht="12">
      <c r="D37" s="5" t="s">
        <v>694</v>
      </c>
      <c r="F37" s="2"/>
      <c r="G37" s="2"/>
      <c r="H37" s="40"/>
      <c r="I37" s="31"/>
      <c r="J37" s="9"/>
      <c r="K37" s="2"/>
    </row>
    <row r="38" spans="4:11" ht="12">
      <c r="D38" s="5" t="s">
        <v>695</v>
      </c>
      <c r="F38" s="2"/>
      <c r="G38" s="2"/>
      <c r="H38" s="40"/>
      <c r="I38" s="31"/>
      <c r="J38" s="9"/>
      <c r="K38" s="2"/>
    </row>
    <row r="39" spans="3:11" ht="12">
      <c r="C39" s="5" t="s">
        <v>696</v>
      </c>
      <c r="F39" s="2"/>
      <c r="G39" s="2"/>
      <c r="H39" s="45">
        <f>(H37*7/12)+(H38*5/12)</f>
        <v>0</v>
      </c>
      <c r="I39" s="45">
        <f>(I37*7/12)+(I38*5/12)</f>
        <v>0</v>
      </c>
      <c r="J39" s="2"/>
      <c r="K39" s="2"/>
    </row>
    <row r="40" spans="6:11" ht="12">
      <c r="F40" s="2"/>
      <c r="G40" s="2"/>
      <c r="H40" s="39"/>
      <c r="I40" s="2"/>
      <c r="J40" s="2"/>
      <c r="K40" s="2"/>
    </row>
    <row r="41" spans="3:11" ht="12">
      <c r="C41" t="s">
        <v>23</v>
      </c>
      <c r="F41" s="2"/>
      <c r="G41" s="2"/>
      <c r="H41" s="39"/>
      <c r="I41" s="2"/>
      <c r="J41" s="31"/>
      <c r="K41" s="2"/>
    </row>
    <row r="42" spans="6:11" ht="12">
      <c r="F42" s="2"/>
      <c r="G42" s="2"/>
      <c r="H42" s="39"/>
      <c r="I42" s="2"/>
      <c r="J42" s="2"/>
      <c r="K42" s="2"/>
    </row>
    <row r="43" spans="6:11" ht="12">
      <c r="F43" s="2"/>
      <c r="G43" s="2"/>
      <c r="H43" s="39"/>
      <c r="I43" s="2"/>
      <c r="J43" s="2"/>
      <c r="K43" s="2"/>
    </row>
    <row r="44" spans="3:11" ht="12">
      <c r="C44" s="5" t="s">
        <v>24</v>
      </c>
      <c r="F44" s="2"/>
      <c r="G44" s="2"/>
      <c r="H44" s="39"/>
      <c r="I44" s="2"/>
      <c r="J44" s="46">
        <f>I28*(H37*7/12+H38*5/12)</f>
        <v>0</v>
      </c>
      <c r="K44" s="2"/>
    </row>
    <row r="45" spans="3:11" ht="12">
      <c r="C45" s="5" t="s">
        <v>701</v>
      </c>
      <c r="F45" s="2"/>
      <c r="G45" s="2"/>
      <c r="H45" s="39"/>
      <c r="I45" s="2"/>
      <c r="J45" s="46">
        <f>I29*(I37*7/12+I38*5/12)</f>
        <v>0</v>
      </c>
      <c r="K45" s="2"/>
    </row>
    <row r="46" spans="3:11" ht="12">
      <c r="C46" s="5" t="s">
        <v>25</v>
      </c>
      <c r="F46" s="2"/>
      <c r="G46" s="2"/>
      <c r="H46" s="39"/>
      <c r="J46" s="46">
        <f>I29*J41</f>
        <v>0</v>
      </c>
      <c r="K46" s="2"/>
    </row>
    <row r="47" spans="3:11" ht="12">
      <c r="C47" s="5"/>
      <c r="F47" s="2"/>
      <c r="G47" s="2"/>
      <c r="H47" s="39"/>
      <c r="J47" s="46"/>
      <c r="K47" s="2"/>
    </row>
    <row r="48" spans="2:11" ht="12.75">
      <c r="B48" s="1" t="s">
        <v>697</v>
      </c>
      <c r="C48" s="5"/>
      <c r="F48" s="2"/>
      <c r="G48" s="2"/>
      <c r="H48" s="3"/>
      <c r="I48" s="146" t="s">
        <v>689</v>
      </c>
      <c r="J48" s="46"/>
      <c r="K48" s="2"/>
    </row>
    <row r="49" spans="3:11" ht="12.75">
      <c r="C49" s="5"/>
      <c r="F49" s="2"/>
      <c r="G49" s="2"/>
      <c r="H49" s="146" t="s">
        <v>44</v>
      </c>
      <c r="I49" s="146" t="s">
        <v>5</v>
      </c>
      <c r="J49" s="46"/>
      <c r="K49" s="2"/>
    </row>
    <row r="50" spans="3:11" ht="12">
      <c r="C50" s="5" t="s">
        <v>698</v>
      </c>
      <c r="F50" s="2"/>
      <c r="G50" s="2"/>
      <c r="H50" s="43">
        <f>J24*1.21</f>
        <v>6563.6944663972</v>
      </c>
      <c r="I50" s="31"/>
      <c r="J50" s="46">
        <f>H50*I50</f>
        <v>0</v>
      </c>
      <c r="K50" s="2"/>
    </row>
    <row r="51" spans="3:11" ht="12">
      <c r="C51" s="5" t="s">
        <v>699</v>
      </c>
      <c r="F51" s="2"/>
      <c r="G51" s="2"/>
      <c r="H51" s="43">
        <f>H50*0.65</f>
        <v>4266.40140315818</v>
      </c>
      <c r="I51" s="31"/>
      <c r="J51" s="46">
        <f>H51*I51</f>
        <v>0</v>
      </c>
      <c r="K51" s="2"/>
    </row>
    <row r="52" spans="3:11" ht="12">
      <c r="C52" s="5" t="s">
        <v>700</v>
      </c>
      <c r="F52" s="2"/>
      <c r="G52" s="2"/>
      <c r="H52" s="43">
        <f>H50*1.44</f>
        <v>9451.720031611967</v>
      </c>
      <c r="I52" s="31"/>
      <c r="J52" s="46">
        <f>H52*I52</f>
        <v>0</v>
      </c>
      <c r="K52" s="2"/>
    </row>
    <row r="53" spans="3:11" ht="12">
      <c r="C53" s="5"/>
      <c r="F53" s="2"/>
      <c r="G53" s="2"/>
      <c r="H53" s="39"/>
      <c r="I53" s="2"/>
      <c r="J53" s="46"/>
      <c r="K53" s="2"/>
    </row>
    <row r="54" ht="12">
      <c r="B54" s="55" t="s">
        <v>26</v>
      </c>
    </row>
    <row r="55" ht="12">
      <c r="B55" s="55" t="s">
        <v>53</v>
      </c>
    </row>
    <row r="56" ht="12">
      <c r="B56" s="55" t="s">
        <v>27</v>
      </c>
    </row>
    <row r="57" spans="3:11" ht="12">
      <c r="C57" s="5"/>
      <c r="F57" s="2"/>
      <c r="G57" s="2"/>
      <c r="H57" s="39"/>
      <c r="I57" s="2"/>
      <c r="J57" s="46"/>
      <c r="K57" s="2"/>
    </row>
    <row r="58" spans="2:11" ht="12.75">
      <c r="B58" s="82" t="s">
        <v>390</v>
      </c>
      <c r="C58" s="83"/>
      <c r="D58" s="83"/>
      <c r="E58" s="101"/>
      <c r="F58" s="83"/>
      <c r="G58" s="83"/>
      <c r="H58" s="148"/>
      <c r="I58" s="83"/>
      <c r="J58" s="84">
        <f>SUM(J44:J52)</f>
        <v>0</v>
      </c>
      <c r="K58" s="2"/>
    </row>
    <row r="59" spans="6:10" ht="12">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hyperlinks>
    <hyperlink ref="H10" r:id="rId1" display="Yksikköhinnan laskenta 2018 / OPH"/>
    <hyperlink ref="H8" r:id="rId2" display="Lisätiedot lukion valtionosuudesta / OPH"/>
    <hyperlink ref="H9" r:id="rId3" display="Raportti vuoden 2017 yksikköhinnoista / OPH"/>
  </hyperlinks>
  <printOptions/>
  <pageMargins left="0.75" right="0.75" top="1" bottom="1" header="0.4921259845" footer="0.4921259845"/>
  <pageSetup fitToHeight="0" fitToWidth="1" horizontalDpi="600" verticalDpi="600" orientation="portrait" paperSize="9" r:id="rId5"/>
  <drawing r:id="rId4"/>
</worksheet>
</file>

<file path=xl/worksheets/sheet2.xml><?xml version="1.0" encoding="utf-8"?>
<worksheet xmlns="http://schemas.openxmlformats.org/spreadsheetml/2006/main" xmlns:r="http://schemas.openxmlformats.org/officeDocument/2006/relationships">
  <sheetPr>
    <tabColor theme="1"/>
    <pageSetUpPr fitToPage="1"/>
  </sheetPr>
  <dimension ref="A1:N19"/>
  <sheetViews>
    <sheetView workbookViewId="0" topLeftCell="A1">
      <selection activeCell="O10" sqref="O10"/>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62"/>
      <c r="L1" s="62"/>
    </row>
    <row r="2" spans="1:12" ht="12.75">
      <c r="A2" s="62"/>
      <c r="L2" s="62"/>
    </row>
    <row r="11" spans="1:14" ht="12">
      <c r="A11" s="5"/>
      <c r="B11" s="5"/>
      <c r="C11" s="5"/>
      <c r="D11" s="5"/>
      <c r="E11" s="5"/>
      <c r="F11" s="5"/>
      <c r="G11" s="5"/>
      <c r="H11" s="5"/>
      <c r="I11" s="5"/>
      <c r="L11" s="5"/>
      <c r="M11" s="5"/>
      <c r="N11" s="5"/>
    </row>
    <row r="12" spans="1:14" ht="12">
      <c r="A12" s="5"/>
      <c r="B12" s="5"/>
      <c r="C12" s="5"/>
      <c r="D12" s="5"/>
      <c r="E12" s="5"/>
      <c r="F12" s="5"/>
      <c r="G12" s="5"/>
      <c r="H12" s="5"/>
      <c r="I12" s="5"/>
      <c r="L12" s="5"/>
      <c r="M12" s="5"/>
      <c r="N12" s="5"/>
    </row>
    <row r="13" spans="1:14" ht="12">
      <c r="A13" s="5"/>
      <c r="B13" s="5"/>
      <c r="C13" s="5"/>
      <c r="D13" s="5"/>
      <c r="E13" s="5"/>
      <c r="F13" s="5"/>
      <c r="G13" s="5"/>
      <c r="H13" s="5"/>
      <c r="I13" s="5"/>
      <c r="L13" s="5"/>
      <c r="M13" s="5"/>
      <c r="N13" s="5"/>
    </row>
    <row r="14" spans="1:14" ht="12">
      <c r="A14" s="5"/>
      <c r="B14" s="5"/>
      <c r="C14" s="5"/>
      <c r="D14" s="5"/>
      <c r="E14" s="5"/>
      <c r="F14" s="5"/>
      <c r="G14" s="5"/>
      <c r="H14" s="5"/>
      <c r="I14" s="5"/>
      <c r="L14" s="5"/>
      <c r="M14" s="5"/>
      <c r="N14" s="5"/>
    </row>
    <row r="15" spans="1:14" ht="12">
      <c r="A15" s="5"/>
      <c r="B15" s="5"/>
      <c r="C15" s="5"/>
      <c r="D15" s="5"/>
      <c r="E15" s="5"/>
      <c r="F15" s="5"/>
      <c r="G15" s="5"/>
      <c r="H15" s="5"/>
      <c r="I15" s="5"/>
      <c r="L15" s="5"/>
      <c r="M15" s="5"/>
      <c r="N15" s="5"/>
    </row>
    <row r="16" spans="1:14" ht="12">
      <c r="A16" s="5"/>
      <c r="B16" s="5"/>
      <c r="C16" s="5"/>
      <c r="D16" s="5"/>
      <c r="E16" s="5"/>
      <c r="F16" s="5"/>
      <c r="G16" s="5"/>
      <c r="H16" s="5"/>
      <c r="I16" s="5"/>
      <c r="L16" s="5"/>
      <c r="M16" s="5"/>
      <c r="N16" s="5"/>
    </row>
    <row r="17" spans="1:14" ht="12">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theme="9" tint="0.39998000860214233"/>
    <pageSetUpPr fitToPage="1"/>
  </sheetPr>
  <dimension ref="A1:BN100"/>
  <sheetViews>
    <sheetView tabSelected="1" zoomScaleSheetLayoutView="100" zoomScalePageLayoutView="0" workbookViewId="0" topLeftCell="A1">
      <selection activeCell="L54" sqref="L54"/>
    </sheetView>
  </sheetViews>
  <sheetFormatPr defaultColWidth="9.140625" defaultRowHeight="12.75"/>
  <cols>
    <col min="1" max="5" width="1.57421875" style="0" customWidth="1"/>
    <col min="6" max="6" width="9.851562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6.421875" style="0" customWidth="1"/>
    <col min="16" max="16" width="4.421875" style="0" customWidth="1"/>
    <col min="17" max="17" width="16.140625" style="0" customWidth="1"/>
    <col min="18" max="18" width="5.421875" style="0" bestFit="1" customWidth="1"/>
    <col min="19" max="19" width="9.28125" style="0" hidden="1" customWidth="1"/>
    <col min="20" max="24" width="1.421875" style="0" hidden="1" customWidth="1"/>
    <col min="25" max="25" width="8.7109375" style="0" hidden="1" customWidth="1"/>
    <col min="26" max="26" width="10.140625" style="0" hidden="1" customWidth="1"/>
    <col min="27" max="27" width="12.140625" style="0" hidden="1" customWidth="1"/>
    <col min="28" max="28" width="12.57421875" style="0" hidden="1" customWidth="1"/>
    <col min="29" max="29" width="9.57421875" style="0" hidden="1" customWidth="1"/>
    <col min="30" max="30" width="11.8515625" style="0" hidden="1" customWidth="1"/>
    <col min="31" max="31" width="14.140625" style="0" hidden="1" customWidth="1"/>
    <col min="32" max="32" width="13.00390625" style="0" hidden="1" customWidth="1"/>
    <col min="33" max="33" width="2.00390625" style="0" hidden="1" customWidth="1"/>
    <col min="34" max="34" width="9.28125" style="0" bestFit="1" customWidth="1"/>
    <col min="35" max="38" width="9.28125" style="0" hidden="1" customWidth="1"/>
    <col min="39" max="44" width="9.28125" style="0" bestFit="1" customWidth="1"/>
    <col min="45" max="45" width="10.57421875" style="0" bestFit="1" customWidth="1"/>
    <col min="46" max="65" width="9.28125" style="0" bestFit="1" customWidth="1"/>
  </cols>
  <sheetData>
    <row r="1" spans="1:32" ht="12">
      <c r="A1" s="80" t="s">
        <v>1170</v>
      </c>
      <c r="C1" s="80"/>
      <c r="D1" s="80"/>
      <c r="E1" s="80"/>
      <c r="T1" s="249" t="s">
        <v>636</v>
      </c>
      <c r="U1" s="250"/>
      <c r="V1" s="251"/>
      <c r="W1" s="251"/>
      <c r="X1" s="251"/>
      <c r="Y1" s="250"/>
      <c r="Z1" s="250"/>
      <c r="AA1" s="250"/>
      <c r="AB1" s="250"/>
      <c r="AC1" s="250"/>
      <c r="AD1" s="250"/>
      <c r="AE1" s="250"/>
      <c r="AF1" s="252"/>
    </row>
    <row r="2" spans="2:32" ht="12">
      <c r="B2" s="57"/>
      <c r="C2" s="57"/>
      <c r="D2" s="57"/>
      <c r="E2" s="57"/>
      <c r="T2" s="253"/>
      <c r="U2" s="254"/>
      <c r="V2" s="254"/>
      <c r="W2" s="254"/>
      <c r="X2" s="254"/>
      <c r="Y2" s="255"/>
      <c r="Z2" s="255"/>
      <c r="AA2" s="255"/>
      <c r="AB2" s="255"/>
      <c r="AC2" s="255"/>
      <c r="AD2" s="255"/>
      <c r="AE2" s="255"/>
      <c r="AF2" s="256"/>
    </row>
    <row r="3" spans="2:32" ht="18">
      <c r="B3" s="501" t="s">
        <v>635</v>
      </c>
      <c r="C3" s="502"/>
      <c r="D3" s="502"/>
      <c r="E3" s="502"/>
      <c r="F3" s="502"/>
      <c r="G3" s="502"/>
      <c r="H3" s="502"/>
      <c r="I3" s="502"/>
      <c r="J3" s="502"/>
      <c r="K3" s="502"/>
      <c r="L3" s="502"/>
      <c r="M3" s="503"/>
      <c r="T3" s="253"/>
      <c r="U3" s="506" t="s">
        <v>650</v>
      </c>
      <c r="V3" s="507"/>
      <c r="W3" s="507"/>
      <c r="X3" s="507"/>
      <c r="Y3" s="507"/>
      <c r="Z3" s="507"/>
      <c r="AA3" s="507"/>
      <c r="AB3" s="507"/>
      <c r="AC3" s="507"/>
      <c r="AD3" s="507"/>
      <c r="AE3" s="507"/>
      <c r="AF3" s="508"/>
    </row>
    <row r="4" spans="20:32" ht="12">
      <c r="T4" s="253"/>
      <c r="U4" s="255"/>
      <c r="V4" s="255"/>
      <c r="W4" s="255"/>
      <c r="X4" s="255"/>
      <c r="Y4" s="255"/>
      <c r="Z4" s="255"/>
      <c r="AA4" s="255"/>
      <c r="AB4" s="255"/>
      <c r="AC4" s="255"/>
      <c r="AD4" s="255"/>
      <c r="AE4" s="255"/>
      <c r="AF4" s="256"/>
    </row>
    <row r="5" spans="4:32" ht="12.75">
      <c r="D5" s="151" t="s">
        <v>398</v>
      </c>
      <c r="T5" s="253"/>
      <c r="U5" s="255"/>
      <c r="V5" s="255"/>
      <c r="W5" s="255"/>
      <c r="X5" s="255"/>
      <c r="Y5" s="257" t="s">
        <v>398</v>
      </c>
      <c r="Z5" s="255"/>
      <c r="AA5" s="255"/>
      <c r="AB5" s="255"/>
      <c r="AC5" s="255"/>
      <c r="AD5" s="255"/>
      <c r="AE5" s="255"/>
      <c r="AF5" s="256"/>
    </row>
    <row r="6" spans="6:32" ht="12.75">
      <c r="F6" s="152"/>
      <c r="G6" s="65" t="s">
        <v>401</v>
      </c>
      <c r="T6" s="253"/>
      <c r="U6" s="255"/>
      <c r="V6" s="255"/>
      <c r="W6" s="255"/>
      <c r="X6" s="255"/>
      <c r="Y6" s="258"/>
      <c r="Z6" s="259" t="s">
        <v>401</v>
      </c>
      <c r="AA6" s="255"/>
      <c r="AB6" s="255"/>
      <c r="AC6" s="255"/>
      <c r="AD6" s="255"/>
      <c r="AE6" s="255"/>
      <c r="AF6" s="256"/>
    </row>
    <row r="7" spans="6:32" ht="12.75">
      <c r="F7" s="77"/>
      <c r="G7" s="65" t="s">
        <v>402</v>
      </c>
      <c r="T7" s="253"/>
      <c r="U7" s="255"/>
      <c r="V7" s="255"/>
      <c r="W7" s="255"/>
      <c r="X7" s="255"/>
      <c r="Y7" s="260"/>
      <c r="Z7" s="259" t="s">
        <v>402</v>
      </c>
      <c r="AA7" s="255"/>
      <c r="AB7" s="255"/>
      <c r="AC7" s="255"/>
      <c r="AD7" s="255"/>
      <c r="AE7" s="255"/>
      <c r="AF7" s="256"/>
    </row>
    <row r="8" spans="6:32" ht="12.75">
      <c r="F8" s="65"/>
      <c r="G8" s="65"/>
      <c r="T8" s="253"/>
      <c r="U8" s="255"/>
      <c r="V8" s="255"/>
      <c r="W8" s="255"/>
      <c r="X8" s="255"/>
      <c r="Y8" s="259"/>
      <c r="Z8" s="259"/>
      <c r="AA8" s="255"/>
      <c r="AB8" s="255"/>
      <c r="AC8" s="255"/>
      <c r="AD8" s="255"/>
      <c r="AE8" s="255"/>
      <c r="AF8" s="256"/>
    </row>
    <row r="9" spans="4:32" ht="12.75">
      <c r="D9" s="66" t="s">
        <v>652</v>
      </c>
      <c r="T9" s="253"/>
      <c r="U9" s="255"/>
      <c r="V9" s="255"/>
      <c r="W9" s="255"/>
      <c r="X9" s="255"/>
      <c r="Y9" s="255"/>
      <c r="Z9" s="255"/>
      <c r="AA9" s="255"/>
      <c r="AB9" s="255"/>
      <c r="AC9" s="255"/>
      <c r="AD9" s="255"/>
      <c r="AE9" s="255"/>
      <c r="AF9" s="256"/>
    </row>
    <row r="10" spans="20:32" ht="12">
      <c r="T10" s="253"/>
      <c r="U10" s="255"/>
      <c r="V10" s="255"/>
      <c r="W10" s="255"/>
      <c r="X10" s="255"/>
      <c r="Y10" s="255"/>
      <c r="Z10" s="255"/>
      <c r="AA10" s="255"/>
      <c r="AB10" s="255"/>
      <c r="AC10" s="255"/>
      <c r="AD10" s="255"/>
      <c r="AE10" s="255"/>
      <c r="AF10" s="256"/>
    </row>
    <row r="11" spans="2:32" ht="17.25">
      <c r="B11" s="1" t="s">
        <v>0</v>
      </c>
      <c r="F11" s="155"/>
      <c r="G11" s="504" t="s">
        <v>60</v>
      </c>
      <c r="H11" s="505"/>
      <c r="I11" s="66" t="s">
        <v>394</v>
      </c>
      <c r="T11" s="253"/>
      <c r="U11" s="261" t="s">
        <v>0</v>
      </c>
      <c r="V11" s="255"/>
      <c r="W11" s="255"/>
      <c r="X11" s="255"/>
      <c r="Y11" s="255"/>
      <c r="Z11" s="509" t="str">
        <f>G11</f>
        <v>Alajärvi</v>
      </c>
      <c r="AA11" s="509"/>
      <c r="AB11" s="262" t="s">
        <v>394</v>
      </c>
      <c r="AC11" s="255"/>
      <c r="AD11" s="255"/>
      <c r="AE11" s="255"/>
      <c r="AF11" s="256"/>
    </row>
    <row r="12" spans="2:32" ht="15">
      <c r="B12" s="1" t="s">
        <v>637</v>
      </c>
      <c r="H12" s="154">
        <f>INDEX(vosC,MATCH($G$11,kunta,0),1,1)</f>
        <v>9831</v>
      </c>
      <c r="I12" s="66"/>
      <c r="T12" s="253"/>
      <c r="U12" s="261" t="s">
        <v>651</v>
      </c>
      <c r="V12" s="255"/>
      <c r="W12" s="255"/>
      <c r="X12" s="255"/>
      <c r="Y12" s="255"/>
      <c r="Z12" s="255"/>
      <c r="AA12" s="263">
        <f>INDEX(vosC,MATCH($G$11,kunta,0),1,1)</f>
        <v>9831</v>
      </c>
      <c r="AB12" s="262" t="s">
        <v>396</v>
      </c>
      <c r="AC12" s="255"/>
      <c r="AD12" s="255"/>
      <c r="AE12" s="255"/>
      <c r="AF12" s="256"/>
    </row>
    <row r="13" spans="2:32" ht="14.25">
      <c r="B13" s="47"/>
      <c r="C13" s="47"/>
      <c r="D13" s="47"/>
      <c r="E13" s="47"/>
      <c r="M13" s="3"/>
      <c r="T13" s="253"/>
      <c r="U13" s="264"/>
      <c r="V13" s="264"/>
      <c r="W13" s="264"/>
      <c r="X13" s="264"/>
      <c r="Y13" s="255"/>
      <c r="Z13" s="255"/>
      <c r="AA13" s="255"/>
      <c r="AB13" s="255"/>
      <c r="AC13" s="255"/>
      <c r="AD13" s="255"/>
      <c r="AE13" s="255"/>
      <c r="AF13" s="265"/>
    </row>
    <row r="14" spans="2:32" ht="12.75">
      <c r="B14" s="1" t="s">
        <v>39</v>
      </c>
      <c r="L14" s="66"/>
      <c r="M14" s="67"/>
      <c r="T14" s="253"/>
      <c r="U14" s="261" t="s">
        <v>39</v>
      </c>
      <c r="V14" s="255"/>
      <c r="W14" s="255"/>
      <c r="X14" s="255"/>
      <c r="Y14" s="255"/>
      <c r="Z14" s="255"/>
      <c r="AA14" s="255"/>
      <c r="AB14" s="255"/>
      <c r="AC14" s="255"/>
      <c r="AD14" s="255"/>
      <c r="AE14" s="262"/>
      <c r="AF14" s="266"/>
    </row>
    <row r="15" spans="2:32" ht="12.75">
      <c r="B15" s="1"/>
      <c r="L15" s="66"/>
      <c r="M15" s="67"/>
      <c r="T15" s="253"/>
      <c r="U15" s="261"/>
      <c r="V15" s="255"/>
      <c r="W15" s="255"/>
      <c r="X15" s="255"/>
      <c r="Y15" s="255"/>
      <c r="Z15" s="255"/>
      <c r="AA15" s="255"/>
      <c r="AB15" s="255"/>
      <c r="AC15" s="255"/>
      <c r="AD15" s="255"/>
      <c r="AE15" s="262"/>
      <c r="AF15" s="266"/>
    </row>
    <row r="16" spans="2:32" ht="12.75">
      <c r="B16" s="1" t="s">
        <v>662</v>
      </c>
      <c r="C16" s="1"/>
      <c r="D16" s="1"/>
      <c r="E16" s="1"/>
      <c r="L16" s="66" t="s">
        <v>361</v>
      </c>
      <c r="M16" s="66" t="s">
        <v>399</v>
      </c>
      <c r="T16" s="253"/>
      <c r="U16" s="261" t="s">
        <v>355</v>
      </c>
      <c r="V16" s="261"/>
      <c r="W16" s="261"/>
      <c r="X16" s="261"/>
      <c r="Y16" s="255"/>
      <c r="Z16" s="255"/>
      <c r="AA16" s="255"/>
      <c r="AB16" s="255"/>
      <c r="AC16" s="255"/>
      <c r="AD16" s="255"/>
      <c r="AE16" s="262" t="s">
        <v>361</v>
      </c>
      <c r="AF16" s="267" t="s">
        <v>399</v>
      </c>
    </row>
    <row r="17" spans="20:32" ht="12">
      <c r="T17" s="253"/>
      <c r="U17" s="255"/>
      <c r="V17" s="255"/>
      <c r="W17" s="255"/>
      <c r="X17" s="255"/>
      <c r="Y17" s="255"/>
      <c r="Z17" s="255"/>
      <c r="AA17" s="255"/>
      <c r="AB17" s="255"/>
      <c r="AC17" s="255"/>
      <c r="AD17" s="255"/>
      <c r="AE17" s="255"/>
      <c r="AF17" s="256"/>
    </row>
    <row r="18" spans="4:32" ht="12.75">
      <c r="D18" s="5" t="s">
        <v>365</v>
      </c>
      <c r="E18" s="5"/>
      <c r="F18" s="5"/>
      <c r="L18" s="79">
        <f>'3.Ikärakenne'!H24</f>
        <v>37379594.9</v>
      </c>
      <c r="M18" s="361">
        <f>L18/$H$12</f>
        <v>3802.2169565659647</v>
      </c>
      <c r="T18" s="253"/>
      <c r="U18" s="255"/>
      <c r="V18" s="255"/>
      <c r="W18" s="255" t="s">
        <v>365</v>
      </c>
      <c r="X18" s="255"/>
      <c r="Y18" s="255"/>
      <c r="Z18" s="255"/>
      <c r="AA18" s="255"/>
      <c r="AB18" s="255"/>
      <c r="AC18" s="255"/>
      <c r="AD18" s="255"/>
      <c r="AE18" s="268">
        <f>'3.Ikärakenne'!Z24</f>
        <v>0</v>
      </c>
      <c r="AF18" s="269">
        <f>AE18/$H$12</f>
        <v>0</v>
      </c>
    </row>
    <row r="19" spans="13:32" ht="12.75">
      <c r="M19" s="361"/>
      <c r="T19" s="253"/>
      <c r="U19" s="255"/>
      <c r="V19" s="255"/>
      <c r="W19" s="255"/>
      <c r="X19" s="255"/>
      <c r="Y19" s="255"/>
      <c r="Z19" s="255"/>
      <c r="AA19" s="255"/>
      <c r="AB19" s="255"/>
      <c r="AC19" s="255"/>
      <c r="AD19" s="255"/>
      <c r="AE19" s="255"/>
      <c r="AF19" s="269"/>
    </row>
    <row r="20" spans="4:32" ht="12.75">
      <c r="D20" s="5" t="s">
        <v>491</v>
      </c>
      <c r="E20" s="5"/>
      <c r="F20" s="5"/>
      <c r="L20" s="79">
        <f>'4.Muut lask. kustannukset'!J15</f>
        <v>15475104.413606359</v>
      </c>
      <c r="M20" s="361">
        <f>L20/$H$12</f>
        <v>1574.1129502193428</v>
      </c>
      <c r="T20" s="253"/>
      <c r="U20" s="255"/>
      <c r="V20" s="255"/>
      <c r="W20" s="255" t="s">
        <v>491</v>
      </c>
      <c r="X20" s="255"/>
      <c r="Y20" s="255"/>
      <c r="Z20" s="255"/>
      <c r="AA20" s="255"/>
      <c r="AB20" s="255"/>
      <c r="AC20" s="255"/>
      <c r="AD20" s="255"/>
      <c r="AE20" s="268">
        <f>'4.Muut lask. kustannukset'!AB15</f>
        <v>0</v>
      </c>
      <c r="AF20" s="269">
        <f>AE20/$H$12</f>
        <v>0</v>
      </c>
    </row>
    <row r="21" spans="13:32" ht="12.75">
      <c r="M21" s="361"/>
      <c r="P21" s="297"/>
      <c r="Q21" s="298" t="s">
        <v>656</v>
      </c>
      <c r="R21" s="299"/>
      <c r="T21" s="253"/>
      <c r="U21" s="255"/>
      <c r="V21" s="255"/>
      <c r="W21" s="255"/>
      <c r="X21" s="255"/>
      <c r="Y21" s="255"/>
      <c r="Z21" s="255"/>
      <c r="AA21" s="255"/>
      <c r="AB21" s="255"/>
      <c r="AC21" s="255"/>
      <c r="AD21" s="255"/>
      <c r="AE21" s="255"/>
      <c r="AF21" s="269"/>
    </row>
    <row r="22" spans="4:32" ht="13.5" thickBot="1">
      <c r="D22" s="159" t="s">
        <v>492</v>
      </c>
      <c r="E22" s="109"/>
      <c r="F22" s="109"/>
      <c r="G22" s="109"/>
      <c r="H22" s="109"/>
      <c r="I22" s="109"/>
      <c r="J22" s="243"/>
      <c r="K22" s="244"/>
      <c r="L22" s="245">
        <f>'4.Muut lask. kustannukset'!J79</f>
        <v>1974339.9068397018</v>
      </c>
      <c r="M22" s="362">
        <f>L22/$H$12</f>
        <v>200.82798360692726</v>
      </c>
      <c r="P22" s="300"/>
      <c r="Q22" s="301" t="s">
        <v>655</v>
      </c>
      <c r="R22" s="302"/>
      <c r="T22" s="253"/>
      <c r="U22" s="255"/>
      <c r="V22" s="255"/>
      <c r="W22" s="270" t="s">
        <v>492</v>
      </c>
      <c r="X22" s="270"/>
      <c r="Y22" s="270"/>
      <c r="Z22" s="270"/>
      <c r="AA22" s="270"/>
      <c r="AB22" s="270"/>
      <c r="AC22" s="271"/>
      <c r="AD22" s="272"/>
      <c r="AE22" s="273">
        <f>'4.Muut lask. kustannukset'!AB79</f>
        <v>0</v>
      </c>
      <c r="AF22" s="274">
        <f>AE22/$H$12</f>
        <v>0</v>
      </c>
    </row>
    <row r="23" spans="3:32" ht="13.5" thickTop="1">
      <c r="C23" s="5" t="s">
        <v>653</v>
      </c>
      <c r="D23" s="5"/>
      <c r="J23" s="33"/>
      <c r="K23" s="3"/>
      <c r="L23" s="246">
        <f>SUM(L18:L22)</f>
        <v>54829039.22044606</v>
      </c>
      <c r="M23" s="361">
        <f>L23/$H$12</f>
        <v>5577.157890392235</v>
      </c>
      <c r="P23" s="303"/>
      <c r="Q23" s="304">
        <v>0.2537</v>
      </c>
      <c r="R23" s="305"/>
      <c r="T23" s="253"/>
      <c r="U23" s="255"/>
      <c r="V23" s="255" t="s">
        <v>648</v>
      </c>
      <c r="W23" s="255"/>
      <c r="X23" s="255"/>
      <c r="Y23" s="255"/>
      <c r="Z23" s="255"/>
      <c r="AA23" s="255"/>
      <c r="AB23" s="255"/>
      <c r="AC23" s="275"/>
      <c r="AD23" s="276"/>
      <c r="AE23" s="275">
        <f>SUM(AE18:AE22)</f>
        <v>0</v>
      </c>
      <c r="AF23" s="269">
        <f>AE23/$H$12</f>
        <v>0</v>
      </c>
    </row>
    <row r="24" spans="13:32" ht="12.75">
      <c r="M24" s="361"/>
      <c r="P24" s="306"/>
      <c r="Q24" s="298" t="s">
        <v>657</v>
      </c>
      <c r="R24" s="307"/>
      <c r="T24" s="253"/>
      <c r="U24" s="255"/>
      <c r="V24" s="255"/>
      <c r="W24" s="255"/>
      <c r="X24" s="255"/>
      <c r="Y24" s="255"/>
      <c r="Z24" s="255"/>
      <c r="AA24" s="255"/>
      <c r="AB24" s="255"/>
      <c r="AC24" s="255"/>
      <c r="AD24" s="255"/>
      <c r="AE24" s="255"/>
      <c r="AF24" s="269"/>
    </row>
    <row r="25" spans="3:32" ht="13.5" thickBot="1">
      <c r="C25" s="159" t="s">
        <v>654</v>
      </c>
      <c r="D25" s="109"/>
      <c r="E25" s="159"/>
      <c r="F25" s="109"/>
      <c r="G25" s="109"/>
      <c r="H25" s="109"/>
      <c r="I25" s="109"/>
      <c r="J25" s="247">
        <f>tiedot!$H$2*(-1)</f>
        <v>-3524.51</v>
      </c>
      <c r="K25" s="184" t="s">
        <v>1</v>
      </c>
      <c r="L25" s="245">
        <f>$J$25*$H$12</f>
        <v>-34649457.81</v>
      </c>
      <c r="M25" s="362">
        <f>L25/$H$12</f>
        <v>-3524.51</v>
      </c>
      <c r="P25" s="308"/>
      <c r="Q25" s="301" t="s">
        <v>655</v>
      </c>
      <c r="R25" s="309"/>
      <c r="T25" s="253"/>
      <c r="U25" s="255"/>
      <c r="V25" s="270" t="s">
        <v>353</v>
      </c>
      <c r="W25" s="270"/>
      <c r="X25" s="270"/>
      <c r="Y25" s="270"/>
      <c r="Z25" s="270"/>
      <c r="AA25" s="270"/>
      <c r="AB25" s="270"/>
      <c r="AC25" s="277">
        <f>tiedot!$H$2*(-1)</f>
        <v>-3524.51</v>
      </c>
      <c r="AD25" s="278" t="s">
        <v>1</v>
      </c>
      <c r="AE25" s="273">
        <f>AC25*AA12</f>
        <v>-34649457.81</v>
      </c>
      <c r="AF25" s="274">
        <f>AE25/$H$12</f>
        <v>-3524.51</v>
      </c>
    </row>
    <row r="26" spans="3:32" ht="13.5" thickTop="1">
      <c r="C26" s="5" t="s">
        <v>649</v>
      </c>
      <c r="E26" s="5"/>
      <c r="J26" s="66"/>
      <c r="K26" s="66"/>
      <c r="L26" s="217">
        <f>L23+L25</f>
        <v>20179581.410446055</v>
      </c>
      <c r="M26" s="361">
        <f>L26/$H$12</f>
        <v>2052.6478903922343</v>
      </c>
      <c r="O26" s="248"/>
      <c r="P26" s="158"/>
      <c r="Q26" s="304">
        <f>L26/L23</f>
        <v>0.36804550466974034</v>
      </c>
      <c r="R26" s="310"/>
      <c r="T26" s="253"/>
      <c r="U26" s="255"/>
      <c r="V26" s="255" t="s">
        <v>649</v>
      </c>
      <c r="W26" s="255"/>
      <c r="X26" s="255"/>
      <c r="Y26" s="255"/>
      <c r="Z26" s="255"/>
      <c r="AA26" s="255"/>
      <c r="AB26" s="255"/>
      <c r="AC26" s="262"/>
      <c r="AD26" s="262"/>
      <c r="AE26" s="279">
        <f>AE23+AE25</f>
        <v>-34649457.81</v>
      </c>
      <c r="AF26" s="269">
        <f>AE26/$H$12</f>
        <v>-3524.51</v>
      </c>
    </row>
    <row r="27" spans="13:32" ht="12.75">
      <c r="M27" s="361"/>
      <c r="T27" s="253"/>
      <c r="U27" s="255"/>
      <c r="V27" s="255"/>
      <c r="W27" s="255"/>
      <c r="X27" s="255"/>
      <c r="Y27" s="255"/>
      <c r="Z27" s="255"/>
      <c r="AA27" s="255"/>
      <c r="AB27" s="255"/>
      <c r="AC27" s="255"/>
      <c r="AD27" s="255"/>
      <c r="AE27" s="255"/>
      <c r="AF27" s="269"/>
    </row>
    <row r="28" spans="4:32" ht="12.75">
      <c r="D28" s="5" t="s">
        <v>493</v>
      </c>
      <c r="E28" s="5"/>
      <c r="F28" s="5"/>
      <c r="L28" s="78">
        <f>'5.Lisäosat'!J35</f>
        <v>351225.5004009403</v>
      </c>
      <c r="M28" s="361">
        <f>L28/$H$12</f>
        <v>35.726324931435286</v>
      </c>
      <c r="O28" s="248">
        <f>L28/$L$49</f>
        <v>0.010083647312917481</v>
      </c>
      <c r="T28" s="253"/>
      <c r="U28" s="255"/>
      <c r="V28" s="255"/>
      <c r="W28" s="255" t="s">
        <v>493</v>
      </c>
      <c r="X28" s="255"/>
      <c r="Y28" s="255"/>
      <c r="Z28" s="255"/>
      <c r="AA28" s="255"/>
      <c r="AB28" s="255"/>
      <c r="AC28" s="255"/>
      <c r="AD28" s="255"/>
      <c r="AE28" s="280">
        <f>'5.Lisäosat'!AB35</f>
        <v>0</v>
      </c>
      <c r="AF28" s="269">
        <f>AE28/$H$12</f>
        <v>0</v>
      </c>
    </row>
    <row r="29" spans="13:32" ht="12.75">
      <c r="M29" s="361"/>
      <c r="T29" s="253"/>
      <c r="U29" s="255"/>
      <c r="V29" s="255"/>
      <c r="W29" s="255"/>
      <c r="X29" s="255"/>
      <c r="Y29" s="255"/>
      <c r="Z29" s="255"/>
      <c r="AA29" s="255"/>
      <c r="AB29" s="255"/>
      <c r="AC29" s="255"/>
      <c r="AD29" s="255"/>
      <c r="AE29" s="255"/>
      <c r="AF29" s="269"/>
    </row>
    <row r="30" spans="4:32" ht="12.75">
      <c r="D30" t="s">
        <v>46</v>
      </c>
      <c r="L30" s="78">
        <f>'6.Vähennykset ja lisäykset'!I86</f>
        <v>3649203.752970079</v>
      </c>
      <c r="M30" s="361">
        <f>L30/$H$12</f>
        <v>371.1935462282656</v>
      </c>
      <c r="O30" s="248">
        <f>L30/$L$49</f>
        <v>0.10476825736149371</v>
      </c>
      <c r="T30" s="253"/>
      <c r="U30" s="255"/>
      <c r="V30" s="255"/>
      <c r="W30" s="255" t="s">
        <v>46</v>
      </c>
      <c r="X30" s="255"/>
      <c r="Y30" s="255"/>
      <c r="Z30" s="255"/>
      <c r="AA30" s="255"/>
      <c r="AB30" s="255"/>
      <c r="AC30" s="255"/>
      <c r="AD30" s="255"/>
      <c r="AE30" s="280">
        <f>'6.Vähennykset ja lisäykset'!AA86</f>
        <v>0</v>
      </c>
      <c r="AF30" s="269">
        <f>AE30/$H$12</f>
        <v>0</v>
      </c>
    </row>
    <row r="31" spans="5:32" ht="12.75">
      <c r="E31" s="240" t="s">
        <v>658</v>
      </c>
      <c r="L31" s="64">
        <f>SUM('6.Vähennykset ja lisäykset'!I59:I77)</f>
        <v>4903701.218322134</v>
      </c>
      <c r="M31" s="361">
        <f>L31/$H$12</f>
        <v>498.7998391132269</v>
      </c>
      <c r="O31" s="248">
        <f>L31/$L$49</f>
        <v>0.14078474813770037</v>
      </c>
      <c r="T31" s="253"/>
      <c r="U31" s="255"/>
      <c r="V31" s="255"/>
      <c r="W31" s="255"/>
      <c r="X31" s="255"/>
      <c r="Y31" s="255"/>
      <c r="Z31" s="255"/>
      <c r="AA31" s="255"/>
      <c r="AB31" s="255"/>
      <c r="AC31" s="255"/>
      <c r="AD31" s="255"/>
      <c r="AE31" s="311"/>
      <c r="AF31" s="269"/>
    </row>
    <row r="32" spans="5:32" ht="12.75">
      <c r="E32" s="240" t="s">
        <v>723</v>
      </c>
      <c r="L32" s="64">
        <f>'6.Vähennykset ja lisäykset'!I48</f>
        <v>-198860.63068338233</v>
      </c>
      <c r="M32" s="361">
        <f>L32/$H$12</f>
        <v>-20.227914828947444</v>
      </c>
      <c r="O32" s="248">
        <f>L32/$L$49</f>
        <v>-0.005709267869065567</v>
      </c>
      <c r="T32" s="253"/>
      <c r="U32" s="255"/>
      <c r="V32" s="255"/>
      <c r="W32" s="255"/>
      <c r="X32" s="255"/>
      <c r="Y32" s="255"/>
      <c r="Z32" s="255"/>
      <c r="AA32" s="255"/>
      <c r="AB32" s="255"/>
      <c r="AC32" s="255"/>
      <c r="AD32" s="255"/>
      <c r="AE32" s="311"/>
      <c r="AF32" s="269"/>
    </row>
    <row r="33" spans="13:32" ht="12.75">
      <c r="M33" s="361"/>
      <c r="T33" s="253"/>
      <c r="U33" s="255"/>
      <c r="V33" s="255"/>
      <c r="W33" s="255"/>
      <c r="X33" s="255"/>
      <c r="Y33" s="255"/>
      <c r="Z33" s="255"/>
      <c r="AA33" s="255"/>
      <c r="AB33" s="255"/>
      <c r="AC33" s="255"/>
      <c r="AD33" s="255"/>
      <c r="AE33" s="255"/>
      <c r="AF33" s="269"/>
    </row>
    <row r="34" spans="4:32" ht="12.75">
      <c r="D34" s="5" t="s">
        <v>578</v>
      </c>
      <c r="L34" s="78">
        <f>'7.Järjestelmämuutos 2015'!J22</f>
        <v>0</v>
      </c>
      <c r="M34" s="361">
        <f>L34/$H$12</f>
        <v>0</v>
      </c>
      <c r="O34" s="248">
        <f>L34/$L$49</f>
        <v>0</v>
      </c>
      <c r="T34" s="253"/>
      <c r="U34" s="255"/>
      <c r="V34" s="255"/>
      <c r="W34" s="255" t="s">
        <v>578</v>
      </c>
      <c r="X34" s="255"/>
      <c r="Y34" s="255"/>
      <c r="Z34" s="255"/>
      <c r="AA34" s="255"/>
      <c r="AB34" s="255"/>
      <c r="AC34" s="255"/>
      <c r="AD34" s="255"/>
      <c r="AE34" s="280">
        <f>'7.Järjestelmämuutos 2015'!AB25</f>
        <v>0</v>
      </c>
      <c r="AF34" s="269">
        <f>AE34/$H$12</f>
        <v>0</v>
      </c>
    </row>
    <row r="35" spans="2:32" ht="12.75">
      <c r="B35" s="53"/>
      <c r="C35" s="156"/>
      <c r="D35" s="156"/>
      <c r="E35" s="156"/>
      <c r="F35" s="156"/>
      <c r="G35" s="156"/>
      <c r="H35" s="156"/>
      <c r="I35" s="156"/>
      <c r="J35" s="156"/>
      <c r="K35" s="156"/>
      <c r="L35" s="156"/>
      <c r="M35" s="363"/>
      <c r="T35" s="253"/>
      <c r="U35" s="255"/>
      <c r="V35" s="281"/>
      <c r="W35" s="281"/>
      <c r="X35" s="281"/>
      <c r="Y35" s="281"/>
      <c r="Z35" s="281"/>
      <c r="AA35" s="281"/>
      <c r="AB35" s="281"/>
      <c r="AC35" s="281"/>
      <c r="AD35" s="281"/>
      <c r="AE35" s="281"/>
      <c r="AF35" s="282"/>
    </row>
    <row r="36" spans="3:32" ht="12.75">
      <c r="C36" s="1" t="s">
        <v>659</v>
      </c>
      <c r="D36" s="1"/>
      <c r="E36" s="1"/>
      <c r="L36" s="58">
        <f>SUM(L26:L34)-L31-L32</f>
        <v>24180010.66381708</v>
      </c>
      <c r="M36" s="364">
        <f>L36/$H$12</f>
        <v>2459.5677615519357</v>
      </c>
      <c r="O36" s="248">
        <f>L36/$L$49</f>
        <v>0.6942055724262053</v>
      </c>
      <c r="T36" s="253"/>
      <c r="U36" s="255"/>
      <c r="V36" s="261" t="s">
        <v>354</v>
      </c>
      <c r="W36" s="261"/>
      <c r="X36" s="261"/>
      <c r="Y36" s="255"/>
      <c r="Z36" s="255"/>
      <c r="AA36" s="255"/>
      <c r="AB36" s="255"/>
      <c r="AC36" s="255"/>
      <c r="AD36" s="255"/>
      <c r="AE36" s="283">
        <f>SUM(AE26:AE34)</f>
        <v>-34649457.81</v>
      </c>
      <c r="AF36" s="284">
        <f>AE36/$H$12</f>
        <v>-3524.51</v>
      </c>
    </row>
    <row r="37" spans="13:32" ht="12">
      <c r="M37" s="64"/>
      <c r="T37" s="253"/>
      <c r="U37" s="255"/>
      <c r="V37" s="255"/>
      <c r="W37" s="255"/>
      <c r="X37" s="255"/>
      <c r="Y37" s="255"/>
      <c r="Z37" s="255"/>
      <c r="AA37" s="255"/>
      <c r="AB37" s="255"/>
      <c r="AC37" s="255"/>
      <c r="AD37" s="255"/>
      <c r="AE37" s="255"/>
      <c r="AF37" s="256"/>
    </row>
    <row r="38" spans="3:32" ht="12.75">
      <c r="C38" s="5" t="s">
        <v>660</v>
      </c>
      <c r="D38" s="5"/>
      <c r="E38" s="5"/>
      <c r="L38" s="153">
        <f>INDEX(tasa_1,MATCH($G$11,kunta,0),1,1)</f>
        <v>9538574.777475446</v>
      </c>
      <c r="M38" s="361">
        <f>L38/$H$12</f>
        <v>970.2547835902194</v>
      </c>
      <c r="O38" s="248">
        <f>L38/$L$49</f>
        <v>0.2738514823500989</v>
      </c>
      <c r="T38" s="253"/>
      <c r="U38" s="255"/>
      <c r="V38" s="255" t="s">
        <v>356</v>
      </c>
      <c r="W38" s="255"/>
      <c r="X38" s="255"/>
      <c r="Y38" s="255"/>
      <c r="Z38" s="255"/>
      <c r="AA38" s="255"/>
      <c r="AB38" s="255"/>
      <c r="AC38" s="255"/>
      <c r="AD38" s="255"/>
      <c r="AE38" s="285">
        <f>INDEX(tasa_1,MATCH($G$11,kunta,0),1,1)</f>
        <v>9538574.777475446</v>
      </c>
      <c r="AF38" s="269">
        <f>AE38/$H$12</f>
        <v>970.2547835902194</v>
      </c>
    </row>
    <row r="39" spans="2:32" ht="13.5" thickBot="1">
      <c r="B39" s="109"/>
      <c r="C39" s="109"/>
      <c r="D39" s="109"/>
      <c r="E39" s="109"/>
      <c r="F39" s="109"/>
      <c r="G39" s="109"/>
      <c r="H39" s="109"/>
      <c r="I39" s="109"/>
      <c r="J39" s="109"/>
      <c r="K39" s="109"/>
      <c r="L39" s="109"/>
      <c r="M39" s="362"/>
      <c r="T39" s="253"/>
      <c r="U39" s="270"/>
      <c r="V39" s="270"/>
      <c r="W39" s="270"/>
      <c r="X39" s="270"/>
      <c r="Y39" s="270"/>
      <c r="Z39" s="270"/>
      <c r="AA39" s="270"/>
      <c r="AB39" s="270"/>
      <c r="AC39" s="270"/>
      <c r="AD39" s="270"/>
      <c r="AE39" s="270"/>
      <c r="AF39" s="274"/>
    </row>
    <row r="40" spans="2:32" ht="13.5" thickTop="1">
      <c r="B40" s="1" t="s">
        <v>661</v>
      </c>
      <c r="C40" s="1"/>
      <c r="D40" s="1"/>
      <c r="E40" s="1"/>
      <c r="L40" s="58">
        <f>L36+L38</f>
        <v>33718585.441292524</v>
      </c>
      <c r="M40" s="361">
        <f>L40/$H$12</f>
        <v>3429.822545142155</v>
      </c>
      <c r="O40" s="248">
        <f>L40/$L$49</f>
        <v>0.9680570547763041</v>
      </c>
      <c r="T40" s="253"/>
      <c r="U40" s="261" t="s">
        <v>357</v>
      </c>
      <c r="V40" s="261"/>
      <c r="W40" s="261"/>
      <c r="X40" s="261"/>
      <c r="Y40" s="255"/>
      <c r="Z40" s="255"/>
      <c r="AA40" s="255"/>
      <c r="AB40" s="255"/>
      <c r="AC40" s="255"/>
      <c r="AD40" s="255"/>
      <c r="AE40" s="283">
        <f>AE36+AE38</f>
        <v>-25110883.032524556</v>
      </c>
      <c r="AF40" s="269">
        <f>AE40/$H$12</f>
        <v>-2554.255216409781</v>
      </c>
    </row>
    <row r="41" spans="13:36" ht="12.75">
      <c r="M41" s="361"/>
      <c r="T41" s="253"/>
      <c r="U41" s="255"/>
      <c r="V41" s="255"/>
      <c r="W41" s="255"/>
      <c r="X41" s="255"/>
      <c r="Y41" s="255"/>
      <c r="Z41" s="255"/>
      <c r="AA41" s="255"/>
      <c r="AB41" s="255"/>
      <c r="AC41" s="255"/>
      <c r="AD41" s="255"/>
      <c r="AE41" s="255"/>
      <c r="AF41" s="269"/>
      <c r="AJ41" s="359" t="s">
        <v>719</v>
      </c>
    </row>
    <row r="42" spans="3:36" ht="12.75">
      <c r="C42" s="1"/>
      <c r="D42" s="1"/>
      <c r="E42" s="1"/>
      <c r="L42" s="360"/>
      <c r="M42" s="64"/>
      <c r="T42" s="253"/>
      <c r="U42" s="261" t="s">
        <v>638</v>
      </c>
      <c r="V42" s="261"/>
      <c r="W42" s="261"/>
      <c r="X42" s="261"/>
      <c r="Y42" s="255"/>
      <c r="Z42" s="255"/>
      <c r="AA42" s="255"/>
      <c r="AB42" s="255"/>
      <c r="AC42" s="255"/>
      <c r="AD42" s="255"/>
      <c r="AE42" s="286">
        <f>INDEX(okm,MATCH($G$11,kunta,0),1,1)</f>
        <v>1112611</v>
      </c>
      <c r="AF42" s="269">
        <f>AE42/$H$12</f>
        <v>113.17373614077917</v>
      </c>
      <c r="AJ42" s="360" t="s">
        <v>720</v>
      </c>
    </row>
    <row r="43" spans="2:36" ht="12.75">
      <c r="B43" s="1" t="s">
        <v>1172</v>
      </c>
      <c r="C43" s="1"/>
      <c r="D43" s="1"/>
      <c r="E43" s="1"/>
      <c r="L43" s="81">
        <f>INDEX(okm,MATCH($G$11,kunta,0),1,1)</f>
        <v>1112611</v>
      </c>
      <c r="M43" s="361">
        <f>L43/$H$12</f>
        <v>113.17373614077917</v>
      </c>
      <c r="O43" s="248">
        <f>L43/$L$49</f>
        <v>0.03194294522369594</v>
      </c>
      <c r="T43" s="253"/>
      <c r="U43" s="261"/>
      <c r="V43" s="261"/>
      <c r="W43" s="261"/>
      <c r="X43" s="261"/>
      <c r="Y43" s="255"/>
      <c r="Z43" s="255"/>
      <c r="AA43" s="255"/>
      <c r="AB43" s="255"/>
      <c r="AC43" s="255"/>
      <c r="AD43" s="255"/>
      <c r="AE43" s="347"/>
      <c r="AF43" s="269"/>
      <c r="AJ43" s="349">
        <f>'9.Opetus ja kulttuuri, muu vos'!K103</f>
        <v>-2462036.316</v>
      </c>
    </row>
    <row r="44" spans="2:37" s="66" customFormat="1" ht="12.75" hidden="1">
      <c r="B44" s="225"/>
      <c r="C44" s="66" t="s">
        <v>721</v>
      </c>
      <c r="D44" s="225"/>
      <c r="E44" s="225"/>
      <c r="F44" s="225"/>
      <c r="G44" s="225"/>
      <c r="H44" s="225"/>
      <c r="I44" s="225"/>
      <c r="J44" s="225"/>
      <c r="L44" s="226"/>
      <c r="M44" s="365"/>
      <c r="T44" s="287"/>
      <c r="U44" s="262"/>
      <c r="V44" s="262" t="s">
        <v>611</v>
      </c>
      <c r="W44" s="262"/>
      <c r="X44" s="262"/>
      <c r="Y44" s="262"/>
      <c r="Z44" s="262"/>
      <c r="AA44" s="262"/>
      <c r="AB44" s="262"/>
      <c r="AC44" s="262"/>
      <c r="AD44" s="262"/>
      <c r="AE44" s="288"/>
      <c r="AF44" s="269"/>
      <c r="AJ44" s="231"/>
      <c r="AK44" s="231"/>
    </row>
    <row r="45" spans="4:36" s="231" customFormat="1" ht="12" hidden="1">
      <c r="D45" s="232" t="s">
        <v>676</v>
      </c>
      <c r="J45" s="313">
        <v>-79</v>
      </c>
      <c r="K45" s="231" t="s">
        <v>1</v>
      </c>
      <c r="L45" s="233">
        <f>J45*$H$12</f>
        <v>-776649</v>
      </c>
      <c r="M45" s="348"/>
      <c r="T45" s="289"/>
      <c r="U45" s="290"/>
      <c r="V45" s="290"/>
      <c r="W45" s="291" t="s">
        <v>612</v>
      </c>
      <c r="X45" s="290"/>
      <c r="Y45" s="290"/>
      <c r="Z45" s="290"/>
      <c r="AA45" s="290"/>
      <c r="AB45" s="290"/>
      <c r="AC45" s="292">
        <v>-255</v>
      </c>
      <c r="AD45" s="290" t="s">
        <v>1</v>
      </c>
      <c r="AE45" s="293">
        <f>AC45*AA12</f>
        <v>-2506905</v>
      </c>
      <c r="AF45" s="294"/>
      <c r="AJ45" s="348">
        <f>'9.Opetus ja kulttuuri, muu vos'!K26</f>
        <v>-786480</v>
      </c>
    </row>
    <row r="46" spans="4:36" s="231" customFormat="1" ht="12" hidden="1">
      <c r="D46" s="232" t="s">
        <v>677</v>
      </c>
      <c r="J46" s="313">
        <v>-175</v>
      </c>
      <c r="K46" s="231" t="s">
        <v>1</v>
      </c>
      <c r="L46" s="233">
        <f>J46*$H$12</f>
        <v>-1720425</v>
      </c>
      <c r="M46" s="348"/>
      <c r="T46" s="289"/>
      <c r="U46" s="290"/>
      <c r="V46" s="290"/>
      <c r="W46" s="291"/>
      <c r="X46" s="290"/>
      <c r="Y46" s="290"/>
      <c r="Z46" s="290"/>
      <c r="AA46" s="290"/>
      <c r="AB46" s="290"/>
      <c r="AC46" s="312"/>
      <c r="AD46" s="290"/>
      <c r="AE46" s="293"/>
      <c r="AF46" s="294"/>
      <c r="AJ46" s="348">
        <f>'9.Opetus ja kulttuuri, muu vos'!K27</f>
        <v>-1710594</v>
      </c>
    </row>
    <row r="47" spans="4:36" s="231" customFormat="1" ht="12" hidden="1">
      <c r="D47" s="232" t="s">
        <v>663</v>
      </c>
      <c r="L47" s="233">
        <f>L43-L45-L46</f>
        <v>3609685</v>
      </c>
      <c r="M47" s="348"/>
      <c r="T47" s="289"/>
      <c r="U47" s="290"/>
      <c r="V47" s="290"/>
      <c r="W47" s="291" t="s">
        <v>613</v>
      </c>
      <c r="X47" s="290"/>
      <c r="Y47" s="290"/>
      <c r="Z47" s="290"/>
      <c r="AA47" s="290"/>
      <c r="AB47" s="290"/>
      <c r="AC47" s="290"/>
      <c r="AD47" s="290"/>
      <c r="AE47" s="293">
        <f>AE42-AE45</f>
        <v>3619516</v>
      </c>
      <c r="AF47" s="294"/>
      <c r="AJ47" s="348">
        <f>AJ43-AJ45-AJ46</f>
        <v>35037.68399999989</v>
      </c>
    </row>
    <row r="48" spans="13:36" ht="12.75">
      <c r="M48" s="64"/>
      <c r="S48" s="231"/>
      <c r="T48" s="231"/>
      <c r="U48" s="231"/>
      <c r="V48" s="231"/>
      <c r="W48" s="231"/>
      <c r="X48" s="231"/>
      <c r="Y48" s="231"/>
      <c r="Z48" s="231"/>
      <c r="AA48" s="231"/>
      <c r="AB48" s="231"/>
      <c r="AC48" s="231"/>
      <c r="AD48" s="231"/>
      <c r="AE48" s="231"/>
      <c r="AF48" s="231"/>
      <c r="AG48" s="231"/>
      <c r="AH48" s="231"/>
      <c r="AJ48" s="231" t="s">
        <v>639</v>
      </c>
    </row>
    <row r="49" spans="1:37" ht="12.75">
      <c r="A49" s="82" t="s">
        <v>639</v>
      </c>
      <c r="B49" s="83"/>
      <c r="C49" s="101"/>
      <c r="D49" s="101"/>
      <c r="E49" s="101"/>
      <c r="F49" s="83"/>
      <c r="G49" s="83"/>
      <c r="H49" s="83"/>
      <c r="I49" s="83"/>
      <c r="J49" s="83"/>
      <c r="K49" s="83"/>
      <c r="L49" s="157">
        <f>L40+L43</f>
        <v>34831196.441292524</v>
      </c>
      <c r="M49" s="366">
        <f>L49/$H$12</f>
        <v>3542.996281282934</v>
      </c>
      <c r="O49" s="248">
        <f>L49/$L$49</f>
        <v>1</v>
      </c>
      <c r="S49" s="231"/>
      <c r="T49" s="231"/>
      <c r="U49" s="231"/>
      <c r="V49" s="231"/>
      <c r="W49" s="231"/>
      <c r="X49" s="231"/>
      <c r="Y49" s="231"/>
      <c r="Z49" s="231"/>
      <c r="AA49" s="231"/>
      <c r="AB49" s="231"/>
      <c r="AC49" s="231"/>
      <c r="AD49" s="231"/>
      <c r="AE49" s="231"/>
      <c r="AF49" s="231"/>
      <c r="AG49" s="231"/>
      <c r="AH49" s="231"/>
      <c r="AJ49" s="350">
        <f>L40+AJ43</f>
        <v>31256549.125292525</v>
      </c>
      <c r="AK49" s="370">
        <f>AJ49/H12</f>
        <v>3179.386545142155</v>
      </c>
    </row>
    <row r="50" spans="13:37" ht="12.75">
      <c r="M50" s="361"/>
      <c r="T50" s="253"/>
      <c r="U50" s="255"/>
      <c r="V50" s="255"/>
      <c r="W50" s="255"/>
      <c r="X50" s="255"/>
      <c r="Y50" s="255"/>
      <c r="Z50" s="255"/>
      <c r="AA50" s="255"/>
      <c r="AB50" s="255"/>
      <c r="AC50" s="255"/>
      <c r="AD50" s="255"/>
      <c r="AE50" s="255"/>
      <c r="AF50" s="269"/>
      <c r="AK50" s="64"/>
    </row>
    <row r="51" spans="2:37" ht="12.75">
      <c r="B51" s="1" t="s">
        <v>664</v>
      </c>
      <c r="C51" s="1"/>
      <c r="D51" s="1"/>
      <c r="E51" s="1"/>
      <c r="M51" s="361"/>
      <c r="T51" s="253"/>
      <c r="U51" s="261" t="s">
        <v>52</v>
      </c>
      <c r="V51" s="261"/>
      <c r="W51" s="261"/>
      <c r="X51" s="261"/>
      <c r="Y51" s="255"/>
      <c r="Z51" s="255"/>
      <c r="AA51" s="255"/>
      <c r="AB51" s="255"/>
      <c r="AC51" s="255"/>
      <c r="AD51" s="255"/>
      <c r="AE51" s="255"/>
      <c r="AF51" s="269"/>
      <c r="AJ51" s="360" t="s">
        <v>722</v>
      </c>
      <c r="AK51" s="64"/>
    </row>
    <row r="52" spans="6:37" ht="12.75">
      <c r="F52" t="s">
        <v>359</v>
      </c>
      <c r="L52" s="79">
        <f>-'8.Kotikuntakorvaukset'!I40</f>
        <v>0</v>
      </c>
      <c r="M52" s="361"/>
      <c r="T52" s="253"/>
      <c r="U52" s="255"/>
      <c r="V52" s="255"/>
      <c r="W52" s="255"/>
      <c r="X52" s="255"/>
      <c r="Y52" s="255" t="s">
        <v>359</v>
      </c>
      <c r="Z52" s="255"/>
      <c r="AA52" s="255"/>
      <c r="AB52" s="255"/>
      <c r="AC52" s="255"/>
      <c r="AD52" s="255"/>
      <c r="AE52" s="268">
        <f>'8.Kotikuntakorvaukset'!Z47*(-1)</f>
        <v>0</v>
      </c>
      <c r="AF52" s="269"/>
      <c r="AJ52" s="79">
        <f>'8.Kotikuntakorvaukset'!H40</f>
        <v>0</v>
      </c>
      <c r="AK52" s="64"/>
    </row>
    <row r="53" spans="6:37" ht="13.5" thickBot="1">
      <c r="F53" s="109" t="s">
        <v>358</v>
      </c>
      <c r="G53" s="109"/>
      <c r="H53" s="109"/>
      <c r="I53" s="109"/>
      <c r="J53" s="109"/>
      <c r="K53" s="109"/>
      <c r="L53" s="220">
        <f>'8.Kotikuntakorvaukset'!I47</f>
        <v>0</v>
      </c>
      <c r="M53" s="361"/>
      <c r="T53" s="253"/>
      <c r="U53" s="255"/>
      <c r="V53" s="255"/>
      <c r="W53" s="255"/>
      <c r="X53" s="255"/>
      <c r="Y53" s="270" t="s">
        <v>358</v>
      </c>
      <c r="Z53" s="270"/>
      <c r="AA53" s="270"/>
      <c r="AB53" s="270"/>
      <c r="AC53" s="270"/>
      <c r="AD53" s="270"/>
      <c r="AE53" s="295">
        <f>'8.Kotikuntakorvaukset'!Z40</f>
        <v>0</v>
      </c>
      <c r="AF53" s="269"/>
      <c r="AJ53" s="220">
        <f>'8.Kotikuntakorvaukset'!H47</f>
        <v>0</v>
      </c>
      <c r="AK53" s="64"/>
    </row>
    <row r="54" spans="5:37" ht="13.5" thickTop="1">
      <c r="E54" s="5" t="s">
        <v>579</v>
      </c>
      <c r="F54" s="5"/>
      <c r="L54" s="221">
        <f>'8.Kotikuntakorvaukset'!H50</f>
        <v>2413616.1673</v>
      </c>
      <c r="M54" s="361"/>
      <c r="T54" s="253"/>
      <c r="U54" s="255"/>
      <c r="V54" s="255"/>
      <c r="W54" s="255"/>
      <c r="X54" s="255" t="s">
        <v>568</v>
      </c>
      <c r="Y54" s="255"/>
      <c r="Z54" s="255"/>
      <c r="AA54" s="255"/>
      <c r="AB54" s="255"/>
      <c r="AC54" s="255"/>
      <c r="AD54" s="255"/>
      <c r="AE54" s="296">
        <f>'8.Kotikuntakorvaukset'!Z50</f>
        <v>0</v>
      </c>
      <c r="AF54" s="269"/>
      <c r="AJ54" s="221">
        <f>AJ53-AJ52</f>
        <v>0</v>
      </c>
      <c r="AK54" s="64"/>
    </row>
    <row r="55" spans="13:37" ht="12">
      <c r="M55" s="64"/>
      <c r="T55" s="253"/>
      <c r="U55" s="255"/>
      <c r="V55" s="255"/>
      <c r="W55" s="255"/>
      <c r="X55" s="255"/>
      <c r="Y55" s="255"/>
      <c r="Z55" s="255"/>
      <c r="AA55" s="255"/>
      <c r="AB55" s="255"/>
      <c r="AC55" s="255"/>
      <c r="AD55" s="255"/>
      <c r="AE55" s="255"/>
      <c r="AF55" s="256"/>
      <c r="AK55" s="64"/>
    </row>
    <row r="56" spans="1:37" s="175" customFormat="1" ht="12.75">
      <c r="A56" s="331" t="s">
        <v>665</v>
      </c>
      <c r="B56" s="332"/>
      <c r="C56" s="333"/>
      <c r="D56" s="333"/>
      <c r="E56" s="333"/>
      <c r="F56" s="332"/>
      <c r="G56" s="332"/>
      <c r="H56" s="332"/>
      <c r="I56" s="332"/>
      <c r="J56" s="332"/>
      <c r="K56" s="332"/>
      <c r="L56" s="334" t="s">
        <v>361</v>
      </c>
      <c r="M56" s="367" t="s">
        <v>399</v>
      </c>
      <c r="T56" s="317" t="s">
        <v>681</v>
      </c>
      <c r="U56" s="318"/>
      <c r="V56" s="319"/>
      <c r="W56" s="319"/>
      <c r="X56" s="319"/>
      <c r="Y56" s="318"/>
      <c r="Z56" s="318"/>
      <c r="AA56" s="318"/>
      <c r="AB56" s="318"/>
      <c r="AC56" s="318"/>
      <c r="AD56" s="318"/>
      <c r="AE56" s="320" t="s">
        <v>361</v>
      </c>
      <c r="AF56" s="321" t="s">
        <v>399</v>
      </c>
      <c r="AJ56" s="231" t="s">
        <v>706</v>
      </c>
      <c r="AK56" s="64"/>
    </row>
    <row r="57" spans="1:37" s="175" customFormat="1" ht="12">
      <c r="A57" s="335"/>
      <c r="B57" s="336" t="s">
        <v>667</v>
      </c>
      <c r="C57" s="337"/>
      <c r="D57" s="337"/>
      <c r="E57" s="337"/>
      <c r="F57" s="336"/>
      <c r="G57" s="336"/>
      <c r="H57" s="336"/>
      <c r="I57" s="336"/>
      <c r="J57" s="336"/>
      <c r="K57" s="336"/>
      <c r="L57" s="338">
        <f>INDEX(vos_maksatus,MATCH($G$11,kunta,0),1,1)</f>
        <v>37244812.608592525</v>
      </c>
      <c r="M57" s="368">
        <f>L57/H12</f>
        <v>3788.5070296605154</v>
      </c>
      <c r="T57" s="322"/>
      <c r="U57" s="323" t="s">
        <v>494</v>
      </c>
      <c r="V57" s="324"/>
      <c r="W57" s="324"/>
      <c r="X57" s="324"/>
      <c r="Y57" s="323"/>
      <c r="Z57" s="323"/>
      <c r="AA57" s="323"/>
      <c r="AB57" s="323"/>
      <c r="AC57" s="323"/>
      <c r="AD57" s="323"/>
      <c r="AE57" s="325">
        <f>INDEX(vos_maks,MATCH($G$11,kunta,0),1,1)</f>
        <v>34831196.441292524</v>
      </c>
      <c r="AF57" s="326">
        <f>AE57/AA12</f>
        <v>3542.996281282934</v>
      </c>
      <c r="AJ57" s="351">
        <f>AJ49+AJ54</f>
        <v>31256549.125292525</v>
      </c>
      <c r="AK57" s="371">
        <f>AJ57/H12</f>
        <v>3179.386545142155</v>
      </c>
    </row>
    <row r="58" spans="1:37" s="175" customFormat="1" ht="12">
      <c r="A58" s="339"/>
      <c r="B58" s="340" t="s">
        <v>666</v>
      </c>
      <c r="C58" s="340"/>
      <c r="D58" s="340"/>
      <c r="E58" s="340"/>
      <c r="F58" s="340"/>
      <c r="G58" s="340"/>
      <c r="H58" s="340"/>
      <c r="I58" s="340"/>
      <c r="J58" s="340"/>
      <c r="K58" s="340"/>
      <c r="L58" s="341">
        <f>L57/12</f>
        <v>3103734.384049377</v>
      </c>
      <c r="M58" s="369">
        <f>L58/H12</f>
        <v>315.70891913837625</v>
      </c>
      <c r="T58" s="327"/>
      <c r="U58" s="328" t="s">
        <v>400</v>
      </c>
      <c r="V58" s="328"/>
      <c r="W58" s="328"/>
      <c r="X58" s="328"/>
      <c r="Y58" s="328"/>
      <c r="Z58" s="328"/>
      <c r="AA58" s="328"/>
      <c r="AB58" s="328"/>
      <c r="AC58" s="328"/>
      <c r="AD58" s="328"/>
      <c r="AE58" s="329">
        <f>AE57/12</f>
        <v>2902599.703441044</v>
      </c>
      <c r="AF58" s="330">
        <f>AE58/AA12</f>
        <v>295.2496901069112</v>
      </c>
      <c r="AJ58"/>
      <c r="AK58" s="64"/>
    </row>
    <row r="59" s="175" customFormat="1" ht="9.75"/>
    <row r="60" ht="12">
      <c r="L60" s="64"/>
    </row>
    <row r="61" ht="12">
      <c r="R61" s="64"/>
    </row>
    <row r="69" ht="12">
      <c r="BN69" s="170"/>
    </row>
    <row r="70" ht="12">
      <c r="BN70" s="170"/>
    </row>
    <row r="71" ht="12">
      <c r="BN71" s="170"/>
    </row>
    <row r="72" ht="12">
      <c r="BN72" s="170"/>
    </row>
    <row r="73" ht="12">
      <c r="BN73" s="170"/>
    </row>
    <row r="74" ht="12">
      <c r="BN74" s="170"/>
    </row>
    <row r="75" ht="12">
      <c r="BN75" s="170"/>
    </row>
    <row r="76" ht="12">
      <c r="BN76" s="170"/>
    </row>
    <row r="77" ht="12">
      <c r="BN77" s="170"/>
    </row>
    <row r="78" ht="12">
      <c r="BN78" s="170"/>
    </row>
    <row r="79" ht="12">
      <c r="BN79" s="170"/>
    </row>
    <row r="80" ht="12">
      <c r="BN80" s="170"/>
    </row>
    <row r="81" ht="12">
      <c r="BN81" s="170"/>
    </row>
    <row r="82" ht="12">
      <c r="BN82" s="170"/>
    </row>
    <row r="83" ht="12">
      <c r="BN83" s="170"/>
    </row>
    <row r="84" ht="12">
      <c r="BN84" s="170"/>
    </row>
    <row r="85" ht="12">
      <c r="BN85" s="170"/>
    </row>
    <row r="86" ht="12">
      <c r="BN86" s="170"/>
    </row>
    <row r="87" ht="12">
      <c r="BN87" s="170"/>
    </row>
    <row r="88" ht="12">
      <c r="BN88" s="170"/>
    </row>
    <row r="89" ht="12">
      <c r="BN89" s="170"/>
    </row>
    <row r="90" ht="12">
      <c r="BN90" s="170"/>
    </row>
    <row r="91" ht="12">
      <c r="BN91" s="170"/>
    </row>
    <row r="92" ht="12">
      <c r="BN92" s="170"/>
    </row>
    <row r="93" ht="12">
      <c r="BN93" s="170"/>
    </row>
    <row r="94" ht="12">
      <c r="BN94" s="170"/>
    </row>
    <row r="95" ht="12">
      <c r="BN95" s="170"/>
    </row>
    <row r="96" ht="12">
      <c r="BN96" s="170"/>
    </row>
    <row r="97" ht="12">
      <c r="BN97" s="170"/>
    </row>
    <row r="98" ht="12">
      <c r="BN98" s="170"/>
    </row>
    <row r="99" ht="12">
      <c r="BN99" s="170"/>
    </row>
    <row r="100" ht="12">
      <c r="BN100" s="170"/>
    </row>
  </sheetData>
  <sheetProtection/>
  <protectedRanges>
    <protectedRange sqref="G11:H11" name="Alue1"/>
    <protectedRange sqref="J25 AC25 AC45:AC46 J45:J46" name="Alue2"/>
    <protectedRange sqref="L38 AE38"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H25"/>
  <sheetViews>
    <sheetView zoomScalePageLayoutView="0" workbookViewId="0" topLeftCell="A2">
      <selection activeCell="G21" sqref="G21"/>
    </sheetView>
  </sheetViews>
  <sheetFormatPr defaultColWidth="9.140625" defaultRowHeight="12.75"/>
  <cols>
    <col min="1" max="4" width="2.140625" style="5" customWidth="1"/>
    <col min="5" max="5" width="18.140625" style="5" customWidth="1"/>
    <col min="6" max="7" width="17.00390625" style="5" customWidth="1"/>
    <col min="8" max="8" width="18.57421875" style="5" customWidth="1"/>
    <col min="9" max="12" width="9.140625" style="5" customWidth="1"/>
    <col min="13" max="13" width="15.57421875" style="5" bestFit="1" customWidth="1"/>
    <col min="14" max="16384" width="9.140625" style="5" customWidth="1"/>
  </cols>
  <sheetData>
    <row r="1" spans="1:8" ht="12.75">
      <c r="A1" s="80" t="str">
        <f>'2.Yhteenveto'!A1</f>
        <v>12.2.2020, Kuntaliitto / Sanna Lehtonen</v>
      </c>
      <c r="E1" s="94"/>
      <c r="F1" s="28"/>
      <c r="G1" s="28"/>
      <c r="H1" s="28"/>
    </row>
    <row r="2" spans="5:8" ht="12.75">
      <c r="E2" s="94"/>
      <c r="F2" s="28"/>
      <c r="G2" s="28"/>
      <c r="H2" s="59"/>
    </row>
    <row r="3" spans="1:8" ht="18">
      <c r="A3" s="501" t="s">
        <v>668</v>
      </c>
      <c r="B3" s="502"/>
      <c r="C3" s="502"/>
      <c r="D3" s="502"/>
      <c r="E3" s="502"/>
      <c r="F3" s="502"/>
      <c r="G3" s="502"/>
      <c r="H3" s="503"/>
    </row>
    <row r="4" spans="1:8" ht="12.75">
      <c r="A4" s="28"/>
      <c r="B4" s="28"/>
      <c r="C4" s="28"/>
      <c r="D4" s="28"/>
      <c r="E4" s="28"/>
      <c r="F4" s="27"/>
      <c r="G4" s="28"/>
      <c r="H4" s="28"/>
    </row>
    <row r="5" spans="1:8" ht="12.75">
      <c r="A5" s="28"/>
      <c r="B5" s="55" t="s">
        <v>40</v>
      </c>
      <c r="C5" s="28"/>
      <c r="D5" s="28"/>
      <c r="E5" s="40"/>
      <c r="F5" s="56" t="s">
        <v>404</v>
      </c>
      <c r="H5" s="65"/>
    </row>
    <row r="6" spans="1:8" ht="12.75">
      <c r="A6" s="28"/>
      <c r="B6" s="28"/>
      <c r="C6" s="28"/>
      <c r="D6" s="28"/>
      <c r="E6" s="102"/>
      <c r="F6" s="56" t="s">
        <v>403</v>
      </c>
      <c r="H6" s="65"/>
    </row>
    <row r="7" spans="1:8" ht="12.75">
      <c r="A7" s="28"/>
      <c r="B7" s="28"/>
      <c r="C7" s="28"/>
      <c r="D7" s="28"/>
      <c r="E7" s="28"/>
      <c r="F7" s="27"/>
      <c r="G7" s="28"/>
      <c r="H7" s="28"/>
    </row>
    <row r="8" spans="2:8" ht="12.75">
      <c r="B8" s="85" t="s">
        <v>0</v>
      </c>
      <c r="F8" s="11" t="str">
        <f>'2.Yhteenveto'!G11</f>
        <v>Alajärvi</v>
      </c>
      <c r="G8" s="88"/>
      <c r="H8" s="28"/>
    </row>
    <row r="9" spans="2:8" ht="12.75">
      <c r="B9" s="85" t="str">
        <f>'2.Yhteenveto'!B12</f>
        <v>Asukasluku 31.12.2017:</v>
      </c>
      <c r="F9" s="150">
        <f>'2.Yhteenveto'!$H$12</f>
        <v>9831</v>
      </c>
      <c r="G9" s="88"/>
      <c r="H9" s="28"/>
    </row>
    <row r="10" spans="5:8" ht="12.75">
      <c r="E10" s="27"/>
      <c r="F10" s="28"/>
      <c r="G10" s="28"/>
      <c r="H10" s="149" t="s">
        <v>2</v>
      </c>
    </row>
    <row r="11" spans="2:8" ht="12.75">
      <c r="B11" s="27"/>
      <c r="F11" s="28"/>
      <c r="G11" s="28"/>
      <c r="H11" s="149" t="s">
        <v>362</v>
      </c>
    </row>
    <row r="12" spans="3:8" ht="18" customHeight="1">
      <c r="C12" s="27" t="s">
        <v>365</v>
      </c>
      <c r="D12" s="27"/>
      <c r="F12" s="104" t="s">
        <v>5</v>
      </c>
      <c r="G12" s="104" t="s">
        <v>369</v>
      </c>
      <c r="H12" s="100"/>
    </row>
    <row r="13" spans="5:8" ht="12">
      <c r="E13" s="28" t="s">
        <v>499</v>
      </c>
      <c r="F13" s="40">
        <f>INDEX(ikar_1,MATCH($F$8,kunta,0),1,1)</f>
        <v>608</v>
      </c>
      <c r="G13" s="96">
        <v>8172.53</v>
      </c>
      <c r="H13" s="87">
        <f aca="true" t="shared" si="0" ref="H13:H21">F13*G13</f>
        <v>4968898.24</v>
      </c>
    </row>
    <row r="14" spans="5:8" ht="12">
      <c r="E14" s="28" t="s">
        <v>34</v>
      </c>
      <c r="F14" s="40">
        <f>INDEX(ikar_2,MATCH($F$8,kunta,0),1,1)</f>
        <v>121</v>
      </c>
      <c r="G14" s="96">
        <v>8677.28</v>
      </c>
      <c r="H14" s="87">
        <f t="shared" si="0"/>
        <v>1049950.8800000001</v>
      </c>
    </row>
    <row r="15" spans="5:8" ht="12">
      <c r="E15" s="28" t="s">
        <v>33</v>
      </c>
      <c r="F15" s="40">
        <f>INDEX(ikar_3,MATCH($F$8,kunta,0),1,1)</f>
        <v>762</v>
      </c>
      <c r="G15" s="96">
        <v>7277.45</v>
      </c>
      <c r="H15" s="87">
        <f t="shared" si="0"/>
        <v>5545416.899999999</v>
      </c>
    </row>
    <row r="16" spans="5:8" ht="12">
      <c r="E16" s="28" t="s">
        <v>32</v>
      </c>
      <c r="F16" s="40">
        <f>INDEX(ikar_4,MATCH($F$8,kunta,0),1,1)</f>
        <v>366</v>
      </c>
      <c r="G16" s="96">
        <v>12502.93</v>
      </c>
      <c r="H16" s="87">
        <f t="shared" si="0"/>
        <v>4576072.38</v>
      </c>
    </row>
    <row r="17" spans="5:8" ht="12">
      <c r="E17" s="28" t="s">
        <v>500</v>
      </c>
      <c r="F17" s="40">
        <f>INDEX(ikar_5,MATCH($F$8,kunta,0),1,1)</f>
        <v>410</v>
      </c>
      <c r="G17" s="96">
        <v>3996.54</v>
      </c>
      <c r="H17" s="87">
        <f t="shared" si="0"/>
        <v>1638581.4</v>
      </c>
    </row>
    <row r="18" spans="5:8" ht="12">
      <c r="E18" s="28" t="s">
        <v>501</v>
      </c>
      <c r="F18" s="40">
        <f>INDEX(ikar_6,MATCH($F$8,kunta,0),1,1)</f>
        <v>4950</v>
      </c>
      <c r="G18" s="96">
        <v>993.6</v>
      </c>
      <c r="H18" s="87">
        <f t="shared" si="0"/>
        <v>4918320</v>
      </c>
    </row>
    <row r="19" spans="5:8" ht="12">
      <c r="E19" s="28" t="s">
        <v>366</v>
      </c>
      <c r="F19" s="40">
        <f>INDEX(ikar_7,MATCH($F$8,kunta,0),1,1)</f>
        <v>1430</v>
      </c>
      <c r="G19" s="96">
        <v>1983.5</v>
      </c>
      <c r="H19" s="87">
        <f t="shared" si="0"/>
        <v>2836405</v>
      </c>
    </row>
    <row r="20" spans="5:8" ht="12">
      <c r="E20" s="28" t="s">
        <v>367</v>
      </c>
      <c r="F20" s="40">
        <f>INDEX(ikar_8,MATCH($F$8,kunta,0),1,1)</f>
        <v>781</v>
      </c>
      <c r="G20" s="96">
        <v>5481.33</v>
      </c>
      <c r="H20" s="87">
        <f t="shared" si="0"/>
        <v>4280918.7299999995</v>
      </c>
    </row>
    <row r="21" spans="3:8" ht="12.75" thickBot="1">
      <c r="C21" s="159"/>
      <c r="D21" s="159"/>
      <c r="E21" s="106" t="s">
        <v>368</v>
      </c>
      <c r="F21" s="160">
        <f>INDEX(ikar_9,MATCH($F$8,kunta,0),1,1)</f>
        <v>403</v>
      </c>
      <c r="G21" s="161">
        <v>18771.79</v>
      </c>
      <c r="H21" s="162">
        <f t="shared" si="0"/>
        <v>7565031.37</v>
      </c>
    </row>
    <row r="22" spans="3:8" ht="13.5" thickTop="1">
      <c r="C22" s="16" t="s">
        <v>360</v>
      </c>
      <c r="D22" s="16"/>
      <c r="F22" s="14">
        <f>SUM(F13:F21)</f>
        <v>9831</v>
      </c>
      <c r="G22" s="227">
        <f>H22/F22</f>
        <v>3802.2169565659647</v>
      </c>
      <c r="H22" s="22">
        <f>SUM(H13:H21)</f>
        <v>37379594.9</v>
      </c>
    </row>
    <row r="23" spans="5:8" ht="12">
      <c r="E23" s="28"/>
      <c r="F23" s="28"/>
      <c r="G23" s="86"/>
      <c r="H23" s="28"/>
    </row>
    <row r="24" spans="1:8" ht="12.75">
      <c r="A24" s="92" t="s">
        <v>669</v>
      </c>
      <c r="B24" s="103"/>
      <c r="C24" s="103"/>
      <c r="D24" s="103"/>
      <c r="E24" s="103"/>
      <c r="F24" s="93"/>
      <c r="G24" s="95"/>
      <c r="H24" s="99">
        <f>H22</f>
        <v>37379594.9</v>
      </c>
    </row>
    <row r="25" ht="12.75">
      <c r="H25" s="135" t="s">
        <v>405</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83"/>
  <sheetViews>
    <sheetView zoomScalePageLayoutView="0" workbookViewId="0" topLeftCell="A66">
      <selection activeCell="H86" sqref="H86"/>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28125" style="0" customWidth="1"/>
    <col min="7" max="7" width="16.00390625" style="0" customWidth="1"/>
    <col min="8" max="8" width="11.140625" style="0" customWidth="1"/>
    <col min="9" max="9" width="6.140625" style="0" customWidth="1"/>
    <col min="10" max="10" width="13.7109375" style="0" bestFit="1" customWidth="1"/>
  </cols>
  <sheetData>
    <row r="1" spans="1:10" ht="12.75">
      <c r="A1" s="80" t="str">
        <f>'2.Yhteenveto'!A1</f>
        <v>12.2.2020, Kuntaliitto / Sanna Lehtonen</v>
      </c>
      <c r="F1" s="94"/>
      <c r="G1" s="6"/>
      <c r="H1" s="6"/>
      <c r="I1" s="6"/>
      <c r="J1" s="6"/>
    </row>
    <row r="2" spans="6:10" ht="12.75">
      <c r="F2" s="94"/>
      <c r="G2" s="6"/>
      <c r="H2" s="6"/>
      <c r="I2" s="6"/>
      <c r="J2" s="6"/>
    </row>
    <row r="3" spans="1:10" ht="15">
      <c r="A3" s="510" t="s">
        <v>502</v>
      </c>
      <c r="B3" s="511"/>
      <c r="C3" s="511"/>
      <c r="D3" s="511"/>
      <c r="E3" s="511"/>
      <c r="F3" s="511"/>
      <c r="G3" s="511"/>
      <c r="H3" s="511"/>
      <c r="I3" s="511"/>
      <c r="J3" s="512"/>
    </row>
    <row r="4" spans="1:10" ht="15">
      <c r="A4" s="513" t="s">
        <v>640</v>
      </c>
      <c r="B4" s="514"/>
      <c r="C4" s="514"/>
      <c r="D4" s="514"/>
      <c r="E4" s="514"/>
      <c r="F4" s="514"/>
      <c r="G4" s="514"/>
      <c r="H4" s="514"/>
      <c r="I4" s="514"/>
      <c r="J4" s="515"/>
    </row>
    <row r="5" spans="6:10" ht="12">
      <c r="F5" s="8"/>
      <c r="G5" s="8"/>
      <c r="H5" s="6"/>
      <c r="I5" s="6"/>
      <c r="J5" s="6"/>
    </row>
    <row r="6" spans="3:10" ht="12">
      <c r="C6" s="55" t="s">
        <v>40</v>
      </c>
      <c r="D6" s="28"/>
      <c r="E6" s="40"/>
      <c r="F6" s="56" t="s">
        <v>404</v>
      </c>
      <c r="I6" s="6"/>
      <c r="J6" s="6"/>
    </row>
    <row r="7" spans="3:10" ht="12">
      <c r="C7" s="28"/>
      <c r="D7" s="28"/>
      <c r="E7" s="102"/>
      <c r="F7" s="56" t="s">
        <v>403</v>
      </c>
      <c r="I7" s="6"/>
      <c r="J7" s="6"/>
    </row>
    <row r="8" spans="6:10" ht="12">
      <c r="F8" s="8"/>
      <c r="G8" s="8"/>
      <c r="H8" s="6"/>
      <c r="I8" s="6"/>
      <c r="J8" s="6"/>
    </row>
    <row r="9" spans="2:10" ht="15.75" customHeight="1">
      <c r="B9" s="85" t="s">
        <v>0</v>
      </c>
      <c r="E9" s="9"/>
      <c r="F9" s="150" t="str">
        <f>'2.Yhteenveto'!G11</f>
        <v>Alajärvi</v>
      </c>
      <c r="H9" s="6"/>
      <c r="I9" s="6"/>
      <c r="J9" s="6"/>
    </row>
    <row r="10" spans="2:10" ht="15.75" customHeight="1">
      <c r="B10" s="85" t="str">
        <f>'2.Yhteenveto'!B12</f>
        <v>Asukasluku 31.12.2017:</v>
      </c>
      <c r="E10" s="8"/>
      <c r="F10" s="150">
        <f>'2.Yhteenveto'!$H$12</f>
        <v>9831</v>
      </c>
      <c r="H10" s="6"/>
      <c r="I10" s="6"/>
      <c r="J10" s="6"/>
    </row>
    <row r="11" spans="2:10" ht="15.75" customHeight="1">
      <c r="B11" s="85"/>
      <c r="E11" s="8"/>
      <c r="G11" s="8"/>
      <c r="H11" s="208"/>
      <c r="I11" s="6"/>
      <c r="J11" s="6"/>
    </row>
    <row r="12" spans="2:10" ht="15.75" customHeight="1">
      <c r="B12" s="27" t="s">
        <v>582</v>
      </c>
      <c r="E12" s="8"/>
      <c r="G12" s="8"/>
      <c r="I12" s="6"/>
      <c r="J12" s="228">
        <f>INDEX(sair_0,MATCH($F$9,kunta,0),1,1)</f>
        <v>1.3888782570734561</v>
      </c>
    </row>
    <row r="13" spans="2:10" ht="15.75" customHeight="1" thickBot="1">
      <c r="B13" s="27"/>
      <c r="C13" s="109" t="s">
        <v>606</v>
      </c>
      <c r="D13" s="109"/>
      <c r="E13" s="201"/>
      <c r="F13" s="109"/>
      <c r="G13" s="201"/>
      <c r="H13" s="109"/>
      <c r="I13" s="201"/>
      <c r="J13" s="197">
        <v>1133.37</v>
      </c>
    </row>
    <row r="14" spans="2:10" ht="15.75" customHeight="1" thickTop="1">
      <c r="B14" s="27"/>
      <c r="E14" s="8"/>
      <c r="G14" s="8"/>
      <c r="I14" s="6"/>
      <c r="J14" s="14">
        <f>F10*J12*J13</f>
        <v>15475104.413606359</v>
      </c>
    </row>
    <row r="15" spans="3:10" ht="15.75" customHeight="1">
      <c r="C15" s="5" t="s">
        <v>503</v>
      </c>
      <c r="E15" s="8"/>
      <c r="G15" s="6"/>
      <c r="I15" s="15"/>
      <c r="J15" s="22">
        <f>INDEX(sair_1,MATCH($F$9,kunta,0),1,1)</f>
        <v>15475104.413606359</v>
      </c>
    </row>
    <row r="16" spans="3:10" ht="15.75" customHeight="1">
      <c r="C16" s="5"/>
      <c r="E16" s="8"/>
      <c r="G16" s="15"/>
      <c r="I16" s="15"/>
      <c r="J16" s="6"/>
    </row>
    <row r="17" spans="2:10" ht="15.75" customHeight="1">
      <c r="B17" s="27" t="s">
        <v>504</v>
      </c>
      <c r="C17" s="5"/>
      <c r="E17" s="8"/>
      <c r="G17" s="15"/>
      <c r="I17" s="15"/>
      <c r="J17" s="6"/>
    </row>
    <row r="18" spans="3:9" ht="15.75" customHeight="1">
      <c r="C18" s="1"/>
      <c r="G18" s="108"/>
      <c r="H18" s="15"/>
      <c r="I18" s="15"/>
    </row>
    <row r="19" spans="3:10" ht="15.75" customHeight="1">
      <c r="C19" s="12" t="s">
        <v>505</v>
      </c>
      <c r="F19" s="122" t="str">
        <f>$F$9</f>
        <v>Alajärvi</v>
      </c>
      <c r="G19" s="135" t="s">
        <v>509</v>
      </c>
      <c r="H19" s="24"/>
      <c r="I19" s="24"/>
      <c r="J19" s="25"/>
    </row>
    <row r="20" spans="4:10" ht="15.75" customHeight="1">
      <c r="D20" s="5" t="s">
        <v>506</v>
      </c>
      <c r="F20" s="30">
        <f>INDEX(muutla_1,MATCH($F$9,kunta,0),1,1)</f>
        <v>398</v>
      </c>
      <c r="G20" s="64">
        <f>SUM(muutla_1)</f>
        <v>302727</v>
      </c>
      <c r="H20" s="17"/>
      <c r="I20" s="18"/>
      <c r="J20" s="19"/>
    </row>
    <row r="21" spans="4:10" ht="15.75" customHeight="1" thickBot="1">
      <c r="D21" s="159" t="s">
        <v>508</v>
      </c>
      <c r="E21" s="185"/>
      <c r="F21" s="183">
        <f>INDEX(muutla_2,MATCH($F$9,kunta,0),1,1)</f>
        <v>4077</v>
      </c>
      <c r="G21" s="172">
        <f>SUM(muutla_2)</f>
        <v>2616227</v>
      </c>
      <c r="H21" s="17"/>
      <c r="I21" s="18"/>
      <c r="J21" s="19"/>
    </row>
    <row r="22" spans="4:9" ht="15.75" customHeight="1" thickTop="1">
      <c r="D22" s="5" t="s">
        <v>507</v>
      </c>
      <c r="F22" s="180">
        <f>F20/F21</f>
        <v>0.09762079960755457</v>
      </c>
      <c r="G22" s="179">
        <f>G20/G21</f>
        <v>0.11571128957846548</v>
      </c>
      <c r="H22" s="230">
        <f>F22/G22</f>
        <v>0.8436583842698988</v>
      </c>
      <c r="I22" s="18"/>
    </row>
    <row r="23" spans="3:10" ht="15.75" customHeight="1" thickBot="1">
      <c r="C23" s="109"/>
      <c r="D23" s="159" t="s">
        <v>406</v>
      </c>
      <c r="E23" s="109"/>
      <c r="F23" s="196"/>
      <c r="G23" s="109"/>
      <c r="H23" s="197">
        <v>88.08</v>
      </c>
      <c r="I23" s="195"/>
      <c r="J23" s="198" t="s">
        <v>361</v>
      </c>
    </row>
    <row r="24" spans="3:10" ht="15.75" customHeight="1" thickTop="1">
      <c r="C24" s="66" t="s">
        <v>526</v>
      </c>
      <c r="D24" s="15"/>
      <c r="H24" s="17"/>
      <c r="I24" s="18"/>
      <c r="J24" s="16">
        <f>H23*$F$10*H22</f>
        <v>730536.0111127096</v>
      </c>
    </row>
    <row r="25" spans="4:10" ht="15.75" customHeight="1">
      <c r="D25" s="15"/>
      <c r="H25" s="17"/>
      <c r="I25" s="18"/>
      <c r="J25" s="19"/>
    </row>
    <row r="26" spans="3:10" ht="15.75" customHeight="1">
      <c r="C26" s="12" t="s">
        <v>510</v>
      </c>
      <c r="D26" s="5"/>
      <c r="F26" s="122" t="str">
        <f>$F$9</f>
        <v>Alajärvi</v>
      </c>
      <c r="G26" s="135" t="s">
        <v>509</v>
      </c>
      <c r="H26" s="24"/>
      <c r="I26" s="24"/>
      <c r="J26" s="25"/>
    </row>
    <row r="27" spans="4:10" ht="15.75" customHeight="1">
      <c r="D27" s="5" t="s">
        <v>511</v>
      </c>
      <c r="F27" s="30">
        <f>INDEX(muutla_4,MATCH($F$9,kunta,0),1,1)</f>
        <v>210</v>
      </c>
      <c r="G27" s="64">
        <f>SUM(muutla_4)</f>
        <v>370937</v>
      </c>
      <c r="H27" s="17"/>
      <c r="I27" s="18"/>
      <c r="J27" s="19"/>
    </row>
    <row r="28" spans="4:10" ht="15.75" customHeight="1">
      <c r="D28" s="192" t="s">
        <v>512</v>
      </c>
      <c r="E28" s="54"/>
      <c r="F28" s="182">
        <f>F27/$F$10</f>
        <v>0.021361000915471468</v>
      </c>
      <c r="G28" s="187">
        <f>SUM(muutla_4)/SUM(vosC)</f>
        <v>0.06764428962435724</v>
      </c>
      <c r="H28" s="17"/>
      <c r="I28" s="18"/>
      <c r="J28" s="19"/>
    </row>
    <row r="29" spans="4:10" ht="15.75" customHeight="1" thickBot="1">
      <c r="D29" s="193" t="s">
        <v>513</v>
      </c>
      <c r="E29" s="189"/>
      <c r="F29" s="190"/>
      <c r="G29" s="191">
        <f>MIN(muutla_5)</f>
        <v>0.004940711462450593</v>
      </c>
      <c r="H29" s="17"/>
      <c r="I29" s="18"/>
      <c r="J29" s="19"/>
    </row>
    <row r="30" spans="4:9" ht="15.75" customHeight="1" thickTop="1">
      <c r="D30" s="5" t="s">
        <v>514</v>
      </c>
      <c r="F30" s="180"/>
      <c r="G30" s="179"/>
      <c r="H30" s="182">
        <f>F28-G29</f>
        <v>0.016420289453020875</v>
      </c>
      <c r="I30" s="18"/>
    </row>
    <row r="31" spans="3:10" ht="15.75" customHeight="1" thickBot="1">
      <c r="C31" s="109"/>
      <c r="D31" s="159" t="s">
        <v>406</v>
      </c>
      <c r="E31" s="109"/>
      <c r="F31" s="196"/>
      <c r="G31" s="109"/>
      <c r="H31" s="199">
        <v>1907.38</v>
      </c>
      <c r="I31" s="195"/>
      <c r="J31" s="198" t="s">
        <v>361</v>
      </c>
    </row>
    <row r="32" spans="3:10" ht="15.75" customHeight="1" thickTop="1">
      <c r="C32" s="66" t="s">
        <v>527</v>
      </c>
      <c r="D32" s="15"/>
      <c r="H32" s="17"/>
      <c r="I32" s="18"/>
      <c r="J32" s="16">
        <f>H31*$F$10*H30</f>
        <v>307904.28231225297</v>
      </c>
    </row>
    <row r="33" spans="4:9" ht="15.75" customHeight="1">
      <c r="D33" s="15"/>
      <c r="H33" s="17"/>
      <c r="I33" s="18"/>
    </row>
    <row r="34" spans="3:10" ht="15.75" customHeight="1">
      <c r="C34" s="12" t="s">
        <v>393</v>
      </c>
      <c r="D34" s="5"/>
      <c r="F34" s="177"/>
      <c r="G34" s="178"/>
      <c r="H34" s="24"/>
      <c r="I34" s="24"/>
      <c r="J34" s="25"/>
    </row>
    <row r="35" spans="4:10" ht="15.75" customHeight="1">
      <c r="D35" s="5" t="s">
        <v>515</v>
      </c>
      <c r="G35" s="30">
        <f>INDEX(muutla_7,MATCH($F$9,kunta,0),1,1)</f>
        <v>0</v>
      </c>
      <c r="H35" s="17"/>
      <c r="I35" s="18"/>
      <c r="J35" s="19"/>
    </row>
    <row r="36" spans="4:10" ht="15.75" customHeight="1">
      <c r="D36" s="5"/>
      <c r="E36" s="66" t="s">
        <v>516</v>
      </c>
      <c r="G36" s="17"/>
      <c r="H36" s="17"/>
      <c r="I36" s="18"/>
      <c r="J36" s="19"/>
    </row>
    <row r="37" spans="4:10" ht="15.75" customHeight="1">
      <c r="D37" s="5"/>
      <c r="E37" s="66" t="s">
        <v>517</v>
      </c>
      <c r="G37" s="17"/>
      <c r="H37" s="17"/>
      <c r="I37" s="18"/>
      <c r="J37" s="19"/>
    </row>
    <row r="38" spans="4:10" ht="15.75" customHeight="1">
      <c r="D38" s="5"/>
      <c r="E38" s="66" t="s">
        <v>518</v>
      </c>
      <c r="G38" s="17"/>
      <c r="H38" s="17"/>
      <c r="I38" s="18"/>
      <c r="J38" s="19"/>
    </row>
    <row r="39" spans="4:10" ht="15.75" customHeight="1">
      <c r="D39" s="5"/>
      <c r="E39" s="66" t="s">
        <v>519</v>
      </c>
      <c r="G39" s="17"/>
      <c r="H39" s="17"/>
      <c r="I39" s="18"/>
      <c r="J39" s="19"/>
    </row>
    <row r="40" spans="4:10" ht="15.75" customHeight="1">
      <c r="D40" s="5"/>
      <c r="E40" s="66"/>
      <c r="F40" s="122" t="str">
        <f>$F$9</f>
        <v>Alajärvi</v>
      </c>
      <c r="G40" s="135" t="s">
        <v>509</v>
      </c>
      <c r="H40" s="17"/>
      <c r="I40" s="18"/>
      <c r="J40" s="19"/>
    </row>
    <row r="41" spans="4:10" ht="15.75" customHeight="1">
      <c r="D41" s="5" t="s">
        <v>522</v>
      </c>
      <c r="E41" s="66"/>
      <c r="F41" s="30">
        <f>INDEX(muutla_8,MATCH($F$9,kunta,0),1,1)</f>
        <v>11</v>
      </c>
      <c r="G41" s="64">
        <f>SUM(muutla_8)</f>
        <v>263349</v>
      </c>
      <c r="H41" s="17"/>
      <c r="I41" s="18"/>
      <c r="J41" s="19"/>
    </row>
    <row r="42" spans="4:10" ht="15.75" customHeight="1">
      <c r="D42" s="5" t="s">
        <v>406</v>
      </c>
      <c r="F42" s="180"/>
      <c r="H42" s="98">
        <v>271.55</v>
      </c>
      <c r="I42" s="18"/>
      <c r="J42" s="166" t="s">
        <v>361</v>
      </c>
    </row>
    <row r="43" spans="4:10" ht="15.75" customHeight="1">
      <c r="D43" s="5" t="s">
        <v>520</v>
      </c>
      <c r="E43" s="66"/>
      <c r="G43" s="17"/>
      <c r="H43" s="17"/>
      <c r="I43" s="18"/>
      <c r="J43" s="19">
        <f>IF(OR($G$35=1,$G$35=3),$F$10*$H$42*0.07,0)</f>
        <v>0</v>
      </c>
    </row>
    <row r="44" spans="3:10" ht="15.75" customHeight="1" thickBot="1">
      <c r="C44" s="109"/>
      <c r="D44" s="159" t="s">
        <v>521</v>
      </c>
      <c r="E44" s="184"/>
      <c r="F44" s="109"/>
      <c r="G44" s="194"/>
      <c r="H44" s="194"/>
      <c r="I44" s="195"/>
      <c r="J44" s="110">
        <f>IF(OR($G$35=1,$G$35=3),$H$42*F41*0.93,0)</f>
        <v>0</v>
      </c>
    </row>
    <row r="45" spans="3:10" ht="15.75" customHeight="1" thickTop="1">
      <c r="C45" s="66" t="s">
        <v>528</v>
      </c>
      <c r="D45" s="5"/>
      <c r="E45" s="66"/>
      <c r="G45" s="17"/>
      <c r="H45" s="17"/>
      <c r="I45" s="18"/>
      <c r="J45" s="16">
        <f>SUM(J43:J44)</f>
        <v>0</v>
      </c>
    </row>
    <row r="46" spans="4:10" ht="15.75" customHeight="1">
      <c r="D46" s="66"/>
      <c r="E46" s="66"/>
      <c r="G46" s="17"/>
      <c r="H46" s="17"/>
      <c r="I46" s="18"/>
      <c r="J46" s="19"/>
    </row>
    <row r="47" spans="3:10" ht="15.75" customHeight="1">
      <c r="C47" s="12" t="s">
        <v>523</v>
      </c>
      <c r="D47" s="5"/>
      <c r="F47" s="177"/>
      <c r="G47" s="178"/>
      <c r="H47" s="24"/>
      <c r="I47" s="24"/>
      <c r="J47" s="25"/>
    </row>
    <row r="48" spans="4:10" ht="15.75" customHeight="1">
      <c r="D48" s="5" t="s">
        <v>524</v>
      </c>
      <c r="G48" s="30">
        <f>INDEX(muutla_10,MATCH($F$9,kunta,0),1,1)</f>
        <v>0</v>
      </c>
      <c r="H48" s="17"/>
      <c r="I48" s="18"/>
      <c r="J48" s="19"/>
    </row>
    <row r="49" spans="4:10" ht="15.75" customHeight="1">
      <c r="D49" s="5"/>
      <c r="E49" s="66" t="s">
        <v>525</v>
      </c>
      <c r="G49" s="17"/>
      <c r="H49" s="17"/>
      <c r="I49" s="18"/>
      <c r="J49" s="19"/>
    </row>
    <row r="50" spans="4:10" ht="15.75" customHeight="1">
      <c r="D50" s="5"/>
      <c r="E50" s="66" t="s">
        <v>585</v>
      </c>
      <c r="G50" s="17"/>
      <c r="H50" s="17"/>
      <c r="I50" s="18"/>
      <c r="J50" s="19"/>
    </row>
    <row r="51" spans="4:10" ht="15.75" customHeight="1">
      <c r="D51" s="5"/>
      <c r="E51" s="66" t="s">
        <v>584</v>
      </c>
      <c r="G51" s="17"/>
      <c r="H51" s="17"/>
      <c r="I51" s="18"/>
      <c r="J51" s="19"/>
    </row>
    <row r="52" spans="4:10" ht="15.75" customHeight="1">
      <c r="D52" s="5"/>
      <c r="E52" s="66" t="s">
        <v>586</v>
      </c>
      <c r="G52" s="17"/>
      <c r="H52" s="17"/>
      <c r="I52" s="18"/>
      <c r="J52" s="166"/>
    </row>
    <row r="53" spans="3:10" ht="15.75" customHeight="1" thickBot="1">
      <c r="C53" s="109"/>
      <c r="D53" s="159" t="s">
        <v>406</v>
      </c>
      <c r="E53" s="109"/>
      <c r="F53" s="196"/>
      <c r="G53" s="109"/>
      <c r="H53" s="199">
        <v>373.75</v>
      </c>
      <c r="I53" s="195"/>
      <c r="J53" s="198" t="s">
        <v>361</v>
      </c>
    </row>
    <row r="54" spans="3:10" ht="15.75" customHeight="1" thickTop="1">
      <c r="C54" s="66" t="s">
        <v>529</v>
      </c>
      <c r="D54" s="15"/>
      <c r="H54" s="17"/>
      <c r="I54" s="18"/>
      <c r="J54" s="16">
        <f>IF($G$48=2,3*$H$53*$F$10,IF($G$48=1,$H$53*$F$10,0))</f>
        <v>0</v>
      </c>
    </row>
    <row r="55" spans="4:10" ht="15.75" customHeight="1">
      <c r="D55" s="66"/>
      <c r="E55" s="66"/>
      <c r="G55" s="17"/>
      <c r="H55" s="17"/>
      <c r="I55" s="18"/>
      <c r="J55" s="19"/>
    </row>
    <row r="56" spans="3:10" ht="15.75" customHeight="1">
      <c r="C56" s="12" t="s">
        <v>580</v>
      </c>
      <c r="D56" s="5"/>
      <c r="F56" s="177"/>
      <c r="G56" s="17">
        <f>G48</f>
        <v>0</v>
      </c>
      <c r="H56" s="24"/>
      <c r="I56" s="24"/>
      <c r="J56" s="25"/>
    </row>
    <row r="57" spans="4:10" ht="15.75" customHeight="1">
      <c r="D57" s="5" t="s">
        <v>587</v>
      </c>
      <c r="G57" s="30">
        <f>INDEX(muutla_18,MATCH($F$9,kunta,0),1,1)</f>
        <v>0</v>
      </c>
      <c r="H57" s="17"/>
      <c r="I57" s="18"/>
      <c r="J57" s="19"/>
    </row>
    <row r="58" spans="3:10" ht="15.75" customHeight="1" thickBot="1">
      <c r="C58" s="109"/>
      <c r="D58" s="159" t="s">
        <v>406</v>
      </c>
      <c r="E58" s="109"/>
      <c r="F58" s="196"/>
      <c r="G58" s="109"/>
      <c r="H58" s="199">
        <v>273.41</v>
      </c>
      <c r="I58" s="195"/>
      <c r="J58" s="198" t="s">
        <v>361</v>
      </c>
    </row>
    <row r="59" spans="3:10" ht="15.75" customHeight="1" thickTop="1">
      <c r="C59" s="66" t="s">
        <v>581</v>
      </c>
      <c r="D59" s="15"/>
      <c r="H59" s="17"/>
      <c r="I59" s="18"/>
      <c r="J59" s="16">
        <f>IF($G$48=3,$H$58*$G$57,0)</f>
        <v>0</v>
      </c>
    </row>
    <row r="60" spans="4:10" ht="15.75" customHeight="1">
      <c r="D60" s="66"/>
      <c r="E60" s="66"/>
      <c r="G60" s="17"/>
      <c r="H60" s="17"/>
      <c r="I60" s="18"/>
      <c r="J60" s="19"/>
    </row>
    <row r="61" spans="3:10" ht="15.75" customHeight="1">
      <c r="C61" s="12" t="s">
        <v>498</v>
      </c>
      <c r="D61" s="5"/>
      <c r="F61" s="122" t="str">
        <f>$F$9</f>
        <v>Alajärvi</v>
      </c>
      <c r="G61" s="135" t="s">
        <v>509</v>
      </c>
      <c r="H61" s="24"/>
      <c r="I61" s="24"/>
      <c r="J61" s="25"/>
    </row>
    <row r="62" spans="4:10" ht="15.75" customHeight="1">
      <c r="D62" s="5" t="s">
        <v>530</v>
      </c>
      <c r="F62" s="30">
        <f>INDEX(muutla_11,MATCH($F$9,kunta,0),1,1)</f>
        <v>1008.82</v>
      </c>
      <c r="G62" s="64">
        <f>SUM(muutla_11)</f>
        <v>302365.01</v>
      </c>
      <c r="H62" s="17"/>
      <c r="I62" s="18"/>
      <c r="J62" s="19"/>
    </row>
    <row r="63" spans="4:10" ht="15.75" customHeight="1">
      <c r="D63" s="192" t="s">
        <v>498</v>
      </c>
      <c r="E63" s="54"/>
      <c r="F63" s="52">
        <f>$F$10/F62</f>
        <v>9.745048670724213</v>
      </c>
      <c r="G63" s="200">
        <f>SUM(vosC)/G62</f>
        <v>18.135831920499</v>
      </c>
      <c r="H63" s="17"/>
      <c r="I63" s="18"/>
      <c r="J63" s="19"/>
    </row>
    <row r="64" spans="4:9" ht="15.75" customHeight="1">
      <c r="D64" s="5" t="s">
        <v>532</v>
      </c>
      <c r="F64" s="180"/>
      <c r="G64" s="179"/>
      <c r="H64" s="52">
        <f>$G$63/$F$63</f>
        <v>1.8610304097281865</v>
      </c>
      <c r="I64" s="18"/>
    </row>
    <row r="65" spans="3:10" ht="15.75" customHeight="1" thickBot="1">
      <c r="C65" s="109"/>
      <c r="D65" s="159" t="s">
        <v>406</v>
      </c>
      <c r="E65" s="109"/>
      <c r="F65" s="196"/>
      <c r="G65" s="109"/>
      <c r="H65" s="199">
        <v>38.36</v>
      </c>
      <c r="I65" s="195"/>
      <c r="J65" s="198" t="s">
        <v>361</v>
      </c>
    </row>
    <row r="66" spans="3:10" ht="15.75" customHeight="1" thickTop="1">
      <c r="C66" s="66" t="s">
        <v>531</v>
      </c>
      <c r="D66" s="15"/>
      <c r="H66" s="17"/>
      <c r="I66" s="18"/>
      <c r="J66" s="16">
        <f>$H$65*$F$10*MIN(20,H64)</f>
        <v>701826.50279033</v>
      </c>
    </row>
    <row r="67" spans="4:10" ht="15.75" customHeight="1">
      <c r="D67" s="66"/>
      <c r="E67" s="66"/>
      <c r="G67" s="17"/>
      <c r="H67" s="17"/>
      <c r="I67" s="18"/>
      <c r="J67" s="19"/>
    </row>
    <row r="68" spans="3:10" ht="15.75" customHeight="1">
      <c r="C68" s="12" t="s">
        <v>533</v>
      </c>
      <c r="D68" s="5"/>
      <c r="F68" s="122" t="str">
        <f>$F$9</f>
        <v>Alajärvi</v>
      </c>
      <c r="G68" s="135" t="s">
        <v>509</v>
      </c>
      <c r="H68" s="24"/>
      <c r="I68" s="24"/>
      <c r="J68" s="25"/>
    </row>
    <row r="69" spans="3:10" ht="15.75" customHeight="1">
      <c r="C69" s="12"/>
      <c r="D69" s="5" t="s">
        <v>534</v>
      </c>
      <c r="F69" s="122"/>
      <c r="G69" s="135"/>
      <c r="H69" s="24"/>
      <c r="I69" s="24"/>
      <c r="J69" s="25"/>
    </row>
    <row r="70" spans="6:10" ht="15.75" customHeight="1">
      <c r="F70" s="30">
        <f>INDEX(muutla_14,MATCH($F$9,kunta,0),1,1)</f>
        <v>311</v>
      </c>
      <c r="G70" s="64">
        <f>SUM(muutla_14)</f>
        <v>247835</v>
      </c>
      <c r="H70" s="17"/>
      <c r="I70" s="18"/>
      <c r="J70" s="19"/>
    </row>
    <row r="71" spans="4:10" ht="15.75" customHeight="1">
      <c r="D71" s="192" t="s">
        <v>535</v>
      </c>
      <c r="E71" s="54"/>
      <c r="F71" s="30">
        <f>INDEX(muutla_15,MATCH($F$9,kunta,0),1,1)</f>
        <v>2544</v>
      </c>
      <c r="G71" s="64">
        <f>SUM(muutla_15)</f>
        <v>1723636</v>
      </c>
      <c r="H71" s="17"/>
      <c r="I71" s="18"/>
      <c r="J71" s="19"/>
    </row>
    <row r="72" spans="4:10" ht="15.75" customHeight="1">
      <c r="D72" s="192"/>
      <c r="E72" s="53"/>
      <c r="F72" s="182">
        <f>F70/F71</f>
        <v>0.12224842767295598</v>
      </c>
      <c r="G72" s="187">
        <f>G70/G71</f>
        <v>0.14378615902661582</v>
      </c>
      <c r="H72" s="17"/>
      <c r="I72" s="18"/>
      <c r="J72" s="19"/>
    </row>
    <row r="73" spans="4:10" ht="15.75" customHeight="1" thickBot="1">
      <c r="D73" s="193" t="s">
        <v>513</v>
      </c>
      <c r="E73" s="109"/>
      <c r="F73" s="186"/>
      <c r="G73" s="186">
        <f>MIN(muutla_16)</f>
        <v>0.06118383608423449</v>
      </c>
      <c r="H73" s="17"/>
      <c r="I73" s="18"/>
      <c r="J73" s="19"/>
    </row>
    <row r="74" spans="4:9" ht="15.75" customHeight="1" thickTop="1">
      <c r="D74" s="5" t="s">
        <v>537</v>
      </c>
      <c r="F74" s="180"/>
      <c r="G74" s="179"/>
      <c r="H74" s="181">
        <f>F72-G73</f>
        <v>0.06106459158872148</v>
      </c>
      <c r="I74" s="18"/>
    </row>
    <row r="75" spans="3:10" ht="15.75" customHeight="1" thickBot="1">
      <c r="C75" s="109"/>
      <c r="D75" s="159" t="s">
        <v>406</v>
      </c>
      <c r="E75" s="109"/>
      <c r="F75" s="196"/>
      <c r="G75" s="109"/>
      <c r="H75" s="199">
        <v>389.91</v>
      </c>
      <c r="I75" s="195"/>
      <c r="J75" s="198" t="s">
        <v>361</v>
      </c>
    </row>
    <row r="76" spans="3:10" ht="15.75" customHeight="1" thickTop="1">
      <c r="C76" s="66" t="s">
        <v>531</v>
      </c>
      <c r="D76" s="15"/>
      <c r="H76" s="17"/>
      <c r="I76" s="18"/>
      <c r="J76" s="16">
        <f>$H$75*$F$10*H74</f>
        <v>234073.1106244094</v>
      </c>
    </row>
    <row r="77" spans="4:10" ht="15.75" customHeight="1">
      <c r="D77" s="66"/>
      <c r="E77" s="66"/>
      <c r="G77" s="17"/>
      <c r="H77" s="17"/>
      <c r="I77" s="18"/>
      <c r="J77" s="19"/>
    </row>
    <row r="78" spans="3:10" ht="12.75" customHeight="1">
      <c r="C78" s="12"/>
      <c r="G78" s="9"/>
      <c r="H78" s="20"/>
      <c r="I78" s="20"/>
      <c r="J78" s="22"/>
    </row>
    <row r="79" spans="2:10" ht="15.75" customHeight="1">
      <c r="B79" s="82" t="s">
        <v>538</v>
      </c>
      <c r="C79" s="83"/>
      <c r="D79" s="83"/>
      <c r="E79" s="93"/>
      <c r="F79" s="83"/>
      <c r="G79" s="130"/>
      <c r="H79" s="165"/>
      <c r="I79" s="165"/>
      <c r="J79" s="99">
        <f>J24+J32+J45+J54+J59+J66+J76</f>
        <v>1974339.9068397018</v>
      </c>
    </row>
    <row r="80" spans="5:10" ht="12" customHeight="1">
      <c r="E80" s="13"/>
      <c r="G80" s="23"/>
      <c r="H80" s="8"/>
      <c r="I80" s="8"/>
      <c r="J80" s="8"/>
    </row>
    <row r="81" spans="7:10" ht="12" customHeight="1">
      <c r="G81" s="27"/>
      <c r="H81" s="27"/>
      <c r="I81" s="27"/>
      <c r="J81" s="27"/>
    </row>
    <row r="82" spans="1:10" ht="15.75" customHeight="1">
      <c r="A82" s="92" t="s">
        <v>539</v>
      </c>
      <c r="B82" s="83"/>
      <c r="C82" s="83"/>
      <c r="D82" s="83"/>
      <c r="E82" s="83"/>
      <c r="F82" s="83"/>
      <c r="G82" s="93"/>
      <c r="H82" s="93"/>
      <c r="I82" s="93"/>
      <c r="J82" s="99">
        <f>J15+J79</f>
        <v>17449444.32044606</v>
      </c>
    </row>
    <row r="83" spans="6:10" ht="15.75" customHeight="1">
      <c r="F83" s="12"/>
      <c r="G83" s="27"/>
      <c r="H83" s="27"/>
      <c r="I83" s="27"/>
      <c r="J83" s="135" t="s">
        <v>405</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J36"/>
  <sheetViews>
    <sheetView zoomScalePageLayoutView="0" workbookViewId="0" topLeftCell="A1">
      <selection activeCell="M13" sqref="M13"/>
    </sheetView>
  </sheetViews>
  <sheetFormatPr defaultColWidth="9.140625" defaultRowHeight="12.75"/>
  <cols>
    <col min="1" max="2" width="2.28125" style="8" customWidth="1"/>
    <col min="3" max="4" width="3.8515625" style="8" customWidth="1"/>
    <col min="5" max="5" width="23.7109375" style="8" customWidth="1"/>
    <col min="6" max="6" width="13.57421875" style="8" customWidth="1"/>
    <col min="7" max="7" width="10.8515625" style="8" bestFit="1" customWidth="1"/>
    <col min="8" max="8" width="10.421875" style="8" customWidth="1"/>
    <col min="9" max="9" width="7.00390625" style="26" customWidth="1"/>
    <col min="10" max="10" width="12.140625" style="19" customWidth="1"/>
    <col min="11" max="16384" width="9.140625" style="8" customWidth="1"/>
  </cols>
  <sheetData>
    <row r="1" spans="1:6" ht="15">
      <c r="A1" s="80" t="str">
        <f>'2.Yhteenveto'!A1</f>
        <v>12.2.2020, Kuntaliitto / Sanna Lehtonen</v>
      </c>
      <c r="E1" s="48"/>
      <c r="F1" s="48"/>
    </row>
    <row r="2" spans="5:6" ht="15">
      <c r="E2" s="48"/>
      <c r="F2" s="48"/>
    </row>
    <row r="3" spans="1:10" ht="18">
      <c r="A3" s="501" t="s">
        <v>641</v>
      </c>
      <c r="B3" s="502"/>
      <c r="C3" s="502"/>
      <c r="D3" s="502"/>
      <c r="E3" s="502"/>
      <c r="F3" s="502"/>
      <c r="G3" s="502"/>
      <c r="H3" s="502"/>
      <c r="I3" s="502"/>
      <c r="J3" s="503"/>
    </row>
    <row r="4" spans="5:6" ht="12.75">
      <c r="E4" s="7"/>
      <c r="F4" s="7"/>
    </row>
    <row r="5" spans="3:6" ht="12">
      <c r="C5" s="55" t="s">
        <v>40</v>
      </c>
      <c r="D5" s="28"/>
      <c r="E5" s="40"/>
      <c r="F5" s="56" t="s">
        <v>404</v>
      </c>
    </row>
    <row r="6" spans="3:6" ht="12">
      <c r="C6" s="28"/>
      <c r="D6" s="28"/>
      <c r="E6" s="102"/>
      <c r="F6" s="56" t="s">
        <v>407</v>
      </c>
    </row>
    <row r="7" spans="5:6" ht="12.75">
      <c r="E7" s="7"/>
      <c r="F7" s="7"/>
    </row>
    <row r="8" spans="2:6" ht="12.75">
      <c r="B8" s="85" t="s">
        <v>0</v>
      </c>
      <c r="E8" s="12"/>
      <c r="F8" s="167" t="str">
        <f>'2.Yhteenveto'!G11</f>
        <v>Alajärvi</v>
      </c>
    </row>
    <row r="9" spans="2:6" ht="12.75">
      <c r="B9" s="85" t="str">
        <f>'2.Yhteenveto'!B12</f>
        <v>Asukasluku 31.12.2017:</v>
      </c>
      <c r="E9" s="7"/>
      <c r="F9" s="150">
        <f>'2.Yhteenveto'!$H$12</f>
        <v>9831</v>
      </c>
    </row>
    <row r="10" ht="12">
      <c r="H10" s="50"/>
    </row>
    <row r="11" spans="3:10" ht="12.75">
      <c r="C11" s="27" t="s">
        <v>395</v>
      </c>
      <c r="G11" s="10"/>
      <c r="H11" s="11"/>
      <c r="I11" s="69"/>
      <c r="J11" s="68"/>
    </row>
    <row r="12" spans="3:10" ht="12.75">
      <c r="C12" s="28"/>
      <c r="D12" s="5" t="s">
        <v>406</v>
      </c>
      <c r="E12"/>
      <c r="F12" s="180"/>
      <c r="G12"/>
      <c r="H12" s="98">
        <v>210.64</v>
      </c>
      <c r="I12" s="69"/>
      <c r="J12" s="68"/>
    </row>
    <row r="13" spans="3:10" ht="12.75">
      <c r="C13" s="28"/>
      <c r="D13" s="28" t="s">
        <v>540</v>
      </c>
      <c r="G13" s="181">
        <f>INDEX(lo_1,MATCH($F$8,kunta,0),1,1)</f>
        <v>0</v>
      </c>
      <c r="H13" s="11"/>
      <c r="I13" s="69"/>
      <c r="J13" s="68"/>
    </row>
    <row r="14" spans="4:9" ht="12.75">
      <c r="D14" s="28" t="s">
        <v>543</v>
      </c>
      <c r="G14" s="31"/>
      <c r="H14" s="115" t="s">
        <v>408</v>
      </c>
      <c r="I14" s="164">
        <v>1</v>
      </c>
    </row>
    <row r="15" spans="4:9" ht="12.75">
      <c r="D15" s="28" t="s">
        <v>542</v>
      </c>
      <c r="G15" s="31"/>
      <c r="H15" s="115" t="s">
        <v>408</v>
      </c>
      <c r="I15" s="163">
        <v>1.5</v>
      </c>
    </row>
    <row r="16" spans="3:10" ht="13.5" thickBot="1">
      <c r="C16" s="201"/>
      <c r="D16" s="202" t="s">
        <v>541</v>
      </c>
      <c r="E16" s="201"/>
      <c r="F16" s="201"/>
      <c r="G16" s="107"/>
      <c r="H16" s="203" t="s">
        <v>408</v>
      </c>
      <c r="I16" s="204">
        <v>3</v>
      </c>
      <c r="J16" s="198" t="s">
        <v>361</v>
      </c>
    </row>
    <row r="17" spans="3:10" ht="13.5" thickTop="1">
      <c r="C17" s="116" t="s">
        <v>544</v>
      </c>
      <c r="D17" s="36"/>
      <c r="H17" s="115"/>
      <c r="I17" s="164"/>
      <c r="J17" s="16">
        <f>IF(G13&gt;=1.5,3*($H$12*$F$9*G13),IF(G13&gt;=1,1.5*($H$12*$F$9*G13),($H$12*$F$9*G13)))</f>
        <v>0</v>
      </c>
    </row>
    <row r="18" spans="4:9" ht="12.75">
      <c r="D18" s="36"/>
      <c r="H18" s="115"/>
      <c r="I18" s="164"/>
    </row>
    <row r="19" spans="3:9" ht="12.75">
      <c r="C19" s="27" t="s">
        <v>545</v>
      </c>
      <c r="F19" s="122" t="str">
        <f>$F$8</f>
        <v>Alajärvi</v>
      </c>
      <c r="G19" s="135" t="s">
        <v>509</v>
      </c>
      <c r="H19" s="115"/>
      <c r="I19" s="164"/>
    </row>
    <row r="20" spans="4:9" ht="15.75" customHeight="1">
      <c r="D20" s="5" t="s">
        <v>546</v>
      </c>
      <c r="F20" s="30">
        <f>INDEX(lo_2,MATCH($F$8,kunta,0),1,1)</f>
        <v>3330</v>
      </c>
      <c r="G20" s="64">
        <f>SUM(lo_2)</f>
        <v>2259894</v>
      </c>
      <c r="H20" s="17"/>
      <c r="I20" s="18"/>
    </row>
    <row r="21" spans="4:9" ht="15.75" customHeight="1">
      <c r="D21" s="192" t="s">
        <v>547</v>
      </c>
      <c r="E21" s="54"/>
      <c r="F21" s="30">
        <f>INDEX(lo_3,MATCH($F$8,kunta,0),1,1)</f>
        <v>3441</v>
      </c>
      <c r="G21" s="205">
        <f>SUM(lo_3)</f>
        <v>2261081</v>
      </c>
      <c r="H21" s="17"/>
      <c r="I21" s="18"/>
    </row>
    <row r="22" spans="4:9" ht="15.75" customHeight="1">
      <c r="D22" s="5" t="s">
        <v>536</v>
      </c>
      <c r="F22" s="180">
        <f>F20/F21</f>
        <v>0.967741935483871</v>
      </c>
      <c r="G22" s="179">
        <f>G20/G21</f>
        <v>0.999475029864034</v>
      </c>
      <c r="I22" s="18"/>
    </row>
    <row r="23" spans="4:9" ht="15.75" customHeight="1">
      <c r="D23" s="5" t="s">
        <v>513</v>
      </c>
      <c r="F23" s="180"/>
      <c r="G23" s="179"/>
      <c r="H23" s="182">
        <f>MIN(lo_4)</f>
        <v>0.4089068825910931</v>
      </c>
      <c r="I23" s="18"/>
    </row>
    <row r="24" spans="4:9" ht="15.75" customHeight="1">
      <c r="D24" s="5" t="s">
        <v>548</v>
      </c>
      <c r="F24" s="180"/>
      <c r="G24" s="179"/>
      <c r="H24" s="188">
        <f>F22-H23</f>
        <v>0.5588350528927779</v>
      </c>
      <c r="I24" s="18"/>
    </row>
    <row r="25" spans="3:10" ht="15.75" customHeight="1" thickBot="1">
      <c r="C25" s="109"/>
      <c r="D25" s="159" t="s">
        <v>406</v>
      </c>
      <c r="E25" s="109"/>
      <c r="F25" s="196"/>
      <c r="G25" s="109"/>
      <c r="H25" s="197">
        <v>63.93</v>
      </c>
      <c r="I25" s="195"/>
      <c r="J25" s="198" t="s">
        <v>361</v>
      </c>
    </row>
    <row r="26" spans="3:10" ht="15.75" customHeight="1" thickTop="1">
      <c r="C26" s="66" t="s">
        <v>526</v>
      </c>
      <c r="D26" s="15"/>
      <c r="H26" s="17"/>
      <c r="I26" s="18"/>
      <c r="J26" s="16">
        <f>$F$9*$H$25*H24</f>
        <v>351225.5004009403</v>
      </c>
    </row>
    <row r="27" ht="12.75">
      <c r="H27" s="115"/>
    </row>
    <row r="28" spans="3:8" ht="12.75">
      <c r="C28" s="27" t="s">
        <v>549</v>
      </c>
      <c r="H28" s="115"/>
    </row>
    <row r="29" spans="3:8" ht="12.75">
      <c r="C29" s="27"/>
      <c r="D29" s="28" t="s">
        <v>550</v>
      </c>
      <c r="G29" s="31">
        <f>INDEX(lo_6,MATCH($F$8,kunta,0),1,1)</f>
        <v>0</v>
      </c>
      <c r="H29" s="115"/>
    </row>
    <row r="30" spans="4:9" ht="15.75" customHeight="1">
      <c r="D30" s="5" t="s">
        <v>551</v>
      </c>
      <c r="F30" s="30">
        <f>INDEX(lo_7,MATCH($F$8,kunta,0),1,1)</f>
        <v>0</v>
      </c>
      <c r="G30" s="64">
        <f>SUM(lo_7)</f>
        <v>1992</v>
      </c>
      <c r="H30" s="17"/>
      <c r="I30" s="18"/>
    </row>
    <row r="31" spans="3:10" ht="15.75" customHeight="1" thickBot="1">
      <c r="C31" s="109"/>
      <c r="D31" s="159" t="s">
        <v>406</v>
      </c>
      <c r="E31" s="109"/>
      <c r="F31" s="196"/>
      <c r="G31" s="109"/>
      <c r="H31" s="199">
        <v>2675.41</v>
      </c>
      <c r="I31" s="195"/>
      <c r="J31" s="198" t="s">
        <v>361</v>
      </c>
    </row>
    <row r="32" spans="3:10" ht="13.5" thickTop="1">
      <c r="C32" s="27"/>
      <c r="D32" s="28"/>
      <c r="G32" s="26"/>
      <c r="H32" s="115"/>
      <c r="J32" s="16">
        <f>IF(G29=1,$H$31*$F$9*(F30/F9),0)</f>
        <v>0</v>
      </c>
    </row>
    <row r="33" spans="3:8" ht="12.75">
      <c r="C33" s="27"/>
      <c r="D33" s="28"/>
      <c r="G33" s="26"/>
      <c r="H33" s="115"/>
    </row>
    <row r="35" spans="2:10" ht="15.75" customHeight="1">
      <c r="B35" s="92" t="s">
        <v>552</v>
      </c>
      <c r="C35" s="130"/>
      <c r="D35" s="130"/>
      <c r="E35" s="130"/>
      <c r="F35" s="93"/>
      <c r="G35" s="130"/>
      <c r="H35" s="130"/>
      <c r="I35" s="165"/>
      <c r="J35" s="99">
        <f>SUM(J14:J33)</f>
        <v>351225.5004009403</v>
      </c>
    </row>
    <row r="36" ht="12.75">
      <c r="J36" s="135" t="s">
        <v>405</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theme="6" tint="0.39998000860214233"/>
  </sheetPr>
  <dimension ref="A1:V100"/>
  <sheetViews>
    <sheetView zoomScalePageLayoutView="0" workbookViewId="0" topLeftCell="A1">
      <selection activeCell="H25" sqref="H25"/>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4.42187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
      <c r="A1" s="80" t="str">
        <f>'2.Yhteenveto'!A1</f>
        <v>12.2.2020, Kuntaliitto / Sanna Lehtonen</v>
      </c>
      <c r="F1" s="48"/>
      <c r="G1" s="48"/>
      <c r="H1" s="70"/>
      <c r="I1" s="64"/>
    </row>
    <row r="2" spans="6:9" ht="12">
      <c r="F2" s="61"/>
      <c r="G2" s="61"/>
      <c r="H2" s="70"/>
      <c r="I2" s="64"/>
    </row>
    <row r="3" spans="1:9" ht="18">
      <c r="A3" s="501" t="s">
        <v>642</v>
      </c>
      <c r="B3" s="502"/>
      <c r="C3" s="502"/>
      <c r="D3" s="502"/>
      <c r="E3" s="502"/>
      <c r="F3" s="502"/>
      <c r="G3" s="502"/>
      <c r="H3" s="502"/>
      <c r="I3" s="503"/>
    </row>
    <row r="4" spans="8:9" ht="12">
      <c r="H4" s="70"/>
      <c r="I4" s="64"/>
    </row>
    <row r="5" spans="2:9" ht="12">
      <c r="B5" s="55" t="s">
        <v>40</v>
      </c>
      <c r="C5" s="28"/>
      <c r="D5" s="28"/>
      <c r="E5" s="40"/>
      <c r="F5" s="56" t="s">
        <v>404</v>
      </c>
      <c r="G5" s="56"/>
      <c r="I5" s="64"/>
    </row>
    <row r="6" spans="2:9" ht="12">
      <c r="B6" s="28"/>
      <c r="C6" s="28"/>
      <c r="D6" s="28"/>
      <c r="E6" s="102"/>
      <c r="F6" s="56" t="s">
        <v>403</v>
      </c>
      <c r="G6" s="56"/>
      <c r="I6" s="64"/>
    </row>
    <row r="7" spans="8:9" ht="12">
      <c r="H7" s="70"/>
      <c r="I7" s="64"/>
    </row>
    <row r="8" spans="2:9" ht="12.75">
      <c r="B8" s="85" t="s">
        <v>0</v>
      </c>
      <c r="F8" s="168" t="str">
        <f>'2.Yhteenveto'!G11</f>
        <v>Alajärvi</v>
      </c>
      <c r="I8" s="64"/>
    </row>
    <row r="9" spans="2:9" ht="12.75">
      <c r="B9" s="85" t="str">
        <f>'2.Yhteenveto'!B12</f>
        <v>Asukasluku 31.12.2017:</v>
      </c>
      <c r="F9" s="169">
        <f>'2.Yhteenveto'!H12</f>
        <v>9831</v>
      </c>
      <c r="I9" s="64"/>
    </row>
    <row r="10" spans="8:9" ht="12">
      <c r="H10" s="70"/>
      <c r="I10" s="64"/>
    </row>
    <row r="11" spans="2:9" ht="12.75">
      <c r="B11" s="1" t="s">
        <v>47</v>
      </c>
      <c r="H11" s="121" t="s">
        <v>1</v>
      </c>
      <c r="I11" s="122" t="s">
        <v>361</v>
      </c>
    </row>
    <row r="12" spans="8:9" ht="12">
      <c r="H12" s="70"/>
      <c r="I12" s="64"/>
    </row>
    <row r="13" spans="3:9" ht="12">
      <c r="C13" s="5" t="s">
        <v>607</v>
      </c>
      <c r="H13" s="118">
        <v>-0.05</v>
      </c>
      <c r="I13" s="217">
        <f>$F$9*H13</f>
        <v>-491.55</v>
      </c>
    </row>
    <row r="14" spans="8:9" ht="12">
      <c r="H14" s="71"/>
      <c r="I14" s="217"/>
    </row>
    <row r="15" spans="3:9" ht="12">
      <c r="C15" s="5" t="s">
        <v>417</v>
      </c>
      <c r="H15" s="118">
        <v>-0.24</v>
      </c>
      <c r="I15" s="217">
        <f>$F$9*H15</f>
        <v>-2359.44</v>
      </c>
    </row>
    <row r="16" spans="8:9" ht="12">
      <c r="H16" s="71"/>
      <c r="I16" s="217"/>
    </row>
    <row r="17" spans="3:9" ht="12">
      <c r="C17" s="5" t="s">
        <v>419</v>
      </c>
      <c r="H17" s="118">
        <v>-4.1</v>
      </c>
      <c r="I17" s="217">
        <f>$F$9*H17</f>
        <v>-40307.1</v>
      </c>
    </row>
    <row r="18" spans="8:9" ht="12">
      <c r="H18" s="70"/>
      <c r="I18" s="217"/>
    </row>
    <row r="19" spans="3:9" ht="12">
      <c r="C19" s="5" t="s">
        <v>418</v>
      </c>
      <c r="H19" s="118">
        <v>-0.28</v>
      </c>
      <c r="I19" s="217">
        <f>$F$9*H19</f>
        <v>-2752.6800000000003</v>
      </c>
    </row>
    <row r="20" spans="8:9" ht="12">
      <c r="H20" s="70"/>
      <c r="I20" s="217"/>
    </row>
    <row r="21" spans="3:9" ht="12">
      <c r="C21" s="5" t="s">
        <v>644</v>
      </c>
      <c r="H21" s="118">
        <v>-5.47</v>
      </c>
      <c r="I21" s="217">
        <f>$F$9*H21</f>
        <v>-53775.57</v>
      </c>
    </row>
    <row r="22" spans="8:9" ht="12">
      <c r="H22" s="70"/>
      <c r="I22" s="217"/>
    </row>
    <row r="23" spans="3:9" ht="12">
      <c r="C23" s="5" t="s">
        <v>645</v>
      </c>
      <c r="H23" s="118">
        <v>-1.82</v>
      </c>
      <c r="I23" s="217">
        <f>$F$9*H23</f>
        <v>-17892.420000000002</v>
      </c>
    </row>
    <row r="24" spans="8:9" ht="12">
      <c r="H24" s="71"/>
      <c r="I24" s="217"/>
    </row>
    <row r="25" spans="3:9" ht="12">
      <c r="C25" s="5" t="s">
        <v>601</v>
      </c>
      <c r="H25" s="118">
        <v>-0.05</v>
      </c>
      <c r="I25" s="217">
        <f>$F$9*H25</f>
        <v>-491.55</v>
      </c>
    </row>
    <row r="26" spans="8:9" ht="12">
      <c r="H26" s="70"/>
      <c r="I26" s="217"/>
    </row>
    <row r="27" spans="3:9" ht="12">
      <c r="C27" s="5" t="s">
        <v>553</v>
      </c>
      <c r="H27" s="118">
        <v>-0.39</v>
      </c>
      <c r="I27" s="217">
        <f>$F$9*H27</f>
        <v>-3834.09</v>
      </c>
    </row>
    <row r="28" spans="8:9" ht="12">
      <c r="H28" s="71"/>
      <c r="I28" s="217"/>
    </row>
    <row r="29" spans="3:9" ht="12">
      <c r="C29" s="5" t="s">
        <v>554</v>
      </c>
      <c r="H29" s="71"/>
      <c r="I29" s="217"/>
    </row>
    <row r="30" spans="4:9" ht="12">
      <c r="D30" s="5" t="s">
        <v>555</v>
      </c>
      <c r="H30" s="118">
        <v>-0.02</v>
      </c>
      <c r="I30" s="217">
        <f>$F$9*H30</f>
        <v>-196.62</v>
      </c>
    </row>
    <row r="31" spans="8:9" ht="12">
      <c r="H31" s="70"/>
      <c r="I31" s="64"/>
    </row>
    <row r="32" spans="3:9" ht="12">
      <c r="C32" s="5" t="s">
        <v>632</v>
      </c>
      <c r="H32" s="118">
        <v>-6.31</v>
      </c>
      <c r="I32" s="64">
        <f>$F$9*H32</f>
        <v>-62033.60999999999</v>
      </c>
    </row>
    <row r="33" spans="8:9" ht="12">
      <c r="H33" s="71"/>
      <c r="I33" s="64"/>
    </row>
    <row r="34" spans="3:9" ht="12">
      <c r="C34" s="5" t="s">
        <v>646</v>
      </c>
      <c r="H34" s="55"/>
      <c r="I34" s="242" t="s">
        <v>670</v>
      </c>
    </row>
    <row r="35" spans="8:9" ht="12">
      <c r="H35" s="71"/>
      <c r="I35" s="64"/>
    </row>
    <row r="36" spans="3:9" ht="12">
      <c r="C36" s="5" t="s">
        <v>608</v>
      </c>
      <c r="H36" s="118">
        <v>-7.72</v>
      </c>
      <c r="I36" s="64">
        <f>$F$9*H36</f>
        <v>-75895.31999999999</v>
      </c>
    </row>
    <row r="37" spans="8:9" ht="12">
      <c r="H37" s="71"/>
      <c r="I37" s="64"/>
    </row>
    <row r="38" spans="3:9" ht="12">
      <c r="C38" s="5" t="s">
        <v>647</v>
      </c>
      <c r="H38" s="118">
        <v>-16.7</v>
      </c>
      <c r="I38" s="64">
        <f>$F$9*H38</f>
        <v>-164177.69999999998</v>
      </c>
    </row>
    <row r="39" spans="8:9" ht="12">
      <c r="H39" s="71"/>
      <c r="I39" s="64"/>
    </row>
    <row r="40" spans="3:9" ht="12.75">
      <c r="C40" s="5" t="s">
        <v>609</v>
      </c>
      <c r="H40" s="118">
        <v>-12.14</v>
      </c>
      <c r="I40" s="372">
        <f>$F$9*H40</f>
        <v>-119348.34000000001</v>
      </c>
    </row>
    <row r="41" spans="8:9" ht="12">
      <c r="H41" s="70"/>
      <c r="I41" s="64"/>
    </row>
    <row r="42" spans="3:9" ht="12.75">
      <c r="C42" s="5" t="s">
        <v>591</v>
      </c>
      <c r="H42" s="118">
        <v>-90.69</v>
      </c>
      <c r="I42" s="372">
        <f>$F$9*H42</f>
        <v>-891573.39</v>
      </c>
    </row>
    <row r="43" spans="8:9" ht="12">
      <c r="H43" s="70"/>
      <c r="I43" s="64"/>
    </row>
    <row r="44" spans="3:9" ht="12.75">
      <c r="C44" s="5" t="s">
        <v>593</v>
      </c>
      <c r="H44" s="118">
        <v>-3.81</v>
      </c>
      <c r="I44" s="372">
        <f>$F$9*H44</f>
        <v>-37456.11</v>
      </c>
    </row>
    <row r="45" spans="8:9" ht="12">
      <c r="H45" s="70"/>
      <c r="I45" s="64"/>
    </row>
    <row r="46" spans="3:9" ht="12.75">
      <c r="C46" s="5" t="s">
        <v>1171</v>
      </c>
      <c r="H46" s="118">
        <v>43.22</v>
      </c>
      <c r="I46" s="372">
        <f>$F$9*H46</f>
        <v>424895.82</v>
      </c>
    </row>
    <row r="47" spans="8:9" ht="12">
      <c r="H47" s="70"/>
      <c r="I47" s="64"/>
    </row>
    <row r="48" spans="3:9" ht="12">
      <c r="C48" s="5" t="s">
        <v>589</v>
      </c>
      <c r="H48" s="70"/>
      <c r="I48" s="30">
        <f>INDEX(vl_20,MATCH($F$8,kunta,0),1,1)</f>
        <v>-198860.63068338233</v>
      </c>
    </row>
    <row r="49" spans="8:9" ht="12">
      <c r="H49" s="70"/>
      <c r="I49" s="64"/>
    </row>
    <row r="50" spans="2:9" ht="12.75">
      <c r="B50" s="89" t="s">
        <v>51</v>
      </c>
      <c r="C50" s="90"/>
      <c r="D50" s="90"/>
      <c r="E50" s="90"/>
      <c r="F50" s="90"/>
      <c r="G50" s="90"/>
      <c r="H50" s="119"/>
      <c r="I50" s="91">
        <f>SUM(I13:I49)</f>
        <v>-1246550.3006833822</v>
      </c>
    </row>
    <row r="51" spans="8:9" ht="12">
      <c r="H51" s="70"/>
      <c r="I51" s="64"/>
    </row>
    <row r="52" spans="8:9" ht="12">
      <c r="H52" s="70"/>
      <c r="I52" s="64"/>
    </row>
    <row r="53" spans="2:9" ht="12.75">
      <c r="B53" s="1" t="s">
        <v>48</v>
      </c>
      <c r="H53" s="121" t="s">
        <v>1</v>
      </c>
      <c r="I53" s="122" t="s">
        <v>361</v>
      </c>
    </row>
    <row r="54" spans="2:9" ht="12.75">
      <c r="B54" s="1"/>
      <c r="H54" s="70"/>
      <c r="I54" s="64"/>
    </row>
    <row r="55" spans="3:9" ht="12">
      <c r="C55" s="5" t="s">
        <v>413</v>
      </c>
      <c r="H55" s="70"/>
      <c r="I55" s="30">
        <f>INDEX(vl_7,MATCH($F$8,kunta,0),1,1)</f>
        <v>-188872</v>
      </c>
    </row>
    <row r="56" spans="8:9" ht="12">
      <c r="H56" s="70"/>
      <c r="I56" s="64"/>
    </row>
    <row r="57" spans="3:9" ht="12">
      <c r="C57" s="5" t="s">
        <v>558</v>
      </c>
      <c r="H57" s="70"/>
      <c r="I57" s="30">
        <f>INDEX(vl_8,MATCH($F$8,kunta,0),1,1)</f>
        <v>191146.63372095674</v>
      </c>
    </row>
    <row r="58" spans="8:9" ht="12">
      <c r="H58" s="70"/>
      <c r="I58" s="64"/>
    </row>
    <row r="59" spans="3:9" ht="12">
      <c r="C59" s="5" t="s">
        <v>409</v>
      </c>
      <c r="H59" s="70"/>
      <c r="I59" s="30">
        <f>INDEX(vl_9,MATCH($F$8,kunta,0),1,1)</f>
        <v>982443</v>
      </c>
    </row>
    <row r="60" spans="8:9" ht="12">
      <c r="H60" s="70"/>
      <c r="I60" s="64"/>
    </row>
    <row r="61" spans="3:9" ht="12">
      <c r="C61" s="5" t="s">
        <v>410</v>
      </c>
      <c r="H61" s="70"/>
      <c r="I61" s="30">
        <f>INDEX(vl_10,MATCH($F$8,kunta,0),1,1)</f>
        <v>316760</v>
      </c>
    </row>
    <row r="62" spans="8:9" ht="12">
      <c r="H62" s="70"/>
      <c r="I62" s="64"/>
    </row>
    <row r="63" spans="3:9" ht="12">
      <c r="C63" s="5" t="s">
        <v>411</v>
      </c>
      <c r="H63" s="70"/>
      <c r="I63" s="30">
        <f>INDEX(vl_11,MATCH($F$8,kunta,0),1,1)</f>
        <v>854672.9711615616</v>
      </c>
    </row>
    <row r="64" spans="8:9" ht="12">
      <c r="H64" s="70"/>
      <c r="I64" s="64"/>
    </row>
    <row r="65" spans="3:9" ht="12">
      <c r="C65" s="5" t="s">
        <v>412</v>
      </c>
      <c r="H65" s="70"/>
      <c r="I65" s="30">
        <f>INDEX(vl_12,MATCH($F$8,kunta,0),1,1)</f>
        <v>45846.99735082741</v>
      </c>
    </row>
    <row r="66" spans="8:9" ht="12">
      <c r="H66" s="70"/>
      <c r="I66" s="64"/>
    </row>
    <row r="67" spans="3:9" ht="12">
      <c r="C67" s="5" t="s">
        <v>556</v>
      </c>
      <c r="H67" s="70"/>
      <c r="I67" s="30">
        <f>INDEX(vl_13,MATCH($F$8,kunta,0),1,1)</f>
        <v>104017.12567895393</v>
      </c>
    </row>
    <row r="68" spans="8:9" ht="12">
      <c r="H68" s="70"/>
      <c r="I68" s="64"/>
    </row>
    <row r="69" spans="3:9" ht="12">
      <c r="C69" s="5" t="s">
        <v>557</v>
      </c>
      <c r="H69" s="70"/>
      <c r="I69" s="30">
        <f>INDEX(vl_14,MATCH($F$8,kunta,0),1,1)</f>
        <v>405909.5598663371</v>
      </c>
    </row>
    <row r="70" spans="3:8" ht="12">
      <c r="C70" s="5"/>
      <c r="H70" s="70"/>
    </row>
    <row r="71" spans="3:9" ht="12">
      <c r="C71" s="5" t="s">
        <v>576</v>
      </c>
      <c r="H71" s="70"/>
      <c r="I71" s="30">
        <f>INDEX(vl_19,MATCH($F$8,kunta,0),1,1)</f>
        <v>595879.924617515</v>
      </c>
    </row>
    <row r="72" spans="3:8" ht="12">
      <c r="C72" s="5"/>
      <c r="H72" s="70"/>
    </row>
    <row r="73" spans="3:9" ht="12">
      <c r="C73" s="5" t="s">
        <v>602</v>
      </c>
      <c r="H73" s="70"/>
      <c r="I73" s="30">
        <f>INDEX(vl_22,MATCH($F$8,kunta,0),1,1)</f>
        <v>855777.1993154305</v>
      </c>
    </row>
    <row r="74" spans="3:8" ht="12">
      <c r="C74" s="5"/>
      <c r="H74" s="70"/>
    </row>
    <row r="75" spans="3:9" ht="12">
      <c r="C75" s="5" t="s">
        <v>603</v>
      </c>
      <c r="H75" s="70"/>
      <c r="I75" s="30">
        <f>INDEX(vl_23,MATCH($F$8,kunta,0),1,1)</f>
        <v>259567.6986035869</v>
      </c>
    </row>
    <row r="76" spans="3:8" ht="12">
      <c r="C76" s="5"/>
      <c r="H76" s="70"/>
    </row>
    <row r="77" spans="3:9" ht="12">
      <c r="C77" s="5" t="s">
        <v>643</v>
      </c>
      <c r="H77" s="70"/>
      <c r="I77" s="30">
        <f>INDEX(vl_24,MATCH($F$8,kunta,0),1,1)</f>
        <v>482826.7417279208</v>
      </c>
    </row>
    <row r="78" spans="3:8" ht="12">
      <c r="C78" s="5"/>
      <c r="H78" s="70"/>
    </row>
    <row r="79" spans="3:9" ht="12">
      <c r="C79" s="5" t="s">
        <v>416</v>
      </c>
      <c r="H79" s="118">
        <v>0.09</v>
      </c>
      <c r="I79" s="64">
        <f>$F$9*H79</f>
        <v>884.79</v>
      </c>
    </row>
    <row r="80" spans="3:9" ht="12">
      <c r="C80" s="5"/>
      <c r="I80" s="64"/>
    </row>
    <row r="81" spans="3:9" ht="12">
      <c r="C81" s="5" t="s">
        <v>575</v>
      </c>
      <c r="H81" s="70"/>
      <c r="I81" s="30">
        <f>INDEX(vl_16,MATCH($F$8,kunta,0),1,1)</f>
        <v>-11106.588389629876</v>
      </c>
    </row>
    <row r="82" spans="3:8" ht="12">
      <c r="C82" s="5"/>
      <c r="H82" s="70"/>
    </row>
    <row r="83" spans="8:9" ht="12">
      <c r="H83" s="70"/>
      <c r="I83" s="64"/>
    </row>
    <row r="84" spans="2:9" ht="12.75">
      <c r="B84" s="89" t="s">
        <v>49</v>
      </c>
      <c r="C84" s="90"/>
      <c r="D84" s="90"/>
      <c r="E84" s="90"/>
      <c r="F84" s="90"/>
      <c r="G84" s="90"/>
      <c r="H84" s="119"/>
      <c r="I84" s="206">
        <f>SUM(I54:I83)</f>
        <v>4895754.053653461</v>
      </c>
    </row>
    <row r="85" spans="8:9" ht="12">
      <c r="H85" s="70"/>
      <c r="I85" s="64"/>
    </row>
    <row r="86" spans="1:9" ht="12.75">
      <c r="A86" s="82" t="s">
        <v>50</v>
      </c>
      <c r="B86" s="83"/>
      <c r="C86" s="83"/>
      <c r="D86" s="83"/>
      <c r="E86" s="83"/>
      <c r="F86" s="83"/>
      <c r="G86" s="83"/>
      <c r="H86" s="120"/>
      <c r="I86" s="84">
        <f>I50+I84</f>
        <v>3649203.752970079</v>
      </c>
    </row>
    <row r="87" ht="12.75">
      <c r="I87" s="135" t="s">
        <v>405</v>
      </c>
    </row>
    <row r="100" spans="5:22" ht="12">
      <c r="E100" s="171"/>
      <c r="F100" s="171"/>
      <c r="G100" s="171"/>
      <c r="H100" s="171"/>
      <c r="I100" s="171"/>
      <c r="J100" s="171"/>
      <c r="K100" s="171"/>
      <c r="L100" s="171"/>
      <c r="M100" s="171"/>
      <c r="N100" s="171"/>
      <c r="O100" s="171"/>
      <c r="P100" s="171"/>
      <c r="Q100" s="171"/>
      <c r="R100" s="171"/>
      <c r="S100" s="171"/>
      <c r="T100" s="171"/>
      <c r="U100" s="171"/>
      <c r="V100" s="171"/>
    </row>
  </sheetData>
  <sheetProtection/>
  <protectedRanges>
    <protectedRange sqref="H27:H30 H13:H16 H44:H46 H48 H42 H23:H24 H32:H33 H35:H40" name="Alue1"/>
    <protectedRange sqref="I81:I82 I84 I55:I78" name="Alue2"/>
    <protectedRange sqref="H79:H80" name="Alue3"/>
    <protectedRange sqref="H19 H25 H21"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J26"/>
  <sheetViews>
    <sheetView zoomScalePageLayoutView="0" workbookViewId="0" topLeftCell="A1">
      <selection activeCell="C23" sqref="C23"/>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80" t="str">
        <f>'2.Yhteenveto'!A1</f>
        <v>12.2.2020, Kuntaliitto / Sanna Lehtonen</v>
      </c>
      <c r="F1" s="94"/>
      <c r="G1" s="6"/>
      <c r="H1" s="6"/>
      <c r="I1" s="6"/>
      <c r="J1" s="6"/>
    </row>
    <row r="2" spans="6:10" ht="12.75">
      <c r="F2" s="94"/>
      <c r="G2" s="6"/>
      <c r="H2" s="6"/>
      <c r="I2" s="6"/>
      <c r="J2" s="6"/>
    </row>
    <row r="3" spans="1:10" ht="15">
      <c r="A3" s="516" t="s">
        <v>672</v>
      </c>
      <c r="B3" s="517"/>
      <c r="C3" s="517"/>
      <c r="D3" s="517"/>
      <c r="E3" s="517"/>
      <c r="F3" s="517"/>
      <c r="G3" s="517"/>
      <c r="H3" s="517"/>
      <c r="I3" s="517"/>
      <c r="J3" s="518"/>
    </row>
    <row r="4" spans="6:10" ht="12">
      <c r="F4" s="8"/>
      <c r="G4" s="8"/>
      <c r="H4" s="6"/>
      <c r="I4" s="6"/>
      <c r="J4" s="6"/>
    </row>
    <row r="5" spans="3:10" ht="12">
      <c r="C5" s="55" t="s">
        <v>40</v>
      </c>
      <c r="D5" s="28"/>
      <c r="E5" s="40"/>
      <c r="F5" s="56" t="s">
        <v>404</v>
      </c>
      <c r="I5" s="6"/>
      <c r="J5" s="6"/>
    </row>
    <row r="6" spans="6:10" ht="12">
      <c r="F6" s="8"/>
      <c r="G6" s="8"/>
      <c r="H6" s="6"/>
      <c r="I6" s="6"/>
      <c r="J6" s="6"/>
    </row>
    <row r="7" spans="2:10" ht="12.75">
      <c r="B7" s="85" t="s">
        <v>0</v>
      </c>
      <c r="E7" s="9"/>
      <c r="F7" s="150" t="str">
        <f>'2.Yhteenveto'!G11</f>
        <v>Alajärvi</v>
      </c>
      <c r="H7" s="6"/>
      <c r="I7" s="6"/>
      <c r="J7" s="6"/>
    </row>
    <row r="8" spans="2:10" ht="12.75">
      <c r="B8" s="85" t="str">
        <f>'2.Yhteenveto'!B12</f>
        <v>Asukasluku 31.12.2017:</v>
      </c>
      <c r="E8" s="8"/>
      <c r="F8" s="150">
        <f>'2.Yhteenveto'!$H$12</f>
        <v>9831</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
      <c r="E21" s="8"/>
      <c r="G21" s="8"/>
      <c r="H21" s="6"/>
      <c r="I21" s="6"/>
    </row>
    <row r="22" spans="2:10" ht="12">
      <c r="B22" s="28" t="s">
        <v>673</v>
      </c>
      <c r="H22" s="6"/>
      <c r="I22" s="6"/>
      <c r="J22" s="30">
        <f>INDEX(jm_1,MATCH($F$7,kunta,0),1,1)</f>
        <v>0</v>
      </c>
    </row>
    <row r="23" spans="3:10" ht="12">
      <c r="C23" s="5"/>
      <c r="E23" s="8"/>
      <c r="I23" s="15"/>
      <c r="J23" s="21"/>
    </row>
    <row r="24" spans="7:10" ht="12.75">
      <c r="G24" s="27"/>
      <c r="H24" s="27"/>
      <c r="I24" s="27"/>
      <c r="J24" s="27"/>
    </row>
    <row r="25" spans="1:10" ht="12.75">
      <c r="A25" s="92" t="s">
        <v>559</v>
      </c>
      <c r="B25" s="83"/>
      <c r="C25" s="83"/>
      <c r="D25" s="83"/>
      <c r="E25" s="83"/>
      <c r="F25" s="83"/>
      <c r="G25" s="93"/>
      <c r="H25" s="93"/>
      <c r="I25" s="93"/>
      <c r="J25" s="99">
        <f>J22</f>
        <v>0</v>
      </c>
    </row>
    <row r="26" spans="6:10" ht="12.75">
      <c r="F26" s="12"/>
      <c r="G26" s="27"/>
      <c r="H26" s="27"/>
      <c r="I26" s="27"/>
      <c r="J26" s="135" t="s">
        <v>405</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R421"/>
  <sheetViews>
    <sheetView zoomScalePageLayoutView="0" workbookViewId="0" topLeftCell="A1">
      <selection activeCell="G1" sqref="G1"/>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28125" style="0" customWidth="1"/>
    <col min="10" max="10" width="7.140625" style="0" customWidth="1"/>
    <col min="11" max="11" width="3.8515625" style="0" customWidth="1"/>
    <col min="15" max="15" width="15.421875" style="0" customWidth="1"/>
    <col min="16" max="16" width="13.00390625" style="0" customWidth="1"/>
  </cols>
  <sheetData>
    <row r="1" ht="12">
      <c r="A1" s="80" t="str">
        <f>'2.Yhteenveto'!A1</f>
        <v>12.2.2020, Kuntaliitto / Sanna Lehtonen</v>
      </c>
    </row>
    <row r="3" spans="1:11" ht="25.5" customHeight="1">
      <c r="A3" s="519" t="s">
        <v>674</v>
      </c>
      <c r="B3" s="520"/>
      <c r="C3" s="520"/>
      <c r="D3" s="520"/>
      <c r="E3" s="520"/>
      <c r="F3" s="520"/>
      <c r="G3" s="520"/>
      <c r="H3" s="520"/>
      <c r="I3" s="520"/>
      <c r="J3" s="521"/>
      <c r="K3" s="175"/>
    </row>
    <row r="5" spans="2:16" ht="18" customHeight="1">
      <c r="B5" s="55" t="s">
        <v>40</v>
      </c>
      <c r="C5" s="28"/>
      <c r="D5" s="28"/>
      <c r="E5" s="40"/>
      <c r="F5" s="56" t="s">
        <v>404</v>
      </c>
      <c r="P5" s="74"/>
    </row>
    <row r="6" spans="2:16" ht="17.25">
      <c r="B6" s="28"/>
      <c r="C6" s="28"/>
      <c r="D6" s="28"/>
      <c r="E6" s="102"/>
      <c r="F6" s="56" t="s">
        <v>403</v>
      </c>
      <c r="P6" s="74"/>
    </row>
    <row r="7" spans="15:16" ht="13.5">
      <c r="O7" s="75"/>
      <c r="P7" s="75"/>
    </row>
    <row r="8" spans="1:16" ht="13.5">
      <c r="A8" s="85" t="s">
        <v>0</v>
      </c>
      <c r="G8" s="168" t="str">
        <f>'2.Yhteenveto'!G11</f>
        <v>Alajärvi</v>
      </c>
      <c r="O8" s="76"/>
      <c r="P8" s="76"/>
    </row>
    <row r="9" spans="1:7" ht="12.75">
      <c r="A9" s="85" t="str">
        <f>'2.Yhteenveto'!B12</f>
        <v>Asukasluku 31.12.2017:</v>
      </c>
      <c r="G9" s="169">
        <f>'2.Yhteenveto'!H12</f>
        <v>9831</v>
      </c>
    </row>
    <row r="10" ht="12.75">
      <c r="E10" s="1"/>
    </row>
    <row r="11" spans="1:5" ht="12.75">
      <c r="A11" s="66"/>
      <c r="E11" s="1"/>
    </row>
    <row r="12" spans="2:7" ht="12.75">
      <c r="B12" s="1" t="s">
        <v>675</v>
      </c>
      <c r="E12" s="1"/>
      <c r="F12" s="30">
        <f>INDEX(kkk_1,MATCH($G$8,kunta,0),1,1)</f>
        <v>2413616.1673</v>
      </c>
      <c r="G12" s="5" t="s">
        <v>361</v>
      </c>
    </row>
    <row r="13" ht="12.75">
      <c r="E13" s="1"/>
    </row>
    <row r="14" ht="12.75">
      <c r="E14" s="1"/>
    </row>
    <row r="15" spans="2:5" ht="12.75">
      <c r="B15" s="1" t="s">
        <v>55</v>
      </c>
      <c r="E15" s="1"/>
    </row>
    <row r="16" spans="2:5" ht="12.75">
      <c r="B16" s="1" t="s">
        <v>604</v>
      </c>
      <c r="E16" s="1"/>
    </row>
    <row r="17" spans="5:6" ht="12">
      <c r="E17" s="126"/>
      <c r="F17" s="212" t="s">
        <v>56</v>
      </c>
    </row>
    <row r="18" spans="5:18" ht="12">
      <c r="E18" s="127"/>
      <c r="F18" s="213" t="s">
        <v>57</v>
      </c>
      <c r="R18" s="64"/>
    </row>
    <row r="19" spans="5:18" ht="12">
      <c r="E19" s="128"/>
      <c r="F19" s="214" t="s">
        <v>58</v>
      </c>
      <c r="O19" s="64"/>
      <c r="P19" s="64"/>
      <c r="R19" s="64"/>
    </row>
    <row r="20" spans="5:18" ht="12">
      <c r="E20" s="209" t="s">
        <v>605</v>
      </c>
      <c r="F20" s="210">
        <v>6600.17</v>
      </c>
      <c r="O20" s="64"/>
      <c r="P20" s="64"/>
      <c r="R20" s="64"/>
    </row>
    <row r="21" spans="15:18" ht="12">
      <c r="O21" s="64"/>
      <c r="P21" s="64"/>
      <c r="R21" s="64"/>
    </row>
    <row r="22" spans="15:18" ht="12">
      <c r="O22" s="64"/>
      <c r="P22" s="64"/>
      <c r="R22" s="64"/>
    </row>
    <row r="23" spans="2:18" ht="12.75">
      <c r="B23" s="1" t="s">
        <v>372</v>
      </c>
      <c r="O23" s="64"/>
      <c r="P23" s="64"/>
      <c r="R23" s="64"/>
    </row>
    <row r="24" spans="2:18" ht="12.75">
      <c r="B24" s="1"/>
      <c r="O24" s="64"/>
      <c r="P24" s="64"/>
      <c r="R24" s="64"/>
    </row>
    <row r="25" spans="4:15" ht="12.75">
      <c r="D25" s="215" t="s">
        <v>566</v>
      </c>
      <c r="O25" s="64"/>
    </row>
    <row r="26" spans="6:15" ht="12">
      <c r="F26" s="3" t="s">
        <v>31</v>
      </c>
      <c r="G26" s="3" t="s">
        <v>35</v>
      </c>
      <c r="H26" s="3" t="s">
        <v>36</v>
      </c>
      <c r="O26" s="64"/>
    </row>
    <row r="27" spans="5:15" ht="12">
      <c r="E27" s="49" t="s">
        <v>34</v>
      </c>
      <c r="F27" s="31"/>
      <c r="G27" s="51">
        <f>$F$20*0.61</f>
        <v>4026.1037</v>
      </c>
      <c r="H27" s="44">
        <f>F27*G27</f>
        <v>0</v>
      </c>
      <c r="O27" s="64"/>
    </row>
    <row r="28" spans="5:15" ht="12">
      <c r="E28" s="49" t="s">
        <v>33</v>
      </c>
      <c r="F28" s="31"/>
      <c r="G28" s="51">
        <f>$F$20*1</f>
        <v>6600.17</v>
      </c>
      <c r="H28" s="44">
        <f>F28*G28</f>
        <v>0</v>
      </c>
      <c r="O28" s="64"/>
    </row>
    <row r="29" spans="5:15" ht="12.75" thickBot="1">
      <c r="E29" t="s">
        <v>599</v>
      </c>
      <c r="F29" s="107"/>
      <c r="G29" s="211">
        <f>$F$20*1.6</f>
        <v>10560.272</v>
      </c>
      <c r="H29" s="129">
        <f>F29*G29</f>
        <v>0</v>
      </c>
      <c r="O29" s="64"/>
    </row>
    <row r="30" spans="1:15" s="5" customFormat="1" ht="12.75" thickTop="1">
      <c r="A30" s="192"/>
      <c r="D30" s="192" t="s">
        <v>371</v>
      </c>
      <c r="E30" s="192"/>
      <c r="F30" s="192"/>
      <c r="G30" s="216"/>
      <c r="H30" s="216">
        <f>SUM(H27:H29)</f>
        <v>0</v>
      </c>
      <c r="I30" s="125"/>
      <c r="O30" s="217"/>
    </row>
    <row r="31" spans="1:15" ht="12.75">
      <c r="A31" s="53"/>
      <c r="B31" s="123"/>
      <c r="D31" s="53"/>
      <c r="E31" s="123"/>
      <c r="F31" s="123"/>
      <c r="G31" s="124"/>
      <c r="H31" s="124"/>
      <c r="I31" s="125"/>
      <c r="O31" s="64"/>
    </row>
    <row r="32" spans="1:15" ht="12.75">
      <c r="A32" s="53"/>
      <c r="B32" s="123"/>
      <c r="D32" s="53"/>
      <c r="E32" s="123"/>
      <c r="F32" s="123"/>
      <c r="G32" s="124"/>
      <c r="H32" s="124"/>
      <c r="I32" s="125"/>
      <c r="O32" s="64"/>
    </row>
    <row r="33" spans="1:15" ht="12.75">
      <c r="A33" s="53"/>
      <c r="D33" s="215" t="s">
        <v>565</v>
      </c>
      <c r="E33" s="123"/>
      <c r="F33" s="123"/>
      <c r="G33" s="124"/>
      <c r="H33" s="124"/>
      <c r="I33" s="125"/>
      <c r="O33" s="64"/>
    </row>
    <row r="34" spans="6:15" ht="12">
      <c r="F34" s="3" t="s">
        <v>31</v>
      </c>
      <c r="G34" s="3" t="s">
        <v>35</v>
      </c>
      <c r="H34" s="3" t="s">
        <v>36</v>
      </c>
      <c r="O34" s="64"/>
    </row>
    <row r="35" spans="5:15" ht="12">
      <c r="E35" s="49" t="s">
        <v>34</v>
      </c>
      <c r="F35" s="31"/>
      <c r="G35" s="51">
        <f>$F$20*0.61*0.94</f>
        <v>3784.5374779999997</v>
      </c>
      <c r="H35" s="44">
        <f>F35*G35</f>
        <v>0</v>
      </c>
      <c r="O35" s="64"/>
    </row>
    <row r="36" spans="5:15" ht="12">
      <c r="E36" s="49" t="s">
        <v>33</v>
      </c>
      <c r="F36" s="31"/>
      <c r="G36" s="51">
        <f>$F$20*1*0.94</f>
        <v>6204.159799999999</v>
      </c>
      <c r="H36" s="44">
        <f>F36*G36</f>
        <v>0</v>
      </c>
      <c r="O36" s="64"/>
    </row>
    <row r="37" spans="5:15" ht="12.75" thickBot="1">
      <c r="E37" t="s">
        <v>599</v>
      </c>
      <c r="F37" s="107"/>
      <c r="G37" s="211">
        <f>$F$20*1.6*0.94</f>
        <v>9926.65568</v>
      </c>
      <c r="H37" s="129">
        <f>F37*G37</f>
        <v>0</v>
      </c>
      <c r="O37" s="64"/>
    </row>
    <row r="38" spans="1:15" s="5" customFormat="1" ht="12.75" thickTop="1">
      <c r="A38" s="192"/>
      <c r="D38" s="192" t="s">
        <v>371</v>
      </c>
      <c r="E38" s="192"/>
      <c r="F38" s="192"/>
      <c r="G38" s="216"/>
      <c r="H38" s="216">
        <f>SUM(H35:H37)</f>
        <v>0</v>
      </c>
      <c r="I38" s="125"/>
      <c r="O38" s="217"/>
    </row>
    <row r="39" spans="1:15" ht="13.5" thickBot="1">
      <c r="A39" s="53"/>
      <c r="C39" s="218"/>
      <c r="D39" s="109"/>
      <c r="E39" s="218"/>
      <c r="F39" s="218"/>
      <c r="G39" s="219"/>
      <c r="H39" s="219"/>
      <c r="I39" s="125"/>
      <c r="O39" s="64"/>
    </row>
    <row r="40" spans="1:15" ht="13.5" thickTop="1">
      <c r="A40" s="53"/>
      <c r="C40" s="123" t="s">
        <v>371</v>
      </c>
      <c r="D40" s="53"/>
      <c r="E40" s="123"/>
      <c r="F40" s="123"/>
      <c r="G40" s="124"/>
      <c r="H40" s="224">
        <f>H30+H38</f>
        <v>0</v>
      </c>
      <c r="I40" s="314">
        <f>INDEX(kkk_3,MATCH($G$8,kunta,0),1,1)</f>
        <v>0</v>
      </c>
      <c r="O40" s="64"/>
    </row>
    <row r="41" spans="9:15" ht="12">
      <c r="I41" s="314"/>
      <c r="O41" s="64"/>
    </row>
    <row r="42" spans="1:15" ht="12.75">
      <c r="A42" s="53"/>
      <c r="B42" s="123" t="s">
        <v>370</v>
      </c>
      <c r="C42" s="53"/>
      <c r="D42" s="53"/>
      <c r="E42" s="123"/>
      <c r="F42" s="53"/>
      <c r="G42" s="53"/>
      <c r="H42" s="124"/>
      <c r="I42" s="314"/>
      <c r="O42" s="64"/>
    </row>
    <row r="43" spans="6:15" ht="12">
      <c r="F43" s="3" t="s">
        <v>31</v>
      </c>
      <c r="G43" s="3" t="s">
        <v>35</v>
      </c>
      <c r="H43" s="3" t="s">
        <v>36</v>
      </c>
      <c r="I43" s="314"/>
      <c r="O43" s="64"/>
    </row>
    <row r="44" spans="5:15" ht="12">
      <c r="E44" s="49" t="s">
        <v>34</v>
      </c>
      <c r="F44" s="31"/>
      <c r="G44" s="51">
        <f>$F$20*0.61</f>
        <v>4026.1037</v>
      </c>
      <c r="H44" s="44">
        <f>F44*G44</f>
        <v>0</v>
      </c>
      <c r="I44" s="314"/>
      <c r="O44" s="64"/>
    </row>
    <row r="45" spans="5:15" ht="12">
      <c r="E45" s="49" t="s">
        <v>33</v>
      </c>
      <c r="F45" s="31"/>
      <c r="G45" s="51">
        <f>$F$20*1</f>
        <v>6600.17</v>
      </c>
      <c r="H45" s="44">
        <f>F45*G45</f>
        <v>0</v>
      </c>
      <c r="I45" s="314"/>
      <c r="O45" s="64"/>
    </row>
    <row r="46" spans="5:15" ht="12.75" thickBot="1">
      <c r="E46" t="s">
        <v>599</v>
      </c>
      <c r="F46" s="107"/>
      <c r="G46" s="211">
        <f>$F$20*1.6</f>
        <v>10560.272</v>
      </c>
      <c r="H46" s="129">
        <f>F46*G46</f>
        <v>0</v>
      </c>
      <c r="I46" s="314"/>
      <c r="O46" s="64"/>
    </row>
    <row r="47" spans="1:15" ht="13.5" thickTop="1">
      <c r="A47" s="53"/>
      <c r="B47" s="123" t="s">
        <v>567</v>
      </c>
      <c r="C47" s="53"/>
      <c r="D47" s="53"/>
      <c r="E47" s="123"/>
      <c r="F47" s="123"/>
      <c r="G47" s="124"/>
      <c r="H47" s="224">
        <f>SUM(H44:H46)</f>
        <v>0</v>
      </c>
      <c r="I47" s="314">
        <f>INDEX(kkk_2,MATCH($G$8,kunta,0),1,1)</f>
        <v>0</v>
      </c>
      <c r="O47" s="64"/>
    </row>
    <row r="48" spans="1:15" ht="12.75">
      <c r="A48" s="53"/>
      <c r="B48" s="123"/>
      <c r="C48" s="53"/>
      <c r="D48" s="53"/>
      <c r="E48" s="123"/>
      <c r="F48" s="123"/>
      <c r="G48" s="124"/>
      <c r="H48" s="224"/>
      <c r="I48" s="315"/>
      <c r="O48" s="64"/>
    </row>
    <row r="49" spans="1:15" ht="12.75">
      <c r="A49" s="53"/>
      <c r="B49" s="123"/>
      <c r="C49" s="53"/>
      <c r="D49" s="53"/>
      <c r="E49" s="123"/>
      <c r="F49" s="123"/>
      <c r="G49" s="124"/>
      <c r="H49" s="124"/>
      <c r="I49" s="315"/>
      <c r="O49" s="64"/>
    </row>
    <row r="50" spans="1:15" ht="12.75">
      <c r="A50" s="53"/>
      <c r="B50" s="123" t="s">
        <v>564</v>
      </c>
      <c r="C50" s="53"/>
      <c r="D50" s="53"/>
      <c r="E50" s="123"/>
      <c r="F50" s="123"/>
      <c r="G50" s="124"/>
      <c r="H50" s="224">
        <f>IF(H47-H40&lt;&gt;0,H47-H40,F12)</f>
        <v>2413616.1673</v>
      </c>
      <c r="I50" s="316">
        <f>I47-I40</f>
        <v>0</v>
      </c>
      <c r="O50" s="64"/>
    </row>
    <row r="51" spans="1:15" ht="12.75">
      <c r="A51" s="53"/>
      <c r="B51" s="123"/>
      <c r="C51" s="53"/>
      <c r="D51" s="53"/>
      <c r="E51" s="123"/>
      <c r="F51" s="123"/>
      <c r="G51" s="124"/>
      <c r="H51" s="135" t="s">
        <v>405</v>
      </c>
      <c r="I51" s="125"/>
      <c r="O51" s="64"/>
    </row>
    <row r="52" ht="12">
      <c r="O52" s="64"/>
    </row>
    <row r="53" ht="12">
      <c r="O53" s="64"/>
    </row>
    <row r="54" ht="12">
      <c r="O54" s="64"/>
    </row>
    <row r="55" ht="12">
      <c r="O55" s="64"/>
    </row>
    <row r="56" ht="12">
      <c r="O56" s="64"/>
    </row>
    <row r="57" ht="12">
      <c r="O57" s="64"/>
    </row>
    <row r="58" ht="12">
      <c r="O58" s="64"/>
    </row>
    <row r="59" ht="12">
      <c r="O59" s="64"/>
    </row>
    <row r="60" ht="12">
      <c r="O60" s="64"/>
    </row>
    <row r="61" ht="12">
      <c r="O61" s="64"/>
    </row>
    <row r="62" ht="12">
      <c r="O62" s="64"/>
    </row>
    <row r="63" ht="12">
      <c r="O63" s="64"/>
    </row>
    <row r="64" ht="12">
      <c r="O64" s="64"/>
    </row>
    <row r="65" ht="12">
      <c r="O65" s="64"/>
    </row>
    <row r="66" ht="12">
      <c r="O66" s="64"/>
    </row>
    <row r="67" ht="12">
      <c r="O67" s="64"/>
    </row>
    <row r="68" ht="12">
      <c r="O68" s="64"/>
    </row>
    <row r="69" ht="12">
      <c r="O69" s="64"/>
    </row>
    <row r="70" ht="12">
      <c r="O70" s="64"/>
    </row>
    <row r="71" ht="12">
      <c r="O71" s="64"/>
    </row>
    <row r="72" ht="12">
      <c r="O72" s="64"/>
    </row>
    <row r="73" ht="12">
      <c r="O73" s="64"/>
    </row>
    <row r="74" ht="12">
      <c r="O74" s="64"/>
    </row>
    <row r="75" ht="12">
      <c r="O75" s="64"/>
    </row>
    <row r="76" ht="12">
      <c r="O76" s="64"/>
    </row>
    <row r="77" ht="12">
      <c r="O77" s="64"/>
    </row>
    <row r="78" ht="12">
      <c r="O78" s="64"/>
    </row>
    <row r="79" ht="12">
      <c r="O79" s="64"/>
    </row>
    <row r="80" ht="12">
      <c r="O80" s="64"/>
    </row>
    <row r="81" ht="12">
      <c r="O81" s="64"/>
    </row>
    <row r="82" ht="12">
      <c r="O82" s="64"/>
    </row>
    <row r="83" ht="12">
      <c r="O83" s="64"/>
    </row>
    <row r="84" ht="12">
      <c r="O84" s="64"/>
    </row>
    <row r="85" ht="12">
      <c r="O85" s="64"/>
    </row>
    <row r="86" ht="12">
      <c r="O86" s="64"/>
    </row>
    <row r="87" ht="12">
      <c r="O87" s="64"/>
    </row>
    <row r="88" ht="12">
      <c r="O88" s="64"/>
    </row>
    <row r="89" ht="12">
      <c r="O89" s="64"/>
    </row>
    <row r="90" ht="12">
      <c r="O90" s="64"/>
    </row>
    <row r="91" ht="12">
      <c r="O91" s="64"/>
    </row>
    <row r="92" ht="12">
      <c r="O92" s="64"/>
    </row>
    <row r="93" ht="12">
      <c r="O93" s="64"/>
    </row>
    <row r="94" ht="12">
      <c r="O94" s="64"/>
    </row>
    <row r="95" ht="12">
      <c r="O95" s="64"/>
    </row>
    <row r="96" ht="12">
      <c r="O96" s="64"/>
    </row>
    <row r="97" ht="12">
      <c r="O97" s="64"/>
    </row>
    <row r="98" ht="12">
      <c r="O98" s="64"/>
    </row>
    <row r="99" ht="12">
      <c r="O99" s="64"/>
    </row>
    <row r="100" ht="12">
      <c r="O100" s="64"/>
    </row>
    <row r="101" ht="12">
      <c r="O101" s="64"/>
    </row>
    <row r="102" ht="12">
      <c r="O102" s="64"/>
    </row>
    <row r="103" ht="12">
      <c r="O103" s="64"/>
    </row>
    <row r="104" ht="12">
      <c r="O104" s="64"/>
    </row>
    <row r="105" ht="12">
      <c r="O105" s="64"/>
    </row>
    <row r="106" ht="12">
      <c r="O106" s="64"/>
    </row>
    <row r="107" ht="12">
      <c r="O107" s="64"/>
    </row>
    <row r="108" ht="12">
      <c r="O108" s="64"/>
    </row>
    <row r="109" ht="12">
      <c r="O109" s="64"/>
    </row>
    <row r="110" ht="12">
      <c r="O110" s="64"/>
    </row>
    <row r="111" ht="12">
      <c r="O111" s="64"/>
    </row>
    <row r="112" ht="12">
      <c r="O112" s="64"/>
    </row>
    <row r="113" ht="12">
      <c r="O113" s="64"/>
    </row>
    <row r="114" ht="12">
      <c r="O114" s="64"/>
    </row>
    <row r="115" ht="12">
      <c r="O115" s="64"/>
    </row>
    <row r="116" ht="12">
      <c r="O116" s="64"/>
    </row>
    <row r="117" ht="12">
      <c r="O117" s="64"/>
    </row>
    <row r="118" ht="12">
      <c r="O118" s="64"/>
    </row>
    <row r="119" ht="12">
      <c r="O119" s="64"/>
    </row>
    <row r="120" ht="12">
      <c r="O120" s="64"/>
    </row>
    <row r="121" ht="12">
      <c r="O121" s="64"/>
    </row>
    <row r="122" ht="12">
      <c r="O122" s="64"/>
    </row>
    <row r="123" ht="12">
      <c r="O123" s="64"/>
    </row>
    <row r="124" ht="12">
      <c r="O124" s="64"/>
    </row>
    <row r="125" ht="12">
      <c r="O125" s="64"/>
    </row>
    <row r="126" ht="12">
      <c r="O126" s="64"/>
    </row>
    <row r="127" ht="12">
      <c r="O127" s="64"/>
    </row>
    <row r="128" ht="12">
      <c r="O128" s="64"/>
    </row>
    <row r="129" ht="12">
      <c r="O129" s="64"/>
    </row>
    <row r="130" ht="12">
      <c r="O130" s="64"/>
    </row>
    <row r="131" ht="12">
      <c r="O131" s="64"/>
    </row>
    <row r="132" ht="12">
      <c r="O132" s="64"/>
    </row>
    <row r="133" ht="12">
      <c r="O133" s="64"/>
    </row>
    <row r="134" ht="12">
      <c r="O134" s="64"/>
    </row>
    <row r="135" ht="12">
      <c r="O135" s="64"/>
    </row>
    <row r="136" ht="12">
      <c r="O136" s="64"/>
    </row>
    <row r="137" ht="12">
      <c r="O137" s="64"/>
    </row>
    <row r="138" ht="12">
      <c r="O138" s="64"/>
    </row>
    <row r="139" ht="12">
      <c r="O139" s="64"/>
    </row>
    <row r="140" ht="12">
      <c r="O140" s="64"/>
    </row>
    <row r="141" ht="12">
      <c r="O141" s="64"/>
    </row>
    <row r="142" ht="12">
      <c r="O142" s="64"/>
    </row>
    <row r="143" ht="12">
      <c r="O143" s="64"/>
    </row>
    <row r="144" ht="12">
      <c r="O144" s="64"/>
    </row>
    <row r="145" ht="12">
      <c r="O145" s="64"/>
    </row>
    <row r="146" ht="12">
      <c r="O146" s="64"/>
    </row>
    <row r="147" ht="12">
      <c r="O147" s="64"/>
    </row>
    <row r="148" ht="12">
      <c r="O148" s="64"/>
    </row>
    <row r="149" ht="12">
      <c r="O149" s="64"/>
    </row>
    <row r="150" ht="12">
      <c r="O150" s="64"/>
    </row>
    <row r="151" ht="12">
      <c r="O151" s="64"/>
    </row>
    <row r="152" ht="12">
      <c r="O152" s="64"/>
    </row>
    <row r="153" ht="12">
      <c r="O153" s="64"/>
    </row>
    <row r="154" ht="12">
      <c r="O154" s="64"/>
    </row>
    <row r="155" ht="12">
      <c r="O155" s="64"/>
    </row>
    <row r="156" ht="12">
      <c r="O156" s="64"/>
    </row>
    <row r="157" ht="12">
      <c r="O157" s="64"/>
    </row>
    <row r="158" ht="12">
      <c r="O158" s="64"/>
    </row>
    <row r="159" ht="12">
      <c r="O159" s="64"/>
    </row>
    <row r="160" ht="12">
      <c r="O160" s="64"/>
    </row>
    <row r="161" ht="12">
      <c r="O161" s="64"/>
    </row>
    <row r="162" ht="12">
      <c r="O162" s="64"/>
    </row>
    <row r="163" ht="12">
      <c r="O163" s="64"/>
    </row>
    <row r="164" ht="12">
      <c r="O164" s="64"/>
    </row>
    <row r="165" ht="12">
      <c r="O165" s="64"/>
    </row>
    <row r="166" ht="12">
      <c r="O166" s="64"/>
    </row>
    <row r="167" ht="12">
      <c r="O167" s="64"/>
    </row>
    <row r="168" ht="12">
      <c r="O168" s="64"/>
    </row>
    <row r="169" ht="12">
      <c r="O169" s="64"/>
    </row>
    <row r="170" ht="12">
      <c r="O170" s="64"/>
    </row>
    <row r="171" ht="12">
      <c r="O171" s="64"/>
    </row>
    <row r="172" ht="12">
      <c r="O172" s="64"/>
    </row>
    <row r="173" ht="12">
      <c r="O173" s="64"/>
    </row>
    <row r="174" ht="12">
      <c r="O174" s="64"/>
    </row>
    <row r="175" ht="12">
      <c r="O175" s="64"/>
    </row>
    <row r="176" ht="12">
      <c r="O176" s="64"/>
    </row>
    <row r="177" ht="12">
      <c r="O177" s="64"/>
    </row>
    <row r="178" ht="12">
      <c r="O178" s="64"/>
    </row>
    <row r="179" ht="12">
      <c r="O179" s="64"/>
    </row>
    <row r="180" ht="12">
      <c r="O180" s="64"/>
    </row>
    <row r="181" ht="12">
      <c r="O181" s="64"/>
    </row>
    <row r="182" ht="12">
      <c r="O182" s="64"/>
    </row>
    <row r="183" ht="12">
      <c r="O183" s="64"/>
    </row>
    <row r="184" ht="12">
      <c r="O184" s="64"/>
    </row>
    <row r="185" ht="12">
      <c r="O185" s="64"/>
    </row>
    <row r="186" ht="12">
      <c r="O186" s="64"/>
    </row>
    <row r="187" ht="12">
      <c r="O187" s="64"/>
    </row>
    <row r="188" ht="12">
      <c r="O188" s="64"/>
    </row>
    <row r="189" ht="12">
      <c r="O189" s="64"/>
    </row>
    <row r="190" ht="12">
      <c r="O190" s="64"/>
    </row>
    <row r="191" ht="12">
      <c r="O191" s="64"/>
    </row>
    <row r="192" ht="12">
      <c r="O192" s="64"/>
    </row>
    <row r="193" ht="12">
      <c r="O193" s="64"/>
    </row>
    <row r="194" ht="12">
      <c r="O194" s="64"/>
    </row>
    <row r="195" ht="12">
      <c r="O195" s="64"/>
    </row>
    <row r="326" ht="12">
      <c r="R326">
        <v>629984.6681482845</v>
      </c>
    </row>
    <row r="327" ht="12">
      <c r="R327">
        <v>533704.5170515766</v>
      </c>
    </row>
    <row r="328" ht="12">
      <c r="R328">
        <v>2948920.1810058244</v>
      </c>
    </row>
    <row r="329" ht="12">
      <c r="R329">
        <v>2609406.3443768644</v>
      </c>
    </row>
    <row r="330" ht="12">
      <c r="R330">
        <v>4229372.364863616</v>
      </c>
    </row>
    <row r="331" ht="12">
      <c r="R331">
        <v>4148131.5539559717</v>
      </c>
    </row>
    <row r="332" ht="12">
      <c r="R332">
        <v>5399482.551816998</v>
      </c>
    </row>
    <row r="333" ht="12">
      <c r="R333">
        <v>2639720.079790164</v>
      </c>
    </row>
    <row r="334" ht="12">
      <c r="R334">
        <v>9700.395332256001</v>
      </c>
    </row>
    <row r="335" ht="12">
      <c r="R335">
        <v>5466172.769726257</v>
      </c>
    </row>
    <row r="336" ht="12">
      <c r="R336">
        <v>264396.40027480264</v>
      </c>
    </row>
    <row r="337" ht="12">
      <c r="R337">
        <v>2473600.809725279</v>
      </c>
    </row>
    <row r="338" ht="12">
      <c r="R338">
        <v>1090445.6902872275</v>
      </c>
    </row>
    <row r="339" ht="12">
      <c r="R339">
        <v>385590.7144571758</v>
      </c>
    </row>
    <row r="340" ht="12">
      <c r="R340">
        <v>4560398.355576853</v>
      </c>
    </row>
    <row r="341" ht="12">
      <c r="R341">
        <v>2579092.6089635636</v>
      </c>
    </row>
    <row r="342" ht="12">
      <c r="R342">
        <v>2007981.8337769923</v>
      </c>
    </row>
    <row r="343" ht="12">
      <c r="R343">
        <v>3484867.023112968</v>
      </c>
    </row>
    <row r="344" ht="12">
      <c r="R344">
        <v>3970393.690028048</v>
      </c>
    </row>
    <row r="345" ht="12">
      <c r="R345">
        <v>200070.65372778007</v>
      </c>
    </row>
    <row r="346" ht="12">
      <c r="R346">
        <v>4848031.050914739</v>
      </c>
    </row>
    <row r="347" ht="12">
      <c r="R347">
        <v>2798564.053355856</v>
      </c>
    </row>
    <row r="348" ht="12">
      <c r="R348">
        <v>1577405.5359664788</v>
      </c>
    </row>
    <row r="349" ht="12">
      <c r="R349">
        <v>3627341.579555479</v>
      </c>
    </row>
    <row r="350" ht="12">
      <c r="R350">
        <v>4396704.184345033</v>
      </c>
    </row>
    <row r="351" ht="12">
      <c r="R351">
        <v>4597987.387489344</v>
      </c>
    </row>
    <row r="352" ht="12">
      <c r="R352">
        <v>9700.395332256001</v>
      </c>
    </row>
    <row r="353" ht="12">
      <c r="R353">
        <v>1666042.8983149678</v>
      </c>
    </row>
    <row r="354" ht="12">
      <c r="R354">
        <v>1551941.9982193066</v>
      </c>
    </row>
    <row r="355" ht="12">
      <c r="R355">
        <v>1603347.93907217</v>
      </c>
    </row>
    <row r="356" ht="12">
      <c r="R356">
        <v>1740729.8152081931</v>
      </c>
    </row>
    <row r="357" ht="12">
      <c r="R357">
        <v>1106330.0876437968</v>
      </c>
    </row>
    <row r="358" ht="12">
      <c r="R358">
        <v>1407875.8399696494</v>
      </c>
    </row>
    <row r="359" ht="12">
      <c r="R359">
        <v>1461061.4194502328</v>
      </c>
    </row>
    <row r="360" ht="12">
      <c r="R360">
        <v>1323861.4529696372</v>
      </c>
    </row>
    <row r="361" ht="12">
      <c r="R361">
        <v>830591.3294776846</v>
      </c>
    </row>
    <row r="362" ht="12">
      <c r="R362">
        <v>1558126.0002436198</v>
      </c>
    </row>
    <row r="363" ht="12">
      <c r="R363">
        <v>1116082.076058425</v>
      </c>
    </row>
    <row r="364" ht="12">
      <c r="R364">
        <v>608786.2706213386</v>
      </c>
    </row>
    <row r="365" ht="12">
      <c r="R365">
        <v>1068256.035964692</v>
      </c>
    </row>
    <row r="366" ht="12">
      <c r="R366">
        <v>1641791.9099843276</v>
      </c>
    </row>
    <row r="367" ht="12">
      <c r="R367">
        <v>1048273.1398771544</v>
      </c>
    </row>
    <row r="368" ht="12">
      <c r="R368">
        <v>414691.900453944</v>
      </c>
    </row>
    <row r="369" ht="12">
      <c r="R369">
        <v>1162410.4981584016</v>
      </c>
    </row>
    <row r="370" ht="12">
      <c r="R370">
        <v>482594.667779736</v>
      </c>
    </row>
    <row r="371" ht="12">
      <c r="R371">
        <v>1659357.4923391074</v>
      </c>
    </row>
    <row r="372" ht="12">
      <c r="R372">
        <v>59414.921410068004</v>
      </c>
    </row>
    <row r="373" ht="12">
      <c r="R373">
        <v>1230313.2654841938</v>
      </c>
    </row>
    <row r="374" ht="12">
      <c r="R374">
        <v>2869388.580070837</v>
      </c>
    </row>
    <row r="375" ht="12">
      <c r="R375">
        <v>575233.4432027808</v>
      </c>
    </row>
    <row r="376" ht="12">
      <c r="R376">
        <v>4674341.624248364</v>
      </c>
    </row>
    <row r="377" ht="12">
      <c r="R377">
        <v>1411407.520843248</v>
      </c>
    </row>
    <row r="378" ht="12">
      <c r="R378">
        <v>572868.9718405433</v>
      </c>
    </row>
    <row r="379" ht="12">
      <c r="R379">
        <v>623007.8902141416</v>
      </c>
    </row>
    <row r="380" ht="12">
      <c r="R380">
        <v>485565.41385023936</v>
      </c>
    </row>
    <row r="381" ht="12">
      <c r="R381">
        <v>1189510.977617892</v>
      </c>
    </row>
    <row r="382" ht="12">
      <c r="R382">
        <v>1247592.0946697746</v>
      </c>
    </row>
    <row r="383" ht="12">
      <c r="R383">
        <v>491082.51369545993</v>
      </c>
    </row>
    <row r="384" ht="12">
      <c r="R384">
        <v>369398.6296558954</v>
      </c>
    </row>
    <row r="385" ht="12">
      <c r="R385">
        <v>574869.6783778212</v>
      </c>
    </row>
    <row r="386" ht="12">
      <c r="R386">
        <v>412266.80162088</v>
      </c>
    </row>
    <row r="387" ht="12">
      <c r="R387">
        <v>77603.16265804801</v>
      </c>
    </row>
    <row r="388" ht="12">
      <c r="R388">
        <v>727105.2576234139</v>
      </c>
    </row>
    <row r="389" ht="12">
      <c r="R389">
        <v>206012.83648000003</v>
      </c>
    </row>
    <row r="390" ht="12">
      <c r="R390">
        <v>142804.35256000003</v>
      </c>
    </row>
    <row r="391" ht="12">
      <c r="R391">
        <v>168555.95712000006</v>
      </c>
    </row>
    <row r="392" ht="12">
      <c r="R392">
        <v>309019.25471999997</v>
      </c>
    </row>
    <row r="393" ht="12">
      <c r="R393">
        <v>112370.63808</v>
      </c>
    </row>
    <row r="394" ht="12">
      <c r="R394">
        <v>4410468.701402</v>
      </c>
    </row>
    <row r="395" ht="12">
      <c r="R395">
        <v>3928791.510475</v>
      </c>
    </row>
    <row r="396" ht="12">
      <c r="R396">
        <v>242474.76748200005</v>
      </c>
    </row>
    <row r="397" ht="12">
      <c r="R397">
        <v>36286.35188</v>
      </c>
    </row>
    <row r="398" ht="12">
      <c r="R398">
        <v>515032.09119999985</v>
      </c>
    </row>
    <row r="399" ht="12">
      <c r="R399">
        <v>255174.99064000006</v>
      </c>
    </row>
    <row r="400" ht="12">
      <c r="R400">
        <v>635713.4743880002</v>
      </c>
    </row>
    <row r="401" ht="12">
      <c r="R401">
        <v>959071.6907380007</v>
      </c>
    </row>
    <row r="402" ht="12">
      <c r="R402">
        <v>324236.11196</v>
      </c>
    </row>
    <row r="403" ht="12">
      <c r="R403">
        <v>1244621.8694839994</v>
      </c>
    </row>
    <row r="404" ht="12">
      <c r="R404">
        <v>2866466.8206816483</v>
      </c>
    </row>
    <row r="405" ht="12">
      <c r="R405">
        <v>5292171.928453915</v>
      </c>
    </row>
    <row r="406" ht="12">
      <c r="R406">
        <v>4225916.599026499</v>
      </c>
    </row>
    <row r="407" ht="12">
      <c r="R407">
        <v>2639783.5897832643</v>
      </c>
    </row>
    <row r="408" ht="12">
      <c r="R408">
        <v>5473508.693696276</v>
      </c>
    </row>
    <row r="409" ht="12">
      <c r="R409">
        <v>2488317.019898427</v>
      </c>
    </row>
    <row r="410" ht="12">
      <c r="R410">
        <v>5564510.527407001</v>
      </c>
    </row>
    <row r="411" ht="12">
      <c r="R411">
        <v>4865960.808542917</v>
      </c>
    </row>
    <row r="412" ht="12">
      <c r="R412">
        <v>4791995.294134463</v>
      </c>
    </row>
    <row r="413" ht="12">
      <c r="R413">
        <v>2512402.3910543043</v>
      </c>
    </row>
    <row r="414" ht="12">
      <c r="R414">
        <v>3317369.4268152765</v>
      </c>
    </row>
    <row r="415" ht="12">
      <c r="R415">
        <v>222458.74757400004</v>
      </c>
    </row>
    <row r="416" ht="12">
      <c r="R416">
        <v>18728.439680000003</v>
      </c>
    </row>
    <row r="417" ht="12">
      <c r="R417">
        <v>268167.845668</v>
      </c>
    </row>
    <row r="418" ht="12">
      <c r="R418">
        <v>103006.41824000001</v>
      </c>
    </row>
    <row r="419" ht="12">
      <c r="R419">
        <v>145835.72510500005</v>
      </c>
    </row>
    <row r="420" ht="12">
      <c r="R420">
        <v>195478.08916000003</v>
      </c>
    </row>
    <row r="421" ht="12">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Lehtonen Sanna</cp:lastModifiedBy>
  <cp:lastPrinted>2018-09-18T19:23:17Z</cp:lastPrinted>
  <dcterms:created xsi:type="dcterms:W3CDTF">2009-11-13T07:40:31Z</dcterms:created>
  <dcterms:modified xsi:type="dcterms:W3CDTF">2020-02-12T12:03:03Z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