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80" windowWidth="15360" windowHeight="8310" tabRatio="783" firstSheet="1" activeTab="2"/>
  </bookViews>
  <sheets>
    <sheet name="tiedot" sheetId="1" state="hidden" r:id="rId1"/>
    <sheet name="1.Täyttöohjeet" sheetId="2" r:id="rId2"/>
    <sheet name="2.Yhteenveto" sheetId="3" r:id="rId3"/>
    <sheet name="3.Ikärakenne" sheetId="4" r:id="rId4"/>
    <sheet name="4.Muut lask. kustannukset" sheetId="5" r:id="rId5"/>
    <sheet name="5.Lisäosat" sheetId="6" r:id="rId6"/>
    <sheet name="6.Vähennykset ja lisäykset" sheetId="7" r:id="rId7"/>
    <sheet name="7.Järjestelmämuutos 2015" sheetId="8" state="hidden" r:id="rId8"/>
    <sheet name="8.Kotikuntakorvaukset" sheetId="9" state="hidden" r:id="rId9"/>
    <sheet name="7.Tulopohjan tasaus" sheetId="10" r:id="rId10"/>
    <sheet name="8.Opetus ja kulttuuri, muu vos" sheetId="11" r:id="rId11"/>
    <sheet name="9.Lukio" sheetId="12" r:id="rId12"/>
  </sheets>
  <definedNames>
    <definedName name="_xlfn.SUMIFS" hidden="1">#NAME?</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'tiedot'!$CF$2:$CF$295</definedName>
    <definedName name="kkk_1">'tiedot'!$CK$2:$CK$295</definedName>
    <definedName name="kkk_2">'tiedot'!$CI$2:$CI$295</definedName>
    <definedName name="kkk_3">'tiedot'!$CJ$2:$CJ$295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'tiedot'!$CH$2:$CH$295</definedName>
    <definedName name="sair_0">'tiedot'!$AE$2:$AE$295</definedName>
    <definedName name="sair_1">'tiedot'!$AF$2:$AF$295</definedName>
    <definedName name="sair_2">'tiedot'!#REF!</definedName>
    <definedName name="sair_3">'tiedot'!#REF!</definedName>
    <definedName name="sair_4">'tiedot'!#REF!</definedName>
    <definedName name="tasa_1">'tiedot'!$CG$2:$CG$295</definedName>
    <definedName name="_xlnm.Print_Area" localSheetId="1">'1.Täyttöohjeet'!$A$1:$M$105</definedName>
    <definedName name="_xlnm.Print_Area" localSheetId="2">'2.Yhteenveto'!$A$11:$M$66</definedName>
    <definedName name="_xlnm.Print_Area" localSheetId="8">'8.Kotikuntakorvaukset'!$E$10:$K$51</definedName>
    <definedName name="_xlnm.Print_Area" localSheetId="10">'8.Opetus ja kulttuuri, muu vos'!$A$1:$K$104</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'tiedot'!$BX$2:$BX$296</definedName>
    <definedName name="vl_24">'tiedot'!$BY$2:$BY$295</definedName>
    <definedName name="vl_25">'tiedot'!$CD$2:$CD$295</definedName>
    <definedName name="vl_26">'tiedot'!$CE$2:$CE$295</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'tiedot'!$CL$2:$CL$295</definedName>
    <definedName name="vos_maksatus">'tiedot'!$CM$2:$CM$295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1.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0"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<sst xmlns="http://schemas.openxmlformats.org/spreadsheetml/2006/main" count="2128" uniqueCount="1179">
  <si>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</si>
  <si>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</si>
  <si>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</si>
  <si>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</si>
  <si>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</si>
  <si>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</si>
  <si>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</si>
  <si>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</si>
  <si>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</si>
  <si>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</si>
  <si>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</si>
  <si>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</si>
  <si>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</si>
  <si>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</si>
  <si>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</si>
  <si>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</si>
  <si>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</si>
  <si>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</si>
  <si>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</si>
  <si>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</si>
  <si>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</si>
  <si>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</si>
  <si>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</si>
  <si>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</si>
  <si>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</si>
  <si>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</si>
  <si>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</si>
  <si>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</si>
  <si>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</si>
  <si>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</si>
  <si>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</si>
  <si>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</si>
  <si>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</si>
  <si>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</si>
  <si>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</si>
  <si>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</si>
  <si>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</si>
  <si>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</si>
  <si>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</si>
  <si>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</si>
  <si>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</si>
  <si>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</si>
  <si>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</si>
  <si>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</si>
  <si>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</si>
  <si>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</si>
  <si>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</si>
  <si>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</si>
  <si>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</si>
  <si>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</si>
  <si>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</si>
  <si>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</si>
  <si>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</si>
  <si>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</si>
  <si>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</si>
  <si>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</si>
  <si>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</si>
  <si>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</si>
  <si>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</si>
  <si>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</si>
  <si>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</si>
  <si>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</si>
  <si>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</si>
  <si>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</si>
  <si>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</si>
  <si>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</si>
  <si>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</si>
  <si>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</si>
  <si>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</si>
  <si>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</si>
  <si>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</si>
  <si>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</si>
  <si>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</si>
  <si>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</si>
  <si>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</si>
  <si>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</si>
  <si>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</si>
  <si>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</si>
  <si>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</si>
  <si>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</si>
  <si>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</si>
  <si>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</si>
  <si>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</si>
  <si>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</si>
  <si>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</si>
  <si>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</si>
  <si>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</si>
  <si>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</si>
  <si>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</si>
  <si>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</si>
  <si>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</si>
  <si>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</si>
  <si>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</si>
  <si>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</si>
  <si>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</si>
  <si>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</si>
  <si>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</si>
  <si>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</si>
  <si>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</si>
  <si>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</si>
  <si>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</si>
  <si>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</si>
  <si>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</si>
  <si>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</si>
  <si>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</si>
  <si>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</si>
  <si>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</si>
  <si>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</si>
  <si>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</si>
  <si>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</si>
  <si>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</si>
  <si>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</si>
  <si>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</si>
  <si>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</si>
  <si>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</si>
  <si>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</si>
  <si>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</si>
  <si>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</si>
  <si>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</si>
  <si>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</si>
  <si>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</si>
  <si>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</si>
  <si>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</si>
  <si>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</si>
  <si>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</si>
  <si>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</si>
  <si>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</si>
  <si>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</si>
  <si>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</si>
  <si>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</si>
  <si>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</si>
  <si>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</si>
  <si>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</si>
  <si>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</si>
  <si>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</si>
  <si>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</si>
  <si>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</si>
  <si>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</si>
  <si>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</si>
  <si>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</si>
  <si>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</si>
  <si>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</si>
  <si>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</si>
  <si>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</si>
  <si>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</si>
  <si>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</si>
  <si>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</si>
  <si>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</si>
  <si>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</si>
  <si>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</si>
  <si>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</si>
  <si>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</si>
  <si>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</si>
  <si>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</si>
  <si>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</si>
  <si>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</si>
  <si>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</si>
  <si>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</si>
  <si>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</si>
  <si>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</si>
  <si>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</si>
  <si>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</si>
  <si>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</si>
  <si>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</si>
  <si>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</si>
  <si>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</si>
  <si>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</si>
  <si>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</si>
  <si>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</si>
  <si>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</si>
  <si>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</si>
  <si>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</si>
  <si>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</si>
  <si>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</si>
  <si>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</si>
  <si>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</si>
  <si>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</si>
  <si>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</si>
  <si>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</si>
  <si>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</si>
  <si>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</si>
  <si>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</si>
  <si>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</si>
  <si>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</si>
  <si>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</si>
  <si>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</si>
  <si>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</si>
  <si>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</si>
  <si>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</si>
  <si>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</si>
  <si>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</si>
  <si>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</si>
  <si>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</si>
  <si>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</si>
  <si>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</si>
  <si>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</si>
  <si>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</si>
  <si>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</si>
  <si>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</si>
  <si>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</si>
  <si>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</si>
  <si>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</si>
  <si>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</si>
  <si>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</si>
  <si>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</si>
  <si>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</si>
  <si>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</si>
  <si>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</si>
  <si>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</si>
  <si>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</si>
  <si>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</si>
  <si>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</si>
  <si>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</si>
  <si>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</si>
  <si>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</si>
  <si>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</si>
  <si>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</si>
  <si>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</si>
  <si>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</si>
  <si>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</si>
  <si>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</si>
  <si>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</si>
  <si>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</si>
  <si>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</si>
  <si>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</si>
  <si>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</si>
  <si>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</si>
  <si>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</si>
  <si>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</si>
  <si>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</si>
  <si>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</si>
  <si>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</si>
  <si>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</si>
  <si>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</si>
  <si>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</si>
  <si>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</si>
  <si>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</si>
  <si>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</si>
  <si>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</si>
  <si>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</si>
  <si>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</si>
  <si>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</si>
  <si>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</si>
  <si>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</si>
  <si>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</si>
  <si>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</si>
  <si>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</si>
  <si>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</si>
  <si>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</si>
  <si>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</si>
  <si>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</si>
  <si>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</si>
  <si>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</si>
  <si>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</si>
  <si>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</si>
  <si>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</si>
  <si>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</si>
  <si>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</si>
  <si>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</si>
  <si>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</si>
  <si>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</si>
  <si>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</si>
  <si>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</si>
  <si>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</si>
  <si>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</si>
  <si>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</si>
  <si>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</si>
  <si>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</si>
  <si>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</si>
  <si>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</si>
  <si>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</si>
  <si>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</si>
  <si>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</si>
  <si>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</si>
  <si>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</si>
  <si>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</si>
  <si>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</si>
  <si>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</si>
  <si>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</si>
  <si>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</si>
  <si>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</si>
  <si>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</si>
  <si>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</si>
  <si>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</si>
  <si>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</si>
  <si>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</si>
  <si>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</si>
  <si>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</si>
  <si>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</si>
  <si>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</si>
  <si>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</si>
  <si>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</si>
  <si>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</si>
  <si>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</si>
  <si>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</si>
  <si>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</si>
  <si>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</si>
  <si>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</si>
  <si>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</si>
  <si>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</si>
  <si>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</si>
  <si>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</si>
  <si>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</si>
  <si>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</si>
  <si>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</si>
  <si>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</si>
  <si>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</si>
  <si>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</si>
  <si>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</si>
  <si>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</si>
  <si>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</si>
  <si>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</si>
  <si>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</si>
  <si>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</si>
  <si>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</si>
  <si>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</si>
  <si>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</si>
  <si>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</si>
  <si>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</si>
  <si>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</si>
  <si>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</si>
  <si>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</si>
  <si>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</si>
  <si>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</si>
  <si>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</si>
  <si>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</si>
  <si>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</si>
  <si>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</si>
  <si>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</si>
  <si>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</si>
  <si>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</si>
  <si>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</si>
  <si>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</si>
  <si>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</si>
  <si>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</si>
  <si>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</si>
  <si>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</si>
  <si>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</si>
  <si>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</si>
  <si>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</si>
  <si>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</si>
  <si>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</si>
  <si>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</si>
  <si>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</si>
  <si>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</si>
  <si>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</si>
  <si>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</si>
  <si>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</si>
  <si>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</si>
  <si>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</si>
  <si>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</si>
  <si>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</si>
  <si>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</si>
  <si>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</si>
  <si>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</si>
  <si>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</si>
  <si>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</si>
  <si>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</si>
  <si>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</si>
  <si>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</si>
  <si>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</si>
  <si>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</si>
  <si>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</si>
  <si>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</si>
  <si>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</si>
  <si>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</si>
  <si>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</si>
  <si>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</si>
  <si>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</si>
  <si>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</si>
  <si>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</si>
  <si>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</si>
  <si>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</si>
  <si>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</si>
  <si>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</si>
  <si>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</si>
  <si>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</si>
  <si>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</si>
  <si>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</si>
  <si>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</si>
  <si>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</si>
  <si>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</si>
  <si>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</si>
  <si>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</si>
  <si>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</si>
  <si>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</si>
  <si>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1</t>
  </si>
  <si>
    <t>Sivu 2</t>
  </si>
  <si>
    <t>LUKION YKSIKKÖHINTA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</si>
  <si>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</si>
  <si>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</si>
  <si>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</si>
  <si>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</si>
  <si>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</si>
  <si>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</si>
  <si>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</si>
  <si>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</si>
  <si>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</si>
  <si>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</si>
  <si>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</si>
  <si>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</si>
  <si>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</si>
  <si>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</si>
  <si>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</si>
  <si>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</si>
  <si>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</si>
  <si>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</si>
  <si>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</si>
  <si>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</si>
  <si>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</si>
  <si>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</si>
  <si>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</si>
  <si>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</si>
  <si>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</si>
  <si>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</si>
  <si>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</si>
  <si>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</si>
  <si>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</si>
  <si>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</si>
  <si>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</si>
  <si>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</si>
  <si>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</si>
  <si>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</si>
  <si>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</si>
  <si>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</si>
  <si>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</si>
  <si>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</si>
  <si>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</si>
  <si>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</si>
  <si>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</si>
  <si>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</si>
  <si>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</si>
  <si>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</si>
  <si>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</si>
  <si>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</si>
  <si>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</si>
  <si>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</si>
  <si>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</si>
  <si>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</si>
  <si>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</si>
  <si>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</si>
  <si>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</si>
  <si>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</si>
  <si>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</si>
  <si>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</si>
  <si>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</si>
  <si>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</si>
  <si>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</si>
  <si>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</si>
  <si>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</si>
  <si>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</si>
  <si>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</si>
  <si>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</si>
  <si>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</si>
  <si>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</si>
  <si>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</si>
  <si>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</si>
  <si>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</si>
  <si>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</si>
  <si>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</si>
  <si>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</si>
  <si>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</si>
  <si>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</si>
  <si>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</si>
  <si>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</si>
  <si>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</si>
  <si>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</si>
  <si>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</si>
  <si>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</si>
  <si>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</si>
  <si>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</si>
  <si>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</si>
  <si>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</si>
  <si>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</si>
  <si>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</si>
  <si>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</si>
  <si>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</si>
  <si>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</si>
  <si>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</si>
  <si>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</si>
  <si>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</si>
  <si>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</si>
  <si>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</si>
  <si>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</si>
  <si>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</si>
  <si>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</si>
  <si>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</si>
  <si>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</si>
  <si>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</si>
  <si>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</si>
  <si>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</si>
  <si>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</si>
  <si>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</si>
  <si>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</si>
  <si>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</si>
  <si>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</si>
  <si>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</si>
  <si>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</si>
  <si>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</si>
  <si>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</si>
  <si>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</si>
  <si>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</si>
  <si>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</si>
  <si>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</si>
  <si>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</si>
  <si>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</si>
  <si>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</si>
  <si>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</si>
  <si>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</si>
  <si>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</si>
  <si>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</si>
  <si>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</si>
  <si>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</si>
  <si>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</si>
  <si>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</si>
  <si>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</si>
  <si>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</si>
  <si>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</si>
  <si>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</si>
  <si>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</si>
  <si>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</si>
  <si>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</si>
  <si>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</si>
  <si>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</si>
  <si>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</si>
  <si>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</si>
  <si>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</si>
  <si>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</si>
  <si>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</si>
  <si>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</si>
  <si>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</si>
  <si>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</si>
  <si>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</si>
  <si>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</si>
  <si>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</si>
  <si>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</si>
  <si>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</si>
  <si>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</si>
  <si>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</si>
  <si>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</si>
  <si>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</si>
  <si>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</si>
  <si>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</si>
  <si>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</si>
  <si>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</si>
  <si>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</si>
  <si>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</si>
  <si>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</si>
  <si>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</si>
  <si>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</si>
  <si>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</si>
  <si>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</si>
  <si>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</si>
  <si>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</si>
  <si>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</si>
  <si>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Vuoden 2010 järjestelmämuutoksen tasaus</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</si>
  <si>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</si>
  <si>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</si>
  <si>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</si>
  <si>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</si>
  <si>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</si>
  <si>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</si>
  <si>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</si>
  <si>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</si>
  <si>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</si>
  <si>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</si>
  <si>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</si>
  <si>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</si>
  <si>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</si>
  <si>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</si>
  <si>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</si>
  <si>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</si>
  <si>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</si>
  <si>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</si>
  <si>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</si>
  <si>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</si>
  <si>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</si>
  <si>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</si>
  <si>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</si>
  <si>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</si>
  <si>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</si>
  <si>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</si>
  <si>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</si>
  <si>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</si>
  <si>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</si>
  <si>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Kilpailukykysopimuksen vaikutus valtionosuuteen</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</si>
  <si>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</si>
  <si>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</si>
  <si>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</si>
  <si>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</si>
  <si>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</si>
  <si>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</si>
  <si>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</si>
  <si>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</si>
  <si>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</si>
  <si>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</si>
  <si>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</si>
  <si>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</si>
  <si>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peruste vuonna 2018</t>
  </si>
  <si>
    <t>Vuosi 2018</t>
  </si>
  <si>
    <t>Sairastavuuden perushinta</t>
  </si>
  <si>
    <t>Todennetun osaamisen rekisteri</t>
  </si>
  <si>
    <t>Indeksikorotusten jäädytys 2018</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</si>
  <si>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</si>
  <si>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</si>
  <si>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</si>
  <si>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</si>
  <si>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</si>
  <si>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</si>
  <si>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</si>
  <si>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</si>
  <si>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kurssimäärä</t>
  </si>
  <si>
    <t xml:space="preserve">  Aineopetus</t>
  </si>
  <si>
    <r>
      <t>1)</t>
    </r>
    <r>
      <rPr>
        <i/>
        <sz val="8"/>
        <rFont val="Arial"/>
        <family val="2"/>
      </rPr>
      <t xml:space="preserve"> Laskennallisten opiskelijoiden määrä = oppiaineiden lukumäärä jaettuna 15:llä.</t>
    </r>
  </si>
  <si>
    <t>läsnäolokuukausia</t>
  </si>
  <si>
    <t>€/ohjaustunti</t>
  </si>
  <si>
    <t>Kansanopistot</t>
  </si>
  <si>
    <t>€/opetustunti</t>
  </si>
  <si>
    <t>€/opiskelijaviikko</t>
  </si>
  <si>
    <t>Opintokeskukset</t>
  </si>
  <si>
    <t>Kesäyliopisto</t>
  </si>
  <si>
    <t>Liikunnan koulutuskeskukset</t>
  </si>
  <si>
    <t>€/opisk.vrk.</t>
  </si>
  <si>
    <t>(yksikköhinnan pohja-arvo)</t>
  </si>
  <si>
    <t>Taiteen perusopetus</t>
  </si>
  <si>
    <t>(Musiikkioppilaitos)</t>
  </si>
  <si>
    <t>Indeksikorotusten jäädytys 2016</t>
  </si>
  <si>
    <t>18.6.2018, Kuntaliitto / SL</t>
  </si>
  <si>
    <t>2. Opetus- ja kulttuuritoimen valtionosuudet 2018</t>
  </si>
  <si>
    <t>Kunnan valtionosuusrahoitus 2019</t>
  </si>
  <si>
    <t>Veroperustemuutosten vaikutus vuodelta 2019</t>
  </si>
  <si>
    <t xml:space="preserve">Kuntien digitalisaatiokannustimen rahoitus </t>
  </si>
  <si>
    <t>Harkinnanvaraisen valtionosuuden korotuksen rahoitus</t>
  </si>
  <si>
    <t>Indeksikorotusten jäädytys 2017</t>
  </si>
  <si>
    <t>Indeksikorotusten jäädytys 2019</t>
  </si>
  <si>
    <t>Laskennalliset kustannukset yhteensä</t>
  </si>
  <si>
    <t xml:space="preserve">Valtion osuus laskennallisesta kustannuksesta </t>
  </si>
  <si>
    <t>KUNNAN VALTIONOSUUSRAHOITUS 2018</t>
  </si>
  <si>
    <t>Asukasluku 31.12.2016:</t>
  </si>
  <si>
    <r>
      <rPr>
        <b/>
        <i/>
        <sz val="10"/>
        <rFont val="Arial"/>
        <family val="2"/>
      </rPr>
      <t>Lisätiedot</t>
    </r>
    <r>
      <rPr>
        <i/>
        <sz val="10"/>
        <rFont val="Arial"/>
        <family val="2"/>
      </rPr>
      <t>: Suomen Kuntaliitto / Sanna Lehtonen, p. 050-5759090</t>
    </r>
  </si>
  <si>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</si>
  <si>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</si>
  <si>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</si>
  <si>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</si>
  <si>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</si>
  <si>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</si>
  <si>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</si>
  <si>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</si>
  <si>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</si>
  <si>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</si>
  <si>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</si>
  <si>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</si>
  <si>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</si>
  <si>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</si>
  <si>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</si>
  <si>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Toteutettiin vos-% kautta, yht. -75 milj. € (-13,68 €/as)</t>
  </si>
  <si>
    <t>vl_24</t>
  </si>
  <si>
    <t>Vuoden 2015 valtionosuusjärjestelmämuutoksen tasaus vuonna 2019</t>
  </si>
  <si>
    <t>Vuoden 2019 valtionosuudessa huomioon otettava osuus muutoksesta, yhteensä euroa</t>
  </si>
  <si>
    <t>Kotikuntakorvaukset vuonna 2019</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</si>
  <si>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</si>
  <si>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</si>
  <si>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</si>
  <si>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</si>
  <si>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</si>
  <si>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</si>
  <si>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</si>
  <si>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</si>
  <si>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</si>
  <si>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</si>
  <si>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</si>
  <si>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</si>
  <si>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</si>
  <si>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Painotettu opiskelijamäärä</t>
  </si>
  <si>
    <t>LUKIOKOULUTUKSEEN VALMISTAVA KOULUTUS</t>
  </si>
  <si>
    <t>Nuoret opiskelijat</t>
  </si>
  <si>
    <t>Aikuisten oppimäärän opiskelijat</t>
  </si>
  <si>
    <t>Sisäoppilaitoksen opiskelijat</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</si>
  <si>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</si>
  <si>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</si>
  <si>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</si>
  <si>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</si>
  <si>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</si>
  <si>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</si>
  <si>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</si>
  <si>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</si>
  <si>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</si>
  <si>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</si>
  <si>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</si>
  <si>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</si>
  <si>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</si>
  <si>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</si>
  <si>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</si>
  <si>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</si>
  <si>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</si>
  <si>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</si>
  <si>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</si>
  <si>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 xml:space="preserve">Vuoden 2018 kuntajaolla. </t>
  </si>
  <si>
    <t>Kunta</t>
  </si>
  <si>
    <t xml:space="preserve"> Asukas-</t>
  </si>
  <si>
    <t>Laskennallinen</t>
  </si>
  <si>
    <t>Maksettava</t>
  </si>
  <si>
    <t>Laskenn.</t>
  </si>
  <si>
    <t xml:space="preserve">  Laskennalliset verotulot</t>
  </si>
  <si>
    <t>Tasaus-</t>
  </si>
  <si>
    <t>kno</t>
  </si>
  <si>
    <t>Ruotsinkielinen</t>
  </si>
  <si>
    <t>Kieli-</t>
  </si>
  <si>
    <t>Maa-</t>
  </si>
  <si>
    <t>Kunta-</t>
  </si>
  <si>
    <t>kunnallisvero</t>
  </si>
  <si>
    <t>verotusarvo</t>
  </si>
  <si>
    <t xml:space="preserve"> luku</t>
  </si>
  <si>
    <t>yhteisövero</t>
  </si>
  <si>
    <t>kiinteistövero</t>
  </si>
  <si>
    <t>raja -</t>
  </si>
  <si>
    <t>rajan</t>
  </si>
  <si>
    <t>vähennys</t>
  </si>
  <si>
    <t>nimi</t>
  </si>
  <si>
    <t>suhde</t>
  </si>
  <si>
    <t>kunta-</t>
  </si>
  <si>
    <t>liitos</t>
  </si>
  <si>
    <t>31.12.</t>
  </si>
  <si>
    <t>(ydinvoimalait.)</t>
  </si>
  <si>
    <t>euroa/</t>
  </si>
  <si>
    <t>laskenn.</t>
  </si>
  <si>
    <t>ylittävän</t>
  </si>
  <si>
    <t>2013-22</t>
  </si>
  <si>
    <t>asukas</t>
  </si>
  <si>
    <t>verot/as.</t>
  </si>
  <si>
    <t>osan</t>
  </si>
  <si>
    <t>luonn.log</t>
  </si>
  <si>
    <t>Manner-Suomi</t>
  </si>
  <si>
    <t xml:space="preserve">Alajärvi           </t>
  </si>
  <si>
    <t>14</t>
  </si>
  <si>
    <t xml:space="preserve">Alavieska          </t>
  </si>
  <si>
    <t>17</t>
  </si>
  <si>
    <t xml:space="preserve">Alavus             </t>
  </si>
  <si>
    <t xml:space="preserve">Asikkala           </t>
  </si>
  <si>
    <t>07</t>
  </si>
  <si>
    <t xml:space="preserve">Askola             </t>
  </si>
  <si>
    <t>01</t>
  </si>
  <si>
    <t xml:space="preserve">Aura               </t>
  </si>
  <si>
    <t>02</t>
  </si>
  <si>
    <t>06</t>
  </si>
  <si>
    <t xml:space="preserve">Enonkoski          </t>
  </si>
  <si>
    <t>10</t>
  </si>
  <si>
    <t xml:space="preserve">Enontekiö          </t>
  </si>
  <si>
    <t>Enontekis</t>
  </si>
  <si>
    <t>19</t>
  </si>
  <si>
    <t xml:space="preserve">Espoo              </t>
  </si>
  <si>
    <t>Esbo</t>
  </si>
  <si>
    <t xml:space="preserve">Eura               </t>
  </si>
  <si>
    <t>04</t>
  </si>
  <si>
    <t xml:space="preserve">Eurajoki           </t>
  </si>
  <si>
    <t>Euraåminne</t>
  </si>
  <si>
    <t xml:space="preserve">Evijärvi           </t>
  </si>
  <si>
    <t xml:space="preserve">Forssa             </t>
  </si>
  <si>
    <t>05</t>
  </si>
  <si>
    <t xml:space="preserve">Haapajärvi         </t>
  </si>
  <si>
    <t xml:space="preserve">Haapavesi          </t>
  </si>
  <si>
    <t xml:space="preserve">Hailuoto           </t>
  </si>
  <si>
    <t>Karlö</t>
  </si>
  <si>
    <t xml:space="preserve">Halsua             </t>
  </si>
  <si>
    <t>16</t>
  </si>
  <si>
    <t xml:space="preserve">Hamina             </t>
  </si>
  <si>
    <t>Fredrikshamn</t>
  </si>
  <si>
    <t>08</t>
  </si>
  <si>
    <t xml:space="preserve">Hankasalmi         </t>
  </si>
  <si>
    <t>13</t>
  </si>
  <si>
    <t xml:space="preserve">Hanko              </t>
  </si>
  <si>
    <t>Hangö</t>
  </si>
  <si>
    <t xml:space="preserve">Harjavalta         </t>
  </si>
  <si>
    <t xml:space="preserve">Hartola            </t>
  </si>
  <si>
    <t xml:space="preserve">Hattula            </t>
  </si>
  <si>
    <t xml:space="preserve">Hausjärvi          </t>
  </si>
  <si>
    <t xml:space="preserve">Heinävesi          </t>
  </si>
  <si>
    <t xml:space="preserve">Helsinki           </t>
  </si>
  <si>
    <t>Helsingfors</t>
  </si>
  <si>
    <t xml:space="preserve">Vantaa             </t>
  </si>
  <si>
    <t>Vanda</t>
  </si>
  <si>
    <t xml:space="preserve">Hirvensalmi        </t>
  </si>
  <si>
    <t xml:space="preserve">Hollola            </t>
  </si>
  <si>
    <t xml:space="preserve">Honkajoki          </t>
  </si>
  <si>
    <t xml:space="preserve">Huittinen          </t>
  </si>
  <si>
    <t xml:space="preserve">Humppila           </t>
  </si>
  <si>
    <t xml:space="preserve">Hyrynsalmi         </t>
  </si>
  <si>
    <t>18</t>
  </si>
  <si>
    <t xml:space="preserve">Hyvinkää           </t>
  </si>
  <si>
    <t>Hyvinge</t>
  </si>
  <si>
    <t xml:space="preserve">Hämeenkyrö         </t>
  </si>
  <si>
    <t>Tavastkyro</t>
  </si>
  <si>
    <t xml:space="preserve">Hämeenlinna        </t>
  </si>
  <si>
    <t>Tavastehus</t>
  </si>
  <si>
    <t xml:space="preserve">Heinola            </t>
  </si>
  <si>
    <t xml:space="preserve">Ii                 </t>
  </si>
  <si>
    <t xml:space="preserve">Iisalmi            </t>
  </si>
  <si>
    <t>Idensalmi</t>
  </si>
  <si>
    <t>11</t>
  </si>
  <si>
    <t xml:space="preserve">Iitti              </t>
  </si>
  <si>
    <t xml:space="preserve">Ikaalinen          </t>
  </si>
  <si>
    <t>Ikalis</t>
  </si>
  <si>
    <t xml:space="preserve">Ilmajoki           </t>
  </si>
  <si>
    <t xml:space="preserve">Ilomantsi          </t>
  </si>
  <si>
    <t>Ilomants</t>
  </si>
  <si>
    <t>12</t>
  </si>
  <si>
    <t xml:space="preserve">Inari              </t>
  </si>
  <si>
    <t>Enare</t>
  </si>
  <si>
    <t xml:space="preserve">Inkoo              </t>
  </si>
  <si>
    <t>Ingå</t>
  </si>
  <si>
    <t xml:space="preserve">Isojoki            </t>
  </si>
  <si>
    <t>Storå</t>
  </si>
  <si>
    <t xml:space="preserve">Isokyrö            </t>
  </si>
  <si>
    <t>Storkyro</t>
  </si>
  <si>
    <t>15</t>
  </si>
  <si>
    <t xml:space="preserve">Imatra             </t>
  </si>
  <si>
    <t>09</t>
  </si>
  <si>
    <t xml:space="preserve">Janakkala          </t>
  </si>
  <si>
    <t xml:space="preserve">Joensuu            </t>
  </si>
  <si>
    <t xml:space="preserve">Jokioinen          </t>
  </si>
  <si>
    <t>Jockis</t>
  </si>
  <si>
    <t xml:space="preserve">Joroinen           </t>
  </si>
  <si>
    <t>Jorois</t>
  </si>
  <si>
    <t xml:space="preserve">Joutsa             </t>
  </si>
  <si>
    <t xml:space="preserve">Juuka              </t>
  </si>
  <si>
    <t xml:space="preserve">Juupajoki          </t>
  </si>
  <si>
    <t xml:space="preserve">Juva               </t>
  </si>
  <si>
    <t xml:space="preserve">Jyväskylä          </t>
  </si>
  <si>
    <t xml:space="preserve">Jämijärvi          </t>
  </si>
  <si>
    <t xml:space="preserve">Jämsä              </t>
  </si>
  <si>
    <t xml:space="preserve">Järvenpää          </t>
  </si>
  <si>
    <t>Träskända</t>
  </si>
  <si>
    <t xml:space="preserve">Kaarina            </t>
  </si>
  <si>
    <t>S:t Karins</t>
  </si>
  <si>
    <t xml:space="preserve">Kaavi              </t>
  </si>
  <si>
    <t xml:space="preserve">Kajaani            </t>
  </si>
  <si>
    <t>Kajana</t>
  </si>
  <si>
    <t xml:space="preserve">Kalajoki           </t>
  </si>
  <si>
    <t xml:space="preserve">Kangasala          </t>
  </si>
  <si>
    <t xml:space="preserve">Kangasniemi        </t>
  </si>
  <si>
    <t xml:space="preserve">Kankaanpää         </t>
  </si>
  <si>
    <t xml:space="preserve">Kannonkoski        </t>
  </si>
  <si>
    <t xml:space="preserve">Kannus             </t>
  </si>
  <si>
    <t xml:space="preserve">Karijoki           </t>
  </si>
  <si>
    <t>Bötom</t>
  </si>
  <si>
    <t xml:space="preserve">Karkkila           </t>
  </si>
  <si>
    <t>Högfors</t>
  </si>
  <si>
    <t xml:space="preserve">Karstula           </t>
  </si>
  <si>
    <t xml:space="preserve">Karvia             </t>
  </si>
  <si>
    <t xml:space="preserve">Kaskinen           </t>
  </si>
  <si>
    <t>Kaskö</t>
  </si>
  <si>
    <t xml:space="preserve">Kauhajoki          </t>
  </si>
  <si>
    <t xml:space="preserve">Kauhava            </t>
  </si>
  <si>
    <t xml:space="preserve">Kauniainen         </t>
  </si>
  <si>
    <t>Grankulla</t>
  </si>
  <si>
    <t xml:space="preserve">Kaustinen          </t>
  </si>
  <si>
    <t>Kaustby</t>
  </si>
  <si>
    <t xml:space="preserve">Keitele            </t>
  </si>
  <si>
    <t xml:space="preserve">Kemi               </t>
  </si>
  <si>
    <t xml:space="preserve">Keminmaa           </t>
  </si>
  <si>
    <t xml:space="preserve">Kempele            </t>
  </si>
  <si>
    <t xml:space="preserve">Kerava             </t>
  </si>
  <si>
    <t>Kervo</t>
  </si>
  <si>
    <t xml:space="preserve">Keuruu             </t>
  </si>
  <si>
    <t xml:space="preserve">Kihniö             </t>
  </si>
  <si>
    <t xml:space="preserve">Kinnula            </t>
  </si>
  <si>
    <t xml:space="preserve">Kirkkonummi        </t>
  </si>
  <si>
    <t>Kyrkslätt</t>
  </si>
  <si>
    <t xml:space="preserve">Kitee              </t>
  </si>
  <si>
    <t xml:space="preserve">Kittilä            </t>
  </si>
  <si>
    <t xml:space="preserve">Kiuruvesi          </t>
  </si>
  <si>
    <t xml:space="preserve">Kivijärvi          </t>
  </si>
  <si>
    <t xml:space="preserve">Kokemäki           </t>
  </si>
  <si>
    <t>Kumo</t>
  </si>
  <si>
    <t xml:space="preserve">Kokkola            </t>
  </si>
  <si>
    <t>Karleby</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</si>
  <si>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</si>
  <si>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</si>
  <si>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</si>
  <si>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</si>
  <si>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</si>
  <si>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</si>
  <si>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</si>
  <si>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</si>
  <si>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Kristinestad</t>
  </si>
  <si>
    <t xml:space="preserve">Kruunupyy          </t>
  </si>
  <si>
    <t>Kronoby</t>
  </si>
  <si>
    <t xml:space="preserve">Kuhmo              </t>
  </si>
  <si>
    <t xml:space="preserve">Kuhmoinen          </t>
  </si>
  <si>
    <t xml:space="preserve">Kuopio             </t>
  </si>
  <si>
    <t xml:space="preserve">Kuortane           </t>
  </si>
  <si>
    <t xml:space="preserve">Kurikka            </t>
  </si>
  <si>
    <t xml:space="preserve">Kustavi            </t>
  </si>
  <si>
    <t>Gustavs</t>
  </si>
  <si>
    <t xml:space="preserve">Kuusamo            </t>
  </si>
  <si>
    <t xml:space="preserve">Outokumpu          </t>
  </si>
  <si>
    <t xml:space="preserve">Kyyjärvi           </t>
  </si>
  <si>
    <t xml:space="preserve">Kärkölä            </t>
  </si>
  <si>
    <t xml:space="preserve">Kärsämäki          </t>
  </si>
  <si>
    <t xml:space="preserve">Kemijärvi          </t>
  </si>
  <si>
    <t>Kimitoön</t>
  </si>
  <si>
    <t xml:space="preserve">Lahti              </t>
  </si>
  <si>
    <t>Lahtis</t>
  </si>
  <si>
    <t xml:space="preserve">Laihia             </t>
  </si>
  <si>
    <t>Laihela</t>
  </si>
  <si>
    <t xml:space="preserve">Laitila            </t>
  </si>
  <si>
    <t xml:space="preserve">Lapinlahti         </t>
  </si>
  <si>
    <t xml:space="preserve">Lappajärvi         </t>
  </si>
  <si>
    <t xml:space="preserve">Lappeenranta       </t>
  </si>
  <si>
    <t>Villmanstrand</t>
  </si>
  <si>
    <t xml:space="preserve">Lapinjärvi         </t>
  </si>
  <si>
    <t>Lappträsk</t>
  </si>
  <si>
    <t xml:space="preserve">Lapua              </t>
  </si>
  <si>
    <t>Lappo</t>
  </si>
  <si>
    <t xml:space="preserve">Laukaa             </t>
  </si>
  <si>
    <t xml:space="preserve">Lemi               </t>
  </si>
  <si>
    <t xml:space="preserve">Lempäälä           </t>
  </si>
  <si>
    <t xml:space="preserve">Leppävirta         </t>
  </si>
  <si>
    <t xml:space="preserve">Lestijärvi         </t>
  </si>
  <si>
    <t xml:space="preserve">Lieksa             </t>
  </si>
  <si>
    <t xml:space="preserve">Lieto              </t>
  </si>
  <si>
    <t>Lundo</t>
  </si>
  <si>
    <t xml:space="preserve">Liminka            </t>
  </si>
  <si>
    <t>Limingo</t>
  </si>
  <si>
    <t xml:space="preserve">Liperi             </t>
  </si>
  <si>
    <t xml:space="preserve">Loimaa             </t>
  </si>
  <si>
    <t xml:space="preserve">Loppi              </t>
  </si>
  <si>
    <t xml:space="preserve">Loviisa            </t>
  </si>
  <si>
    <t>Lovisa</t>
  </si>
  <si>
    <t xml:space="preserve">Luhanka            </t>
  </si>
  <si>
    <t xml:space="preserve">Lumijoki           </t>
  </si>
  <si>
    <t xml:space="preserve">Luoto              </t>
  </si>
  <si>
    <t>Larsmo</t>
  </si>
  <si>
    <t xml:space="preserve">Luumäki            </t>
  </si>
  <si>
    <t xml:space="preserve">Lohja              </t>
  </si>
  <si>
    <t>Lojo</t>
  </si>
  <si>
    <t>Pargas</t>
  </si>
  <si>
    <t xml:space="preserve">Maalahti           </t>
  </si>
  <si>
    <t>Malax</t>
  </si>
  <si>
    <t xml:space="preserve">Marttila           </t>
  </si>
  <si>
    <t xml:space="preserve">Masku              </t>
  </si>
  <si>
    <t xml:space="preserve">Merijärvi          </t>
  </si>
  <si>
    <t xml:space="preserve">Merikarvia         </t>
  </si>
  <si>
    <t>Sastmola</t>
  </si>
  <si>
    <t xml:space="preserve">Miehikkälä         </t>
  </si>
  <si>
    <t xml:space="preserve">Mikkeli            </t>
  </si>
  <si>
    <t>S:t Michel</t>
  </si>
  <si>
    <t xml:space="preserve">Muhos              </t>
  </si>
  <si>
    <t xml:space="preserve">Multia             </t>
  </si>
  <si>
    <t xml:space="preserve">Muonio             </t>
  </si>
  <si>
    <t xml:space="preserve">Mustasaari         </t>
  </si>
  <si>
    <t>Korsholm</t>
  </si>
  <si>
    <t xml:space="preserve">Muurame            </t>
  </si>
  <si>
    <t xml:space="preserve">Mynämäki           </t>
  </si>
  <si>
    <t xml:space="preserve">Myrskylä           </t>
  </si>
  <si>
    <t>Mörskom</t>
  </si>
  <si>
    <t xml:space="preserve">Mäntsälä           </t>
  </si>
  <si>
    <t xml:space="preserve">Mäntyharju         </t>
  </si>
  <si>
    <t xml:space="preserve">Mänttä-Vilppula             </t>
  </si>
  <si>
    <t xml:space="preserve">Naantali           </t>
  </si>
  <si>
    <t>Nådendal</t>
  </si>
  <si>
    <t xml:space="preserve">Nakkila            </t>
  </si>
  <si>
    <t xml:space="preserve">Nivala             </t>
  </si>
  <si>
    <t xml:space="preserve">Nokia              </t>
  </si>
  <si>
    <t xml:space="preserve">Nousiainen         </t>
  </si>
  <si>
    <t>Nousis</t>
  </si>
  <si>
    <t xml:space="preserve">Nurmes             </t>
  </si>
  <si>
    <t xml:space="preserve">Nurmijärvi         </t>
  </si>
  <si>
    <t xml:space="preserve">Närpiö             </t>
  </si>
  <si>
    <t>Närpes</t>
  </si>
  <si>
    <t xml:space="preserve">Orimattila         </t>
  </si>
  <si>
    <t xml:space="preserve">Oripää             </t>
  </si>
  <si>
    <t xml:space="preserve">Orivesi            </t>
  </si>
  <si>
    <t xml:space="preserve">Oulainen           </t>
  </si>
  <si>
    <t xml:space="preserve">Oulu               </t>
  </si>
  <si>
    <t>Uleåborg</t>
  </si>
  <si>
    <t xml:space="preserve">Padasjoki          </t>
  </si>
  <si>
    <t xml:space="preserve">Paimio             </t>
  </si>
  <si>
    <t>Pemar</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</si>
  <si>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</si>
  <si>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</si>
  <si>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</si>
  <si>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</si>
  <si>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</si>
  <si>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</si>
  <si>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</si>
  <si>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</si>
  <si>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</si>
  <si>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</si>
  <si>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Jakobstad</t>
  </si>
  <si>
    <t>Pedersören kunta</t>
  </si>
  <si>
    <t xml:space="preserve">Pihtipudas         </t>
  </si>
  <si>
    <t xml:space="preserve">Pirkkala           </t>
  </si>
  <si>
    <t>Birkala</t>
  </si>
  <si>
    <t xml:space="preserve">Polvijärvi         </t>
  </si>
  <si>
    <t xml:space="preserve">Pomarkku           </t>
  </si>
  <si>
    <t>Påmark</t>
  </si>
  <si>
    <t xml:space="preserve">Pori               </t>
  </si>
  <si>
    <t>Björneborg</t>
  </si>
  <si>
    <t xml:space="preserve">Pornainen          </t>
  </si>
  <si>
    <t>Borgnäs</t>
  </si>
  <si>
    <t xml:space="preserve">Posio              </t>
  </si>
  <si>
    <t xml:space="preserve">Pudasjärvi         </t>
  </si>
  <si>
    <t xml:space="preserve">Pukkila            </t>
  </si>
  <si>
    <t xml:space="preserve">Punkalaidun        </t>
  </si>
  <si>
    <t xml:space="preserve">Puolanka           </t>
  </si>
  <si>
    <t xml:space="preserve">Puumala            </t>
  </si>
  <si>
    <t>Pyttis</t>
  </si>
  <si>
    <t xml:space="preserve">Pyhäjoki           </t>
  </si>
  <si>
    <t xml:space="preserve">Pyhäntä            </t>
  </si>
  <si>
    <t xml:space="preserve">Pyhäranta          </t>
  </si>
  <si>
    <t xml:space="preserve">Pälkäne            </t>
  </si>
  <si>
    <t xml:space="preserve">Pöytyä             </t>
  </si>
  <si>
    <t xml:space="preserve">Porvoo             </t>
  </si>
  <si>
    <t>Borgå</t>
  </si>
  <si>
    <t xml:space="preserve">Raahe              </t>
  </si>
  <si>
    <t>Brahestad</t>
  </si>
  <si>
    <t xml:space="preserve">Raisio             </t>
  </si>
  <si>
    <t>Reso</t>
  </si>
  <si>
    <t xml:space="preserve">Rantasalmi         </t>
  </si>
  <si>
    <t xml:space="preserve">Ranua              </t>
  </si>
  <si>
    <t xml:space="preserve">Rauma              </t>
  </si>
  <si>
    <t>Raumo</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</si>
  <si>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</si>
  <si>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</si>
  <si>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</si>
  <si>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</si>
  <si>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</si>
  <si>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</si>
  <si>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</si>
  <si>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</si>
  <si>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</si>
  <si>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</si>
  <si>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</si>
  <si>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Raseborg</t>
  </si>
  <si>
    <t xml:space="preserve">Saarijärvi         </t>
  </si>
  <si>
    <t xml:space="preserve">Salla              </t>
  </si>
  <si>
    <t xml:space="preserve">Salo               </t>
  </si>
  <si>
    <t xml:space="preserve">Sauvo              </t>
  </si>
  <si>
    <t>Sagu</t>
  </si>
  <si>
    <t xml:space="preserve">Savitaipale        </t>
  </si>
  <si>
    <t xml:space="preserve">Savonlinna         </t>
  </si>
  <si>
    <t>Nyslott</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</si>
  <si>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</si>
  <si>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</si>
  <si>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</si>
  <si>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</si>
  <si>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</si>
  <si>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</si>
  <si>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</si>
  <si>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</si>
  <si>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Sibbo</t>
  </si>
  <si>
    <t xml:space="preserve">Siuntio            </t>
  </si>
  <si>
    <t>Sjundeå</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</si>
  <si>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</si>
  <si>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</si>
  <si>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</si>
  <si>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</si>
  <si>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</si>
  <si>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</si>
  <si>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</si>
  <si>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</si>
  <si>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</si>
  <si>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</si>
  <si>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</si>
  <si>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</si>
  <si>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</si>
  <si>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</si>
  <si>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Tövsala</t>
  </si>
  <si>
    <t xml:space="preserve">Tammela            </t>
  </si>
  <si>
    <t xml:space="preserve">Tampere            </t>
  </si>
  <si>
    <t>Tammerfors</t>
  </si>
  <si>
    <t xml:space="preserve">Tervo              </t>
  </si>
  <si>
    <t xml:space="preserve">Tervola            </t>
  </si>
  <si>
    <t xml:space="preserve">Teuva              </t>
  </si>
  <si>
    <t>Östermark</t>
  </si>
  <si>
    <t xml:space="preserve">Tohmajärvi         </t>
  </si>
  <si>
    <t xml:space="preserve">Toholampi          </t>
  </si>
  <si>
    <t xml:space="preserve">Toivakka           </t>
  </si>
  <si>
    <t xml:space="preserve">Tornio             </t>
  </si>
  <si>
    <t>Torneå</t>
  </si>
  <si>
    <t xml:space="preserve">Turku              </t>
  </si>
  <si>
    <t>Åbo</t>
  </si>
  <si>
    <t xml:space="preserve">Pello              </t>
  </si>
  <si>
    <t xml:space="preserve">Tuusniemi          </t>
  </si>
  <si>
    <t xml:space="preserve">Tuusula            </t>
  </si>
  <si>
    <t>Tusby</t>
  </si>
  <si>
    <t xml:space="preserve">Tyrnävä            </t>
  </si>
  <si>
    <t xml:space="preserve">Ulvila             </t>
  </si>
  <si>
    <t>Ulvsby</t>
  </si>
  <si>
    <t xml:space="preserve">Urjala             </t>
  </si>
  <si>
    <t xml:space="preserve">Utajärvi           </t>
  </si>
  <si>
    <t xml:space="preserve">Utsjoki            </t>
  </si>
  <si>
    <t xml:space="preserve">Uurainen           </t>
  </si>
  <si>
    <t xml:space="preserve">Uusikaarlepyy      </t>
  </si>
  <si>
    <t>Nykarleby</t>
  </si>
  <si>
    <t xml:space="preserve">Uusikaupunki       </t>
  </si>
  <si>
    <t>Nystad</t>
  </si>
  <si>
    <t xml:space="preserve">Vaasa              </t>
  </si>
  <si>
    <t>Vasa</t>
  </si>
  <si>
    <t xml:space="preserve">Valkeakoski        </t>
  </si>
  <si>
    <t xml:space="preserve">Valtimo            </t>
  </si>
  <si>
    <t xml:space="preserve">Varkaus            </t>
  </si>
  <si>
    <t xml:space="preserve">Vehmaa             </t>
  </si>
  <si>
    <t xml:space="preserve">Vesanto            </t>
  </si>
  <si>
    <t xml:space="preserve">Vesilahti          </t>
  </si>
  <si>
    <t xml:space="preserve">Veteli             </t>
  </si>
  <si>
    <t>Vetil</t>
  </si>
  <si>
    <t xml:space="preserve">Vieremä            </t>
  </si>
  <si>
    <t xml:space="preserve">Vihti              </t>
  </si>
  <si>
    <t>Vichtis</t>
  </si>
  <si>
    <t xml:space="preserve">Viitasaari         </t>
  </si>
  <si>
    <t xml:space="preserve">Vimpeli            </t>
  </si>
  <si>
    <t xml:space="preserve">Virolahti          </t>
  </si>
  <si>
    <t xml:space="preserve">Virrat             </t>
  </si>
  <si>
    <t>Virdois</t>
  </si>
  <si>
    <t>Vörå</t>
  </si>
  <si>
    <t xml:space="preserve">Ylitornio          </t>
  </si>
  <si>
    <t>Övertorneå</t>
  </si>
  <si>
    <t xml:space="preserve">Ylivieska          </t>
  </si>
  <si>
    <t xml:space="preserve">Ylöjärvi           </t>
  </si>
  <si>
    <t xml:space="preserve">Ypäjä              </t>
  </si>
  <si>
    <t xml:space="preserve">Ähtäri             </t>
  </si>
  <si>
    <t>Etseri</t>
  </si>
  <si>
    <t xml:space="preserve">Äänekoski          </t>
  </si>
  <si>
    <t>KUNNAN VALTIONOSUUSRAHOITUS 2020</t>
  </si>
  <si>
    <t>Asukasluku 31.12.2018:</t>
  </si>
  <si>
    <t>Valtionosuuteen tehtävät vähennykset ja lisäykset 2020</t>
  </si>
  <si>
    <t>Ikärakenteen laskennalliset kustannukset 2020</t>
  </si>
  <si>
    <t>Kunnan valtionosuusrahoitus 2020</t>
  </si>
  <si>
    <t>Kilpailukykysopimukseen liittyvä kompensaatio vuonna 2020</t>
  </si>
  <si>
    <t>UUSI MOMENTTI 2020: Valtion korvaus veromenetyksistä</t>
  </si>
  <si>
    <t>Veroperustemuutosten vaikutus vuodelta 2020</t>
  </si>
  <si>
    <t>vl_25</t>
  </si>
  <si>
    <t>vl_26</t>
  </si>
  <si>
    <t>Ennakollinen laskelma verotuloihin perustuvasta valtionosuuden tasauksesta vuonna 2020</t>
  </si>
  <si>
    <t xml:space="preserve">       Tasaus 2020</t>
  </si>
  <si>
    <t>Ydinvoima</t>
  </si>
  <si>
    <t>Maksuunpantu kunnallis-</t>
  </si>
  <si>
    <t xml:space="preserve">  Maksuunpantua kunnallisveroa</t>
  </si>
  <si>
    <t xml:space="preserve">     Kuntien osuus maksetta-</t>
  </si>
  <si>
    <t xml:space="preserve">         yhteensä 2018</t>
  </si>
  <si>
    <t xml:space="preserve">  verovuonna 2018</t>
  </si>
  <si>
    <t xml:space="preserve"> vastaavat verotettavat tulot 2018</t>
  </si>
  <si>
    <t xml:space="preserve">   vasta yhteisöverosta 2018</t>
  </si>
  <si>
    <t>muut laskennalliset kustannukset 2020</t>
  </si>
  <si>
    <t>Lisäosat 2020</t>
  </si>
  <si>
    <t>Nämä viety valtionosuusprosenttiin (-0,01 %-yksikköä)</t>
  </si>
  <si>
    <t>vuodesta 2020 alkaen</t>
  </si>
  <si>
    <t>Siirtyi budjettiriihen (17.9.) päätöksellä maksettavaksi jo vuonna 2019</t>
  </si>
  <si>
    <t>Lähde: Kuntaliitto 30.9.2019</t>
  </si>
  <si>
    <t>Verovuoden 2018 ennakkotiedoilla laskettu. Lähde: Verohallinto 29.9.2019</t>
  </si>
  <si>
    <r>
      <t xml:space="preserve">Keskimääräinen tuloveroprosentti: </t>
    </r>
    <r>
      <rPr>
        <b/>
        <sz val="10"/>
        <color indexed="12"/>
        <rFont val="Arial"/>
        <family val="2"/>
      </rPr>
      <t>19,85 %</t>
    </r>
  </si>
  <si>
    <r>
      <t>100 %</t>
    </r>
    <r>
      <rPr>
        <u val="single"/>
        <sz val="10"/>
        <color indexed="12"/>
        <rFont val="Arial"/>
        <family val="2"/>
      </rPr>
      <t xml:space="preserve">:n tasausraja: </t>
    </r>
    <r>
      <rPr>
        <b/>
        <u val="single"/>
        <sz val="10"/>
        <color indexed="12"/>
        <rFont val="Arial"/>
        <family val="2"/>
      </rPr>
      <t xml:space="preserve"> 3 785,33 </t>
    </r>
    <r>
      <rPr>
        <u val="single"/>
        <sz val="10"/>
        <color indexed="12"/>
        <rFont val="Arial"/>
        <family val="2"/>
      </rPr>
      <t>euroa/asukas. Tasausvähennysprosentti tasausrajan ylimenevältä osalta= 30 + ylimenevän osan luonnollinen logaritmi</t>
    </r>
    <r>
      <rPr>
        <sz val="10"/>
        <color indexed="12"/>
        <rFont val="Arial"/>
        <family val="2"/>
      </rPr>
      <t>.</t>
    </r>
  </si>
  <si>
    <t>ET 29.9.2019</t>
  </si>
  <si>
    <t>ET 29.9.2020</t>
  </si>
  <si>
    <t>ET 29.9.2021</t>
  </si>
  <si>
    <t>15.10.2019 / Kuntaliitto, Sanna Lehtonen</t>
  </si>
  <si>
    <t>Opetus ja kulttuuritoimen valtionosuus 2020</t>
  </si>
  <si>
    <t>Vuoden 2019 rahoitus : http://www02.oph.fi/asiakkaat/rahoitus/paatos19.html</t>
  </si>
  <si>
    <t>Lukioiden yksikköhintarahoitus 2020</t>
  </si>
  <si>
    <t>(Valtion talousarvioesitys 7.10.2019)</t>
  </si>
  <si>
    <t>(Vuoden 2019 tasauskerroin)</t>
  </si>
  <si>
    <t>Suomenkielinen lukiokoulutus 20.9.2019: 1)</t>
  </si>
  <si>
    <t>Ruotsinkielinen lukiokoulutus 20.9.2019: 1)</t>
  </si>
  <si>
    <t>Arvioitu opiskelijamäärä 20.1.2019</t>
  </si>
  <si>
    <t>Arvioitu opiskelijamäärä 20.9.2019</t>
  </si>
  <si>
    <t>Yksikköhinnat: https://vos.oph.fi/rap/vos/v19/v05yk6y19.pdf</t>
  </si>
  <si>
    <t>Yksikköhinta 2020</t>
  </si>
  <si>
    <t xml:space="preserve">2. Opetus- ja kulttuuritoimen valtionosuudet </t>
  </si>
  <si>
    <t>Vuoden 2019 rahoitus</t>
  </si>
  <si>
    <t>Laskurilla laskettu rahoitus vuodelle 2020</t>
  </si>
  <si>
    <t>2.1.2020, Kuntaliitto / Sanna Lehtonen</t>
  </si>
  <si>
    <t>Kunnan valtionosuus, verotulomen. korvaus ja kotikuntakorvaukset 2020</t>
  </si>
  <si>
    <r>
      <rPr>
        <b/>
        <sz val="10"/>
        <color indexed="53"/>
        <rFont val="Arial"/>
        <family val="2"/>
      </rPr>
      <t xml:space="preserve">HUOM! </t>
    </r>
    <r>
      <rPr>
        <sz val="10"/>
        <rFont val="Arial"/>
        <family val="2"/>
      </rPr>
      <t>Uusi momentti 28.90.35 Verotulomenetysten korvaus</t>
    </r>
  </si>
  <si>
    <t>Kunnan valtionosuus ja verotulomen. korvaukset 2020</t>
  </si>
  <si>
    <t>- verotulomenetysten korvaukset vuosina 2010-2020</t>
  </si>
  <si>
    <t>€/kuukausi</t>
  </si>
  <si>
    <t>maksatus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</si>
</sst>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s>
  <fonts count="172">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vertAlign val="superscript"/>
      <sz val="8"/>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sz val="10"/>
      <color indexed="12"/>
      <name val="Arial"/>
      <family val="2"/>
    </font>
    <font>
      <b/>
      <u val="single"/>
      <sz val="10"/>
      <color indexed="12"/>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b/>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9"/>
      <color indexed="60"/>
      <name val="Arial"/>
      <family val="2"/>
    </font>
    <font>
      <b/>
      <sz val="9"/>
      <color indexed="60"/>
      <name val="Arial"/>
      <family val="2"/>
    </font>
    <font>
      <sz val="10"/>
      <color indexed="60"/>
      <name val="Arial"/>
      <family val="2"/>
    </font>
    <font>
      <sz val="9"/>
      <color indexed="60"/>
      <name val="Arial Narrow"/>
      <family val="2"/>
    </font>
    <font>
      <sz val="9"/>
      <color indexed="56"/>
      <name val="Arial"/>
      <family val="2"/>
    </font>
    <font>
      <b/>
      <sz val="9"/>
      <color indexed="56"/>
      <name val="Arial"/>
      <family val="2"/>
    </font>
    <font>
      <sz val="10"/>
      <color indexed="56"/>
      <name val="Arial"/>
      <family val="2"/>
    </font>
    <font>
      <sz val="9"/>
      <color indexed="56"/>
      <name val="Arial Narrow"/>
      <family val="2"/>
    </font>
    <font>
      <sz val="9"/>
      <color indexed="10"/>
      <name val="Arial"/>
      <family val="2"/>
    </font>
    <font>
      <b/>
      <sz val="9"/>
      <color indexed="10"/>
      <name val="Arial"/>
      <family val="2"/>
    </font>
    <font>
      <sz val="9"/>
      <color indexed="10"/>
      <name val="Arial Narrow"/>
      <family val="2"/>
    </font>
    <font>
      <sz val="8"/>
      <name val="Calibri"/>
      <family val="2"/>
    </font>
    <font>
      <b/>
      <sz val="10"/>
      <color indexed="10"/>
      <name val="Arial"/>
      <family val="2"/>
    </font>
    <font>
      <b/>
      <sz val="14"/>
      <color indexed="23"/>
      <name val="Arial"/>
      <family val="2"/>
    </font>
    <font>
      <sz val="14"/>
      <color indexed="23"/>
      <name val="Arial"/>
      <family val="2"/>
    </font>
    <font>
      <b/>
      <u val="single"/>
      <sz val="14"/>
      <color indexed="8"/>
      <name val="Calibri"/>
      <family val="2"/>
    </font>
    <font>
      <b/>
      <sz val="14"/>
      <color indexed="8"/>
      <name val="Calibri"/>
      <family val="2"/>
    </font>
    <font>
      <i/>
      <sz val="12"/>
      <color indexed="8"/>
      <name val="Calibri"/>
      <family val="2"/>
    </font>
    <font>
      <sz val="12"/>
      <color indexed="8"/>
      <name val="Calibri"/>
      <family val="2"/>
    </font>
    <font>
      <b/>
      <sz val="12"/>
      <color indexed="8"/>
      <name val="Calibri"/>
      <family val="2"/>
    </font>
    <font>
      <sz val="5"/>
      <color indexed="8"/>
      <name val="Calibri"/>
      <family val="2"/>
    </font>
    <font>
      <b/>
      <sz val="12"/>
      <color indexed="17"/>
      <name val="Calibri"/>
      <family val="2"/>
    </font>
    <font>
      <b/>
      <sz val="12"/>
      <color indexed="30"/>
      <name val="Calibri"/>
      <family val="2"/>
    </font>
    <font>
      <sz val="12"/>
      <color indexed="17"/>
      <name val="Calibri"/>
      <family val="2"/>
    </font>
    <font>
      <sz val="12"/>
      <color indexed="30"/>
      <name val="Calibri"/>
      <family val="2"/>
    </font>
    <font>
      <b/>
      <sz val="12"/>
      <color indexed="10"/>
      <name val="Calibri"/>
      <family val="2"/>
    </font>
    <font>
      <b/>
      <sz val="5"/>
      <color indexed="8"/>
      <name val="Calibri"/>
      <family val="2"/>
    </font>
    <font>
      <b/>
      <i/>
      <sz val="12"/>
      <color indexed="30"/>
      <name val="Calibri"/>
      <family val="2"/>
    </font>
    <font>
      <b/>
      <sz val="54"/>
      <color indexed="9"/>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b/>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b/>
      <u val="single"/>
      <sz val="10"/>
      <color rgb="FF0000FF"/>
      <name val="Arial"/>
      <family val="2"/>
    </font>
    <font>
      <sz val="9"/>
      <color theme="9" tint="-0.4999699890613556"/>
      <name val="Arial"/>
      <family val="2"/>
    </font>
    <font>
      <b/>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9"/>
      <color theme="3"/>
      <name val="Arial"/>
      <family val="2"/>
    </font>
    <font>
      <b/>
      <sz val="9"/>
      <color rgb="FF002060"/>
      <name val="Arial"/>
      <family val="2"/>
    </font>
    <font>
      <sz val="10"/>
      <color rgb="FF002060"/>
      <name val="Arial"/>
      <family val="2"/>
    </font>
    <font>
      <sz val="9"/>
      <color rgb="FF002060"/>
      <name val="Arial Narrow"/>
      <family val="2"/>
    </font>
    <font>
      <sz val="9"/>
      <color rgb="FFFF0000"/>
      <name val="Arial"/>
      <family val="2"/>
    </font>
    <font>
      <b/>
      <sz val="9"/>
      <color rgb="FFFF0000"/>
      <name val="Arial"/>
      <family val="2"/>
    </font>
    <font>
      <sz val="9"/>
      <color theme="1"/>
      <name val="Arial"/>
      <family val="2"/>
    </font>
    <font>
      <sz val="9"/>
      <color theme="1"/>
      <name val="Arial Narrow"/>
      <family val="2"/>
    </font>
    <font>
      <sz val="9"/>
      <color rgb="FFFF0000"/>
      <name val="Arial Narrow"/>
      <family val="2"/>
    </font>
    <font>
      <b/>
      <sz val="10"/>
      <color rgb="FFFF0000"/>
      <name val="Arial"/>
      <family val="2"/>
    </font>
    <font>
      <b/>
      <sz val="14"/>
      <color theme="1" tint="0.49998000264167786"/>
      <name val="Arial"/>
      <family val="2"/>
    </font>
    <font>
      <sz val="14"/>
      <color theme="1" tint="0.4999800026416778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2" fillId="27" borderId="0" applyNumberFormat="0" applyBorder="0" applyAlignment="0" applyProtection="0"/>
    <xf numFmtId="0" fontId="9" fillId="0" borderId="0" applyNumberFormat="0" applyFill="0" applyBorder="0" applyAlignment="0" applyProtection="0"/>
    <xf numFmtId="0" fontId="113" fillId="28" borderId="0" applyNumberFormat="0" applyBorder="0" applyAlignment="0" applyProtection="0"/>
    <xf numFmtId="0" fontId="114" fillId="29" borderId="2" applyNumberFormat="0" applyAlignment="0" applyProtection="0"/>
    <xf numFmtId="0" fontId="115" fillId="0" borderId="3" applyNumberFormat="0" applyFill="0" applyAlignment="0" applyProtection="0"/>
    <xf numFmtId="0" fontId="116" fillId="30" borderId="0" applyNumberFormat="0" applyBorder="0" applyAlignment="0" applyProtection="0"/>
    <xf numFmtId="0" fontId="0" fillId="0" borderId="0">
      <alignment/>
      <protection/>
    </xf>
    <xf numFmtId="0" fontId="19" fillId="0" borderId="0">
      <alignment/>
      <protection/>
    </xf>
    <xf numFmtId="0" fontId="29" fillId="0" borderId="0">
      <alignment/>
      <protection/>
    </xf>
    <xf numFmtId="0" fontId="34" fillId="0" borderId="0">
      <alignment/>
      <protection/>
    </xf>
    <xf numFmtId="0" fontId="117" fillId="0" borderId="0" applyNumberFormat="0" applyFill="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7" applyNumberFormat="0" applyFill="0" applyAlignment="0" applyProtection="0"/>
    <xf numFmtId="0" fontId="123" fillId="31" borderId="2" applyNumberFormat="0" applyAlignment="0" applyProtection="0"/>
    <xf numFmtId="0" fontId="124" fillId="32" borderId="8" applyNumberFormat="0" applyAlignment="0" applyProtection="0"/>
    <xf numFmtId="0" fontId="12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cellStyleXfs>
  <cellXfs count="532">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27"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128"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29" fillId="0" borderId="0" xfId="0" applyFont="1" applyAlignment="1">
      <alignment/>
    </xf>
    <xf numFmtId="0" fontId="130"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31" fillId="0" borderId="0" xfId="0" applyFont="1" applyAlignment="1">
      <alignment/>
    </xf>
    <xf numFmtId="3" fontId="132" fillId="0" borderId="0" xfId="0" applyNumberFormat="1" applyFont="1" applyFill="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29"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6" fillId="0" borderId="0" xfId="0" applyFont="1" applyAlignment="1">
      <alignment/>
    </xf>
    <xf numFmtId="0" fontId="25" fillId="0" borderId="0" xfId="0" applyFont="1" applyAlignment="1" applyProtection="1">
      <alignment/>
      <protection/>
    </xf>
    <xf numFmtId="0" fontId="0" fillId="0" borderId="0" xfId="0" applyFont="1" applyAlignment="1" quotePrefix="1">
      <alignment/>
    </xf>
    <xf numFmtId="0" fontId="27" fillId="0" borderId="0" xfId="42" applyFont="1" applyAlignment="1" applyProtection="1">
      <alignment/>
      <protection/>
    </xf>
    <xf numFmtId="0" fontId="11" fillId="0" borderId="0" xfId="0" applyFont="1" applyAlignment="1">
      <alignment horizontal="right"/>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4" fontId="1" fillId="36" borderId="16" xfId="0" applyNumberFormat="1" applyFont="1" applyFill="1" applyBorder="1" applyAlignment="1" applyProtection="1">
      <alignment/>
      <protection locked="0"/>
    </xf>
    <xf numFmtId="9" fontId="5" fillId="0" borderId="0" xfId="58" applyFont="1" applyAlignment="1">
      <alignment/>
    </xf>
    <xf numFmtId="14" fontId="133" fillId="0" borderId="28" xfId="0" applyNumberFormat="1" applyFont="1" applyFill="1" applyBorder="1" applyAlignment="1" applyProtection="1" quotePrefix="1">
      <alignment/>
      <protection locked="0"/>
    </xf>
    <xf numFmtId="0" fontId="134" fillId="0" borderId="29" xfId="0" applyFont="1" applyBorder="1" applyAlignment="1">
      <alignment/>
    </xf>
    <xf numFmtId="14" fontId="133" fillId="0" borderId="29" xfId="0" applyNumberFormat="1" applyFont="1" applyFill="1" applyBorder="1" applyAlignment="1" applyProtection="1" quotePrefix="1">
      <alignment/>
      <protection locked="0"/>
    </xf>
    <xf numFmtId="0" fontId="134" fillId="0" borderId="30" xfId="0" applyFont="1" applyBorder="1" applyAlignment="1">
      <alignment/>
    </xf>
    <xf numFmtId="0" fontId="134" fillId="0" borderId="31" xfId="0" applyFont="1" applyBorder="1" applyAlignment="1">
      <alignment/>
    </xf>
    <xf numFmtId="14" fontId="133" fillId="0" borderId="0" xfId="0" applyNumberFormat="1" applyFont="1" applyBorder="1" applyAlignment="1" quotePrefix="1">
      <alignment/>
    </xf>
    <xf numFmtId="0" fontId="134" fillId="0" borderId="0" xfId="0" applyFont="1" applyBorder="1" applyAlignment="1">
      <alignment/>
    </xf>
    <xf numFmtId="0" fontId="134" fillId="0" borderId="32" xfId="0" applyFont="1" applyBorder="1" applyAlignment="1">
      <alignment/>
    </xf>
    <xf numFmtId="0" fontId="135" fillId="0" borderId="0" xfId="0" applyFont="1" applyBorder="1" applyAlignment="1">
      <alignment/>
    </xf>
    <xf numFmtId="0" fontId="134" fillId="36" borderId="10" xfId="0" applyFont="1" applyFill="1" applyBorder="1" applyAlignment="1">
      <alignment/>
    </xf>
    <xf numFmtId="0" fontId="136" fillId="0" borderId="0" xfId="0" applyFont="1" applyBorder="1" applyAlignment="1" quotePrefix="1">
      <alignment/>
    </xf>
    <xf numFmtId="0" fontId="134" fillId="33" borderId="10" xfId="0" applyFont="1" applyFill="1" applyBorder="1" applyAlignment="1">
      <alignment/>
    </xf>
    <xf numFmtId="0" fontId="137" fillId="0" borderId="0" xfId="0" applyFont="1" applyBorder="1" applyAlignment="1">
      <alignment/>
    </xf>
    <xf numFmtId="0" fontId="136" fillId="0" borderId="0" xfId="0" applyFont="1" applyBorder="1" applyAlignment="1">
      <alignment/>
    </xf>
    <xf numFmtId="3" fontId="138" fillId="0" borderId="0" xfId="0" applyNumberFormat="1" applyFont="1" applyFill="1" applyBorder="1" applyAlignment="1" applyProtection="1">
      <alignment/>
      <protection/>
    </xf>
    <xf numFmtId="0" fontId="139" fillId="0" borderId="0" xfId="0" applyFont="1" applyBorder="1" applyAlignment="1">
      <alignment/>
    </xf>
    <xf numFmtId="0" fontId="134" fillId="0" borderId="32" xfId="0" applyFont="1" applyBorder="1" applyAlignment="1">
      <alignment horizontal="center"/>
    </xf>
    <xf numFmtId="0" fontId="136" fillId="0" borderId="32" xfId="0" applyFont="1" applyBorder="1" applyAlignment="1">
      <alignment horizontal="center"/>
    </xf>
    <xf numFmtId="0" fontId="136" fillId="0" borderId="32" xfId="0" applyFont="1" applyBorder="1" applyAlignment="1">
      <alignment/>
    </xf>
    <xf numFmtId="3" fontId="134" fillId="33" borderId="10" xfId="0" applyNumberFormat="1" applyFont="1" applyFill="1" applyBorder="1" applyAlignment="1">
      <alignment/>
    </xf>
    <xf numFmtId="4" fontId="136" fillId="0" borderId="32" xfId="0" applyNumberFormat="1" applyFont="1" applyBorder="1" applyAlignment="1">
      <alignment/>
    </xf>
    <xf numFmtId="0" fontId="134" fillId="0" borderId="15" xfId="0" applyFont="1" applyBorder="1" applyAlignment="1">
      <alignment/>
    </xf>
    <xf numFmtId="3" fontId="134" fillId="0" borderId="15" xfId="0" applyNumberFormat="1" applyFont="1" applyFill="1" applyBorder="1" applyAlignment="1" applyProtection="1">
      <alignment/>
      <protection/>
    </xf>
    <xf numFmtId="0" fontId="134" fillId="0" borderId="15" xfId="0" applyFont="1" applyBorder="1" applyAlignment="1">
      <alignment horizontal="center"/>
    </xf>
    <xf numFmtId="3" fontId="134" fillId="33" borderId="16" xfId="0" applyNumberFormat="1" applyFont="1" applyFill="1" applyBorder="1" applyAlignment="1" applyProtection="1">
      <alignment/>
      <protection/>
    </xf>
    <xf numFmtId="4" fontId="136" fillId="0" borderId="33" xfId="0" applyNumberFormat="1" applyFont="1" applyBorder="1" applyAlignment="1">
      <alignment/>
    </xf>
    <xf numFmtId="3" fontId="134" fillId="0" borderId="0" xfId="0" applyNumberFormat="1" applyFont="1" applyFill="1" applyBorder="1" applyAlignment="1" applyProtection="1">
      <alignment/>
      <protection/>
    </xf>
    <xf numFmtId="0" fontId="134" fillId="0" borderId="0" xfId="0" applyFont="1" applyBorder="1" applyAlignment="1">
      <alignment horizontal="center"/>
    </xf>
    <xf numFmtId="4" fontId="137" fillId="36" borderId="16" xfId="0" applyNumberFormat="1" applyFont="1" applyFill="1" applyBorder="1" applyAlignment="1" applyProtection="1">
      <alignment/>
      <protection locked="0"/>
    </xf>
    <xf numFmtId="0" fontId="136" fillId="0" borderId="15" xfId="0" applyFont="1" applyBorder="1" applyAlignment="1">
      <alignment/>
    </xf>
    <xf numFmtId="3" fontId="136" fillId="0" borderId="0" xfId="0" applyNumberFormat="1" applyFont="1" applyBorder="1" applyAlignment="1">
      <alignment/>
    </xf>
    <xf numFmtId="3" fontId="134" fillId="33" borderId="10" xfId="0" applyNumberFormat="1" applyFont="1" applyFill="1" applyBorder="1" applyAlignment="1" applyProtection="1">
      <alignment/>
      <protection/>
    </xf>
    <xf numFmtId="0" fontId="134" fillId="0" borderId="25" xfId="0" applyFont="1" applyBorder="1" applyAlignment="1">
      <alignment/>
    </xf>
    <xf numFmtId="4" fontId="136" fillId="0" borderId="34" xfId="0" applyNumberFormat="1" applyFont="1" applyBorder="1" applyAlignment="1">
      <alignment/>
    </xf>
    <xf numFmtId="3" fontId="137" fillId="0" borderId="0" xfId="0" applyNumberFormat="1" applyFont="1" applyFill="1" applyBorder="1" applyAlignment="1">
      <alignment/>
    </xf>
    <xf numFmtId="4" fontId="135" fillId="0" borderId="32" xfId="0" applyNumberFormat="1" applyFont="1" applyBorder="1" applyAlignment="1">
      <alignment/>
    </xf>
    <xf numFmtId="3" fontId="134" fillId="36" borderId="10" xfId="0" applyNumberFormat="1" applyFont="1" applyFill="1" applyBorder="1" applyAlignment="1" applyProtection="1">
      <alignment/>
      <protection locked="0"/>
    </xf>
    <xf numFmtId="3" fontId="137" fillId="33" borderId="10" xfId="0" applyNumberFormat="1" applyFont="1" applyFill="1" applyBorder="1" applyAlignment="1" quotePrefix="1">
      <alignment/>
    </xf>
    <xf numFmtId="0" fontId="136" fillId="0" borderId="31" xfId="0" applyFont="1" applyBorder="1" applyAlignment="1">
      <alignment/>
    </xf>
    <xf numFmtId="3" fontId="135" fillId="0" borderId="0" xfId="0" applyNumberFormat="1" applyFont="1" applyFill="1" applyBorder="1" applyAlignment="1">
      <alignment/>
    </xf>
    <xf numFmtId="0" fontId="140" fillId="0" borderId="31" xfId="0" applyFont="1" applyBorder="1" applyAlignment="1">
      <alignment/>
    </xf>
    <xf numFmtId="0" fontId="140" fillId="0" borderId="0" xfId="0" applyFont="1" applyBorder="1" applyAlignment="1">
      <alignment/>
    </xf>
    <xf numFmtId="0" fontId="140" fillId="0" borderId="0" xfId="0" applyFont="1" applyBorder="1" applyAlignment="1" quotePrefix="1">
      <alignment/>
    </xf>
    <xf numFmtId="4" fontId="141" fillId="36" borderId="10" xfId="0" applyNumberFormat="1" applyFont="1" applyFill="1" applyBorder="1" applyAlignment="1" applyProtection="1">
      <alignment/>
      <protection locked="0"/>
    </xf>
    <xf numFmtId="3" fontId="140" fillId="0" borderId="0" xfId="0" applyNumberFormat="1" applyFont="1" applyFill="1" applyBorder="1" applyAlignment="1">
      <alignment/>
    </xf>
    <xf numFmtId="4" fontId="140" fillId="0" borderId="32" xfId="0" applyNumberFormat="1" applyFont="1" applyBorder="1" applyAlignment="1">
      <alignment/>
    </xf>
    <xf numFmtId="3" fontId="134" fillId="33" borderId="16" xfId="0" applyNumberFormat="1" applyFont="1" applyFill="1" applyBorder="1" applyAlignment="1">
      <alignment/>
    </xf>
    <xf numFmtId="3" fontId="134" fillId="33" borderId="19" xfId="0" applyNumberFormat="1" applyFont="1" applyFill="1" applyBorder="1" applyAlignment="1">
      <alignment/>
    </xf>
    <xf numFmtId="0" fontId="142" fillId="35" borderId="21" xfId="0" applyFont="1" applyFill="1" applyBorder="1" applyAlignment="1">
      <alignment/>
    </xf>
    <xf numFmtId="0" fontId="143" fillId="35" borderId="22" xfId="0" applyFont="1" applyFill="1" applyBorder="1" applyAlignment="1">
      <alignment horizontal="center"/>
    </xf>
    <xf numFmtId="0" fontId="142" fillId="35" borderId="23" xfId="0" applyFont="1" applyFill="1" applyBorder="1" applyAlignment="1">
      <alignment/>
    </xf>
    <xf numFmtId="0" fontId="142" fillId="35" borderId="35" xfId="0" applyFont="1" applyFill="1" applyBorder="1" applyAlignment="1">
      <alignment/>
    </xf>
    <xf numFmtId="0" fontId="143" fillId="35" borderId="0" xfId="0" applyFont="1" applyFill="1" applyBorder="1" applyAlignment="1">
      <alignment horizontal="center"/>
    </xf>
    <xf numFmtId="0" fontId="142" fillId="35" borderId="11" xfId="0" applyFont="1" applyFill="1" applyBorder="1" applyAlignment="1">
      <alignment/>
    </xf>
    <xf numFmtId="0" fontId="142" fillId="35" borderId="24" xfId="0" applyFont="1" applyFill="1" applyBorder="1" applyAlignment="1">
      <alignment/>
    </xf>
    <xf numFmtId="10" fontId="144" fillId="35" borderId="25" xfId="58" applyNumberFormat="1" applyFont="1" applyFill="1" applyBorder="1" applyAlignment="1">
      <alignment horizontal="center"/>
    </xf>
    <xf numFmtId="0" fontId="142"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4" fillId="33" borderId="0" xfId="0" applyNumberFormat="1" applyFont="1" applyFill="1" applyBorder="1" applyAlignment="1" applyProtection="1">
      <alignment/>
      <protection/>
    </xf>
    <xf numFmtId="4" fontId="141"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4" fillId="0" borderId="0" xfId="0" applyNumberFormat="1" applyFont="1" applyBorder="1" applyAlignment="1">
      <alignment/>
    </xf>
    <xf numFmtId="0" fontId="133" fillId="0" borderId="0" xfId="0" applyFont="1" applyBorder="1" applyAlignment="1">
      <alignment/>
    </xf>
    <xf numFmtId="3" fontId="137" fillId="0" borderId="0" xfId="0" applyNumberFormat="1" applyFont="1" applyBorder="1" applyAlignment="1">
      <alignment/>
    </xf>
    <xf numFmtId="0" fontId="145" fillId="35" borderId="36" xfId="0" applyFont="1" applyFill="1" applyBorder="1" applyAlignment="1">
      <alignment/>
    </xf>
    <xf numFmtId="0" fontId="146" fillId="35" borderId="22" xfId="0" applyFont="1" applyFill="1" applyBorder="1" applyAlignment="1">
      <alignment/>
    </xf>
    <xf numFmtId="0" fontId="145" fillId="35" borderId="22" xfId="0" applyFont="1" applyFill="1" applyBorder="1" applyAlignment="1">
      <alignment/>
    </xf>
    <xf numFmtId="0" fontId="133" fillId="35" borderId="22" xfId="0" applyFont="1" applyFill="1" applyBorder="1" applyAlignment="1">
      <alignment horizontal="right"/>
    </xf>
    <xf numFmtId="0" fontId="133" fillId="35" borderId="37" xfId="0" applyFont="1" applyFill="1" applyBorder="1" applyAlignment="1">
      <alignment horizontal="right"/>
    </xf>
    <xf numFmtId="0" fontId="145" fillId="35" borderId="31" xfId="0" applyFont="1" applyFill="1" applyBorder="1" applyAlignment="1">
      <alignment/>
    </xf>
    <xf numFmtId="0" fontId="146" fillId="35" borderId="0" xfId="0" applyFont="1" applyFill="1" applyBorder="1" applyAlignment="1">
      <alignment/>
    </xf>
    <xf numFmtId="0" fontId="145" fillId="35" borderId="0" xfId="0" applyFont="1" applyFill="1" applyBorder="1" applyAlignment="1">
      <alignment/>
    </xf>
    <xf numFmtId="3" fontId="147" fillId="35" borderId="0" xfId="0" applyNumberFormat="1" applyFont="1" applyFill="1" applyBorder="1" applyAlignment="1">
      <alignment/>
    </xf>
    <xf numFmtId="4" fontId="147" fillId="35" borderId="32" xfId="0" applyNumberFormat="1" applyFont="1" applyFill="1" applyBorder="1" applyAlignment="1">
      <alignment/>
    </xf>
    <xf numFmtId="0" fontId="146" fillId="35" borderId="38" xfId="0" applyFont="1" applyFill="1" applyBorder="1" applyAlignment="1">
      <alignment/>
    </xf>
    <xf numFmtId="0" fontId="146" fillId="35" borderId="25" xfId="0" applyFont="1" applyFill="1" applyBorder="1" applyAlignment="1">
      <alignment/>
    </xf>
    <xf numFmtId="3" fontId="146" fillId="35" borderId="25" xfId="0" applyNumberFormat="1" applyFont="1" applyFill="1" applyBorder="1" applyAlignment="1">
      <alignment/>
    </xf>
    <xf numFmtId="4" fontId="146"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 fontId="0" fillId="10" borderId="10" xfId="0" applyNumberFormat="1" applyFill="1" applyBorder="1" applyAlignment="1" applyProtection="1">
      <alignment horizontal="right"/>
      <protection locked="0"/>
    </xf>
    <xf numFmtId="1" fontId="0" fillId="0" borderId="0" xfId="0" applyNumberFormat="1" applyFont="1" applyAlignment="1" applyProtection="1">
      <alignment/>
      <protection/>
    </xf>
    <xf numFmtId="3" fontId="137"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31"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3" fontId="1" fillId="0" borderId="0" xfId="0" applyNumberFormat="1" applyFont="1" applyAlignment="1">
      <alignment/>
    </xf>
    <xf numFmtId="14" fontId="2" fillId="0" borderId="0" xfId="0" applyNumberFormat="1" applyFont="1" applyAlignment="1">
      <alignment horizontal="left"/>
    </xf>
    <xf numFmtId="0" fontId="148" fillId="0" borderId="0" xfId="0" applyFont="1" applyAlignment="1">
      <alignment/>
    </xf>
    <xf numFmtId="0" fontId="148" fillId="0" borderId="0" xfId="0" applyFont="1" applyAlignment="1">
      <alignment horizontal="center"/>
    </xf>
    <xf numFmtId="0" fontId="149" fillId="0" borderId="0" xfId="0" applyFont="1" applyAlignment="1">
      <alignment/>
    </xf>
    <xf numFmtId="0" fontId="150" fillId="0" borderId="0" xfId="0" applyFont="1" applyAlignment="1">
      <alignment/>
    </xf>
    <xf numFmtId="0" fontId="15" fillId="0" borderId="0" xfId="0" applyFont="1" applyAlignment="1">
      <alignment/>
    </xf>
    <xf numFmtId="0" fontId="151" fillId="0" borderId="0" xfId="0" applyFont="1" applyAlignment="1">
      <alignment/>
    </xf>
    <xf numFmtId="189" fontId="7" fillId="0" borderId="0" xfId="0" applyNumberFormat="1" applyFont="1" applyBorder="1" applyAlignment="1" applyProtection="1">
      <alignment horizontal="right"/>
      <protection locked="0"/>
    </xf>
    <xf numFmtId="0" fontId="152" fillId="0" borderId="0" xfId="0" applyFont="1" applyAlignment="1">
      <alignment horizontal="left"/>
    </xf>
    <xf numFmtId="14" fontId="153" fillId="0" borderId="0" xfId="0" applyNumberFormat="1" applyFont="1" applyAlignment="1">
      <alignment horizontal="left"/>
    </xf>
    <xf numFmtId="0" fontId="30"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190" fontId="7" fillId="2" borderId="0" xfId="0" applyNumberFormat="1" applyFont="1" applyFill="1" applyBorder="1" applyAlignment="1">
      <alignment horizontal="center"/>
    </xf>
    <xf numFmtId="0" fontId="31" fillId="2" borderId="0" xfId="0" applyFont="1" applyFill="1" applyAlignment="1">
      <alignment/>
    </xf>
    <xf numFmtId="0" fontId="32" fillId="0" borderId="0" xfId="0" applyFont="1" applyAlignment="1" applyProtection="1">
      <alignment horizontal="center"/>
      <protection/>
    </xf>
    <xf numFmtId="0" fontId="33" fillId="0" borderId="0" xfId="0" applyFont="1" applyAlignment="1" applyProtection="1">
      <alignment horizontal="left"/>
      <protection/>
    </xf>
    <xf numFmtId="0" fontId="33" fillId="0" borderId="0" xfId="50" applyFont="1" applyAlignment="1" applyProtection="1">
      <alignment horizontal="center"/>
      <protection/>
    </xf>
    <xf numFmtId="191" fontId="2" fillId="0" borderId="0" xfId="50" applyNumberFormat="1" applyFont="1" applyFill="1" applyBorder="1" applyAlignment="1" applyProtection="1">
      <alignment horizontal="left" vertical="center"/>
      <protection/>
    </xf>
    <xf numFmtId="0" fontId="30" fillId="0" borderId="0" xfId="49" applyFont="1">
      <alignment/>
      <protection/>
    </xf>
    <xf numFmtId="0" fontId="32" fillId="0" borderId="11" xfId="0" applyFont="1" applyBorder="1" applyAlignment="1" applyProtection="1">
      <alignment horizontal="center"/>
      <protection/>
    </xf>
    <xf numFmtId="0" fontId="16" fillId="2" borderId="25" xfId="0" applyFont="1" applyFill="1" applyBorder="1" applyAlignment="1">
      <alignment/>
    </xf>
    <xf numFmtId="0" fontId="16" fillId="2" borderId="25" xfId="0" applyFont="1" applyFill="1" applyBorder="1" applyAlignment="1">
      <alignment horizontal="center"/>
    </xf>
    <xf numFmtId="0" fontId="31" fillId="2" borderId="25" xfId="0" applyFont="1" applyFill="1" applyBorder="1" applyAlignment="1">
      <alignment/>
    </xf>
    <xf numFmtId="0" fontId="16" fillId="0" borderId="0" xfId="0" applyFont="1" applyAlignment="1">
      <alignment horizontal="center"/>
    </xf>
    <xf numFmtId="0" fontId="33" fillId="0" borderId="0" xfId="0" applyFont="1" applyAlignment="1">
      <alignment/>
    </xf>
    <xf numFmtId="191" fontId="2" fillId="0" borderId="0" xfId="50" applyNumberFormat="1" applyFont="1" applyFill="1" applyBorder="1" applyAlignment="1">
      <alignment horizontal="left" vertical="center"/>
      <protection/>
    </xf>
    <xf numFmtId="0" fontId="32" fillId="0" borderId="26" xfId="0" applyFont="1" applyBorder="1" applyAlignment="1" applyProtection="1">
      <alignment horizontal="center"/>
      <protection/>
    </xf>
    <xf numFmtId="0" fontId="7" fillId="2" borderId="0" xfId="0" applyFont="1" applyFill="1" applyAlignment="1">
      <alignment horizontal="center"/>
    </xf>
    <xf numFmtId="189" fontId="7" fillId="2" borderId="0" xfId="0" applyNumberFormat="1" applyFont="1" applyFill="1" applyBorder="1" applyAlignment="1">
      <alignment horizontal="center"/>
    </xf>
    <xf numFmtId="0" fontId="31" fillId="2" borderId="0" xfId="0" applyFont="1" applyFill="1" applyAlignment="1">
      <alignment horizontal="center"/>
    </xf>
    <xf numFmtId="0" fontId="16" fillId="0" borderId="0" xfId="0" applyFont="1" applyAlignment="1">
      <alignment/>
    </xf>
    <xf numFmtId="0" fontId="33" fillId="0" borderId="0" xfId="50" applyFont="1" applyAlignment="1">
      <alignment horizontal="center"/>
      <protection/>
    </xf>
    <xf numFmtId="0" fontId="30" fillId="0" borderId="0" xfId="49" applyFont="1" applyAlignment="1">
      <alignment horizontal="left"/>
      <protection/>
    </xf>
    <xf numFmtId="0" fontId="29" fillId="0" borderId="11" xfId="0" applyFont="1" applyBorder="1" applyAlignment="1">
      <alignment/>
    </xf>
    <xf numFmtId="0" fontId="16" fillId="0" borderId="0" xfId="50" applyFont="1" applyAlignment="1">
      <alignment horizontal="center"/>
      <protection/>
    </xf>
    <xf numFmtId="0" fontId="30" fillId="0" borderId="0" xfId="0" applyFont="1" applyAlignment="1">
      <alignment/>
    </xf>
    <xf numFmtId="0" fontId="32"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30" fillId="0" borderId="0" xfId="0" applyNumberFormat="1" applyFont="1" applyAlignment="1">
      <alignment/>
    </xf>
    <xf numFmtId="0" fontId="32" fillId="0" borderId="11" xfId="0" applyFont="1" applyBorder="1" applyAlignment="1">
      <alignment/>
    </xf>
    <xf numFmtId="0" fontId="154" fillId="0" borderId="0" xfId="0" applyFont="1" applyBorder="1" applyAlignment="1" applyProtection="1">
      <alignment horizontal="left"/>
      <protection/>
    </xf>
    <xf numFmtId="3" fontId="154" fillId="0" borderId="0" xfId="0" applyNumberFormat="1" applyFont="1" applyBorder="1" applyAlignment="1" applyProtection="1">
      <alignment horizontal="right"/>
      <protection/>
    </xf>
    <xf numFmtId="4" fontId="154" fillId="0" borderId="0" xfId="0" applyNumberFormat="1" applyFont="1" applyBorder="1" applyAlignment="1" applyProtection="1">
      <alignment horizontal="center"/>
      <protection/>
    </xf>
    <xf numFmtId="190" fontId="154" fillId="0" borderId="0" xfId="0" applyNumberFormat="1" applyFont="1" applyBorder="1" applyAlignment="1" applyProtection="1">
      <alignment/>
      <protection/>
    </xf>
    <xf numFmtId="190" fontId="155" fillId="0" borderId="0" xfId="0" applyNumberFormat="1" applyFont="1" applyBorder="1" applyAlignment="1" applyProtection="1">
      <alignment horizontal="right"/>
      <protection locked="0"/>
    </xf>
    <xf numFmtId="3" fontId="155" fillId="0" borderId="0" xfId="0" applyNumberFormat="1" applyFont="1" applyBorder="1" applyAlignment="1" applyProtection="1">
      <alignment horizontal="right"/>
      <protection/>
    </xf>
    <xf numFmtId="4" fontId="154" fillId="0" borderId="0" xfId="0" applyNumberFormat="1" applyFont="1" applyAlignment="1" applyProtection="1">
      <alignment horizontal="left"/>
      <protection/>
    </xf>
    <xf numFmtId="0" fontId="154" fillId="0" borderId="0" xfId="0" applyFont="1" applyAlignment="1" applyProtection="1">
      <alignment horizontal="left"/>
      <protection/>
    </xf>
    <xf numFmtId="0" fontId="154" fillId="0" borderId="0" xfId="50" applyFont="1">
      <alignment/>
      <protection/>
    </xf>
    <xf numFmtId="0" fontId="156" fillId="0" borderId="0" xfId="0" applyFont="1" applyAlignment="1">
      <alignment/>
    </xf>
    <xf numFmtId="0" fontId="157" fillId="0" borderId="0" xfId="0" applyFont="1" applyAlignment="1">
      <alignment/>
    </xf>
    <xf numFmtId="2" fontId="154" fillId="0" borderId="0" xfId="0" applyNumberFormat="1" applyFont="1" applyAlignment="1" applyProtection="1">
      <alignment horizontal="center"/>
      <protection/>
    </xf>
    <xf numFmtId="3" fontId="157" fillId="0" borderId="0" xfId="0" applyNumberFormat="1" applyFont="1" applyAlignment="1" applyProtection="1">
      <alignment/>
      <protection/>
    </xf>
    <xf numFmtId="0" fontId="158" fillId="0" borderId="0" xfId="0" applyFont="1" applyBorder="1" applyAlignment="1" applyProtection="1">
      <alignment horizontal="left"/>
      <protection/>
    </xf>
    <xf numFmtId="3" fontId="159" fillId="0" borderId="0" xfId="0" applyNumberFormat="1" applyFont="1" applyBorder="1" applyAlignment="1" applyProtection="1">
      <alignment horizontal="right"/>
      <protection/>
    </xf>
    <xf numFmtId="3" fontId="158" fillId="0" borderId="0" xfId="0" applyNumberFormat="1" applyFont="1" applyBorder="1" applyAlignment="1" applyProtection="1">
      <alignment horizontal="right"/>
      <protection/>
    </xf>
    <xf numFmtId="4" fontId="158" fillId="0" borderId="0" xfId="0" applyNumberFormat="1" applyFont="1" applyBorder="1" applyAlignment="1" applyProtection="1">
      <alignment horizontal="center"/>
      <protection/>
    </xf>
    <xf numFmtId="190" fontId="158" fillId="0" borderId="0" xfId="0" applyNumberFormat="1" applyFont="1" applyBorder="1" applyAlignment="1" applyProtection="1">
      <alignment/>
      <protection/>
    </xf>
    <xf numFmtId="190" fontId="160" fillId="0" borderId="0" xfId="0" applyNumberFormat="1" applyFont="1" applyBorder="1" applyAlignment="1" applyProtection="1">
      <alignment horizontal="right"/>
      <protection locked="0"/>
    </xf>
    <xf numFmtId="3" fontId="160" fillId="0" borderId="0" xfId="0" applyNumberFormat="1" applyFont="1" applyBorder="1" applyAlignment="1" applyProtection="1">
      <alignment horizontal="right"/>
      <protection/>
    </xf>
    <xf numFmtId="4" fontId="158" fillId="0" borderId="0" xfId="0" applyNumberFormat="1" applyFont="1" applyAlignment="1" applyProtection="1">
      <alignment horizontal="left"/>
      <protection/>
    </xf>
    <xf numFmtId="0" fontId="158" fillId="0" borderId="0" xfId="0" applyFont="1" applyAlignment="1" applyProtection="1">
      <alignment horizontal="left"/>
      <protection/>
    </xf>
    <xf numFmtId="0" fontId="158" fillId="0" borderId="0" xfId="50" applyFont="1">
      <alignment/>
      <protection/>
    </xf>
    <xf numFmtId="0" fontId="161" fillId="0" borderId="0" xfId="0" applyFont="1" applyAlignment="1">
      <alignment/>
    </xf>
    <xf numFmtId="0" fontId="162" fillId="0" borderId="0" xfId="0" applyFont="1" applyAlignment="1">
      <alignment/>
    </xf>
    <xf numFmtId="2" fontId="158" fillId="0" borderId="0" xfId="0" applyNumberFormat="1" applyFont="1" applyAlignment="1" applyProtection="1">
      <alignment horizontal="center"/>
      <protection/>
    </xf>
    <xf numFmtId="3" fontId="162" fillId="0" borderId="0" xfId="0" applyNumberFormat="1" applyFont="1" applyAlignment="1" applyProtection="1">
      <alignment/>
      <protection/>
    </xf>
    <xf numFmtId="0" fontId="163" fillId="0" borderId="0" xfId="0" applyFont="1" applyBorder="1" applyAlignment="1" applyProtection="1">
      <alignment horizontal="left"/>
      <protection/>
    </xf>
    <xf numFmtId="3" fontId="163" fillId="0" borderId="0" xfId="0" applyNumberFormat="1" applyFont="1" applyBorder="1" applyAlignment="1" applyProtection="1">
      <alignment horizontal="right"/>
      <protection/>
    </xf>
    <xf numFmtId="4" fontId="163" fillId="0" borderId="0" xfId="0" applyNumberFormat="1" applyFont="1" applyBorder="1" applyAlignment="1" applyProtection="1">
      <alignment horizontal="center"/>
      <protection/>
    </xf>
    <xf numFmtId="190" fontId="163" fillId="0" borderId="0" xfId="0" applyNumberFormat="1" applyFont="1" applyBorder="1" applyAlignment="1" applyProtection="1">
      <alignment/>
      <protection/>
    </xf>
    <xf numFmtId="190" fontId="164" fillId="0" borderId="0" xfId="0" applyNumberFormat="1" applyFont="1" applyBorder="1" applyAlignment="1" applyProtection="1">
      <alignment horizontal="right"/>
      <protection locked="0"/>
    </xf>
    <xf numFmtId="4" fontId="16" fillId="0" borderId="0" xfId="0" applyNumberFormat="1" applyFont="1" applyAlignment="1" applyProtection="1">
      <alignment horizontal="left"/>
      <protection/>
    </xf>
    <xf numFmtId="0" fontId="16" fillId="0" borderId="0" xfId="0" applyFont="1" applyAlignment="1" applyProtection="1">
      <alignment horizontal="left"/>
      <protection/>
    </xf>
    <xf numFmtId="0" fontId="16" fillId="0" borderId="0" xfId="50" applyFont="1">
      <alignment/>
      <protection/>
    </xf>
    <xf numFmtId="2" fontId="165" fillId="0" borderId="0" xfId="0" applyNumberFormat="1" applyFont="1" applyAlignment="1" applyProtection="1">
      <alignment horizontal="center"/>
      <protection/>
    </xf>
    <xf numFmtId="3" fontId="32" fillId="0" borderId="0" xfId="0" applyNumberFormat="1" applyFont="1" applyAlignment="1" applyProtection="1">
      <alignment/>
      <protection/>
    </xf>
    <xf numFmtId="0" fontId="22" fillId="0" borderId="0" xfId="0" applyFont="1" applyBorder="1" applyAlignment="1" applyProtection="1">
      <alignment horizontal="left"/>
      <protection/>
    </xf>
    <xf numFmtId="3" fontId="7" fillId="0" borderId="0" xfId="0" applyNumberFormat="1" applyFont="1" applyBorder="1" applyAlignment="1" applyProtection="1">
      <alignment horizontal="right"/>
      <protection locked="0"/>
    </xf>
    <xf numFmtId="3" fontId="7" fillId="0" borderId="0" xfId="0" applyNumberFormat="1" applyFont="1" applyBorder="1" applyAlignment="1" applyProtection="1">
      <alignment horizontal="center"/>
      <protection locked="0"/>
    </xf>
    <xf numFmtId="190" fontId="7" fillId="0" borderId="0" xfId="0" applyNumberFormat="1" applyFont="1" applyBorder="1" applyAlignment="1" applyProtection="1">
      <alignment horizontal="right"/>
      <protection locked="0"/>
    </xf>
    <xf numFmtId="190" fontId="22" fillId="0" borderId="0" xfId="0" applyNumberFormat="1" applyFont="1" applyBorder="1" applyAlignment="1" applyProtection="1">
      <alignment horizontal="right"/>
      <protection locked="0"/>
    </xf>
    <xf numFmtId="0" fontId="35" fillId="0" borderId="0" xfId="0" applyFont="1" applyAlignment="1" applyProtection="1">
      <alignment/>
      <protection/>
    </xf>
    <xf numFmtId="191" fontId="36" fillId="0" borderId="0" xfId="0" applyNumberFormat="1" applyFont="1" applyFill="1" applyBorder="1" applyAlignment="1" applyProtection="1">
      <alignment vertical="center"/>
      <protection/>
    </xf>
    <xf numFmtId="191" fontId="7" fillId="0" borderId="0" xfId="50" applyNumberFormat="1" applyFont="1" applyFill="1" applyBorder="1" applyAlignment="1">
      <alignment horizontal="left" vertical="center"/>
      <protection/>
    </xf>
    <xf numFmtId="0" fontId="142" fillId="0" borderId="0" xfId="0" applyFont="1" applyAlignment="1">
      <alignment horizontal="center"/>
    </xf>
    <xf numFmtId="0" fontId="7" fillId="0" borderId="0" xfId="0" applyFont="1" applyAlignment="1" applyProtection="1">
      <alignment horizontal="left"/>
      <protection/>
    </xf>
    <xf numFmtId="3" fontId="165" fillId="0" borderId="0" xfId="47" applyNumberFormat="1" applyFont="1" applyAlignment="1" applyProtection="1">
      <alignment horizontal="right"/>
      <protection locked="0"/>
    </xf>
    <xf numFmtId="3" fontId="16" fillId="0" borderId="0" xfId="0" applyNumberFormat="1" applyFont="1" applyBorder="1" applyAlignment="1" applyProtection="1">
      <alignment/>
      <protection/>
    </xf>
    <xf numFmtId="3" fontId="16" fillId="0" borderId="0" xfId="0" applyNumberFormat="1" applyFont="1" applyBorder="1" applyAlignment="1" applyProtection="1">
      <alignment horizontal="center"/>
      <protection/>
    </xf>
    <xf numFmtId="0" fontId="7" fillId="0" borderId="0" xfId="0" applyFont="1" applyAlignment="1" applyProtection="1">
      <alignment/>
      <protection/>
    </xf>
    <xf numFmtId="0" fontId="33" fillId="0" borderId="0" xfId="50" applyFont="1" applyBorder="1" applyAlignment="1">
      <alignment horizontal="right"/>
      <protection/>
    </xf>
    <xf numFmtId="49" fontId="2" fillId="0" borderId="0" xfId="48" applyNumberFormat="1" applyFont="1" applyFill="1" applyBorder="1" applyAlignment="1" applyProtection="1">
      <alignment horizontal="center"/>
      <protection locked="0"/>
    </xf>
    <xf numFmtId="0" fontId="166" fillId="0" borderId="0" xfId="0" applyFont="1" applyAlignment="1" applyProtection="1">
      <alignment horizontal="left"/>
      <protection/>
    </xf>
    <xf numFmtId="192" fontId="165" fillId="0" borderId="0" xfId="0" applyNumberFormat="1" applyFont="1" applyAlignment="1">
      <alignment horizontal="center"/>
    </xf>
    <xf numFmtId="3" fontId="30" fillId="0" borderId="0" xfId="0" applyNumberFormat="1" applyFont="1" applyBorder="1" applyAlignment="1">
      <alignment/>
    </xf>
    <xf numFmtId="3" fontId="30" fillId="0" borderId="0" xfId="58" applyNumberFormat="1" applyFont="1" applyAlignment="1">
      <alignment/>
    </xf>
    <xf numFmtId="192" fontId="0" fillId="0" borderId="0" xfId="0" applyNumberFormat="1" applyAlignment="1">
      <alignment/>
    </xf>
    <xf numFmtId="0" fontId="16" fillId="0" borderId="0" xfId="0" applyFont="1" applyAlignment="1" applyProtection="1">
      <alignment/>
      <protection/>
    </xf>
    <xf numFmtId="191" fontId="33" fillId="0" borderId="0" xfId="0" applyNumberFormat="1" applyFont="1" applyFill="1" applyBorder="1" applyAlignment="1" applyProtection="1">
      <alignment vertical="center"/>
      <protection/>
    </xf>
    <xf numFmtId="0" fontId="37" fillId="0" borderId="0" xfId="0" applyFont="1" applyAlignment="1">
      <alignment/>
    </xf>
    <xf numFmtId="168" fontId="2" fillId="0" borderId="0" xfId="0" applyNumberFormat="1" applyFont="1" applyAlignment="1">
      <alignment/>
    </xf>
    <xf numFmtId="0" fontId="31" fillId="2" borderId="0" xfId="0" applyFont="1" applyFill="1" applyBorder="1" applyAlignment="1">
      <alignment/>
    </xf>
    <xf numFmtId="0" fontId="167" fillId="0" borderId="25" xfId="49" applyFont="1" applyBorder="1" applyAlignment="1">
      <alignment horizontal="left"/>
      <protection/>
    </xf>
    <xf numFmtId="0" fontId="167" fillId="0" borderId="25" xfId="0" applyFont="1" applyBorder="1" applyAlignment="1">
      <alignment/>
    </xf>
    <xf numFmtId="0" fontId="165" fillId="2" borderId="0" xfId="0" applyFont="1" applyFill="1" applyAlignment="1">
      <alignment horizontal="center"/>
    </xf>
    <xf numFmtId="1" fontId="2" fillId="0" borderId="0" xfId="0" applyNumberFormat="1" applyFont="1" applyBorder="1" applyAlignment="1">
      <alignment/>
    </xf>
    <xf numFmtId="180" fontId="2" fillId="0" borderId="0" xfId="0" applyNumberFormat="1" applyFont="1" applyBorder="1" applyAlignment="1">
      <alignment/>
    </xf>
    <xf numFmtId="190" fontId="31" fillId="0" borderId="0" xfId="0" applyNumberFormat="1" applyFont="1" applyBorder="1" applyAlignment="1" applyProtection="1">
      <alignment/>
      <protection/>
    </xf>
    <xf numFmtId="1" fontId="92" fillId="0" borderId="0" xfId="0" applyNumberFormat="1" applyFont="1" applyAlignment="1" applyProtection="1">
      <alignment/>
      <protection/>
    </xf>
    <xf numFmtId="3" fontId="92" fillId="0" borderId="0" xfId="0" applyNumberFormat="1" applyFont="1" applyAlignment="1" applyProtection="1">
      <alignment horizontal="center"/>
      <protection/>
    </xf>
    <xf numFmtId="193" fontId="38" fillId="0" borderId="10" xfId="0" applyNumberFormat="1" applyFont="1" applyBorder="1" applyAlignment="1">
      <alignment horizontal="right"/>
    </xf>
    <xf numFmtId="0" fontId="0" fillId="0" borderId="10" xfId="0" applyBorder="1" applyAlignment="1">
      <alignment/>
    </xf>
    <xf numFmtId="193" fontId="0" fillId="0" borderId="0" xfId="0" applyNumberFormat="1" applyAlignment="1">
      <alignment/>
    </xf>
    <xf numFmtId="193" fontId="38" fillId="0" borderId="0" xfId="0" applyNumberFormat="1" applyFont="1" applyBorder="1" applyAlignment="1">
      <alignment horizontal="right"/>
    </xf>
    <xf numFmtId="1" fontId="92" fillId="0" borderId="0" xfId="0" applyNumberFormat="1" applyFont="1" applyBorder="1" applyAlignment="1" applyProtection="1">
      <alignment/>
      <protection/>
    </xf>
    <xf numFmtId="3" fontId="92" fillId="0" borderId="0" xfId="0" applyNumberFormat="1" applyFont="1" applyBorder="1" applyAlignment="1" applyProtection="1">
      <alignment horizontal="center"/>
      <protection/>
    </xf>
    <xf numFmtId="1" fontId="92" fillId="0" borderId="15" xfId="0" applyNumberFormat="1" applyFont="1" applyBorder="1" applyAlignment="1" applyProtection="1">
      <alignment/>
      <protection/>
    </xf>
    <xf numFmtId="3" fontId="92" fillId="0" borderId="15" xfId="0" applyNumberFormat="1" applyFont="1" applyBorder="1" applyAlignment="1" applyProtection="1">
      <alignment horizontal="center"/>
      <protection/>
    </xf>
    <xf numFmtId="2" fontId="129" fillId="16" borderId="10" xfId="0" applyNumberFormat="1" applyFont="1" applyFill="1" applyBorder="1" applyAlignment="1" applyProtection="1">
      <alignment horizontal="center"/>
      <protection locked="0"/>
    </xf>
    <xf numFmtId="3" fontId="129" fillId="0" borderId="0" xfId="0" applyNumberFormat="1" applyFont="1" applyAlignment="1">
      <alignment/>
    </xf>
    <xf numFmtId="2" fontId="129" fillId="0" borderId="0" xfId="0" applyNumberFormat="1" applyFont="1" applyAlignment="1">
      <alignment horizontal="center"/>
    </xf>
    <xf numFmtId="2" fontId="129" fillId="0" borderId="0" xfId="0" applyNumberFormat="1" applyFont="1" applyAlignment="1">
      <alignment/>
    </xf>
    <xf numFmtId="2" fontId="130" fillId="0" borderId="0" xfId="0" applyNumberFormat="1" applyFont="1" applyAlignment="1">
      <alignment/>
    </xf>
    <xf numFmtId="3" fontId="130" fillId="33" borderId="10" xfId="0" applyNumberFormat="1" applyFont="1" applyFill="1" applyBorder="1" applyAlignment="1" applyProtection="1">
      <alignment/>
      <protection locked="0"/>
    </xf>
    <xf numFmtId="0" fontId="168" fillId="0" borderId="0" xfId="0" applyFont="1" applyAlignment="1">
      <alignment/>
    </xf>
    <xf numFmtId="4" fontId="130" fillId="10" borderId="16" xfId="0" applyNumberFormat="1" applyFont="1" applyFill="1" applyBorder="1" applyAlignment="1" applyProtection="1">
      <alignment/>
      <protection locked="0"/>
    </xf>
    <xf numFmtId="4" fontId="0" fillId="0" borderId="0" xfId="0" applyNumberFormat="1" applyFont="1" applyAlignment="1">
      <alignment/>
    </xf>
    <xf numFmtId="3" fontId="7" fillId="33" borderId="0" xfId="0" applyNumberFormat="1" applyFont="1" applyFill="1" applyBorder="1" applyAlignment="1" quotePrefix="1">
      <alignment/>
    </xf>
    <xf numFmtId="171" fontId="0" fillId="10" borderId="10" xfId="0" applyNumberFormat="1" applyFill="1" applyBorder="1" applyAlignment="1" applyProtection="1">
      <alignment/>
      <protection locked="0"/>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69" fillId="34" borderId="12" xfId="0" applyFont="1" applyFill="1" applyBorder="1" applyAlignment="1">
      <alignment horizontal="center"/>
    </xf>
    <xf numFmtId="0" fontId="169" fillId="34" borderId="13" xfId="0" applyFont="1" applyFill="1" applyBorder="1" applyAlignment="1">
      <alignment horizontal="center"/>
    </xf>
    <xf numFmtId="0" fontId="169" fillId="34" borderId="39" xfId="0" applyFont="1" applyFill="1" applyBorder="1" applyAlignment="1">
      <alignment horizontal="center"/>
    </xf>
    <xf numFmtId="0" fontId="170"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3" fontId="0" fillId="33" borderId="0" xfId="0" applyNumberFormat="1" applyFill="1" applyBorder="1" applyAlignment="1">
      <alignment/>
    </xf>
    <xf numFmtId="3" fontId="134" fillId="33" borderId="0" xfId="0" applyNumberFormat="1" applyFont="1" applyFill="1" applyBorder="1" applyAlignment="1">
      <alignment/>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104775</xdr:colOff>
      <xdr:row>105</xdr:row>
      <xdr:rowOff>85725</xdr:rowOff>
    </xdr:to>
    <xdr:sp>
      <xdr:nvSpPr>
        <xdr:cNvPr id="1" name="Tekstiruutu 2"/>
        <xdr:cNvSpPr txBox="1">
          <a:spLocks noChangeArrowheads="1"/>
        </xdr:cNvSpPr>
      </xdr:nvSpPr>
      <xdr:spPr>
        <a:xfrm>
          <a:off x="38100" y="9525"/>
          <a:ext cx="7162800" cy="1701165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15.10.2019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Tulopohjan tasaus</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8. Opetus ja kulttuurin, muu vos 
</a:t>
          </a:r>
          <a:r>
            <a:rPr lang="en-US" cap="none" sz="1200" b="1" i="0" u="none" baseline="0">
              <a:solidFill>
                <a:srgbClr val="0066CC"/>
              </a:solidFill>
              <a:latin typeface="Calibri"/>
              <a:ea typeface="Calibri"/>
              <a:cs typeface="Calibri"/>
            </a:rPr>
            <a:t>9.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133350</xdr:rowOff>
    </xdr:from>
    <xdr:ext cx="5753100" cy="1743075"/>
    <xdr:sp>
      <xdr:nvSpPr>
        <xdr:cNvPr id="1" name="Tekstiruutu 1"/>
        <xdr:cNvSpPr txBox="1">
          <a:spLocks noChangeArrowheads="1"/>
        </xdr:cNvSpPr>
      </xdr:nvSpPr>
      <xdr:spPr>
        <a:xfrm>
          <a:off x="66675" y="1428750"/>
          <a:ext cx="5753100" cy="174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161925</xdr:rowOff>
    </xdr:from>
    <xdr:ext cx="5181600" cy="2647950"/>
    <xdr:sp>
      <xdr:nvSpPr>
        <xdr:cNvPr id="1" name="Suorakulmio 1"/>
        <xdr:cNvSpPr>
          <a:spLocks/>
        </xdr:cNvSpPr>
      </xdr:nvSpPr>
      <xdr:spPr>
        <a:xfrm>
          <a:off x="1943100" y="800100"/>
          <a:ext cx="5181600" cy="2647950"/>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N297"/>
  <sheetViews>
    <sheetView zoomScalePageLayoutView="0" workbookViewId="0" topLeftCell="A1">
      <pane ySplit="1" topLeftCell="A2" activePane="bottomLeft" state="frozen"/>
      <selection pane="topLeft" activeCell="A1" sqref="A1"/>
      <selection pane="bottomLeft" activeCell="A2" sqref="A2:IV295"/>
    </sheetView>
  </sheetViews>
  <sheetFormatPr defaultColWidth="6.00390625" defaultRowHeight="12.75"/>
  <cols>
    <col min="1" max="1" width="7.00390625" style="175" bestFit="1" customWidth="1"/>
    <col min="2" max="2" width="13.421875" style="175" bestFit="1" customWidth="1"/>
    <col min="3" max="3" width="7.8515625" style="175" bestFit="1" customWidth="1"/>
    <col min="4" max="4" width="11.8515625" style="175" bestFit="1" customWidth="1"/>
    <col min="5" max="6" width="10.8515625" style="175" bestFit="1" customWidth="1"/>
    <col min="7" max="7" width="11.8515625" style="175" bestFit="1" customWidth="1"/>
    <col min="8" max="8" width="7.8515625" style="175" bestFit="1" customWidth="1"/>
    <col min="9" max="9" width="11.8515625" style="175" bestFit="1" customWidth="1"/>
    <col min="10" max="10" width="10.8515625" style="175" bestFit="1" customWidth="1"/>
    <col min="11" max="11" width="10.57421875" style="175" bestFit="1" customWidth="1"/>
    <col min="12" max="13" width="11.28125" style="175" bestFit="1" customWidth="1"/>
    <col min="14" max="14" width="10.8515625" style="175" bestFit="1" customWidth="1"/>
    <col min="15" max="16" width="11.28125" style="175" bestFit="1" customWidth="1"/>
    <col min="17" max="28" width="7.8515625" style="175" bestFit="1" customWidth="1"/>
    <col min="29" max="29" width="8.140625" style="175" bestFit="1" customWidth="1"/>
    <col min="30" max="30" width="7.8515625" style="175" bestFit="1" customWidth="1"/>
    <col min="31" max="31" width="7.8515625" style="175" customWidth="1"/>
    <col min="32" max="32" width="9.140625" style="175" customWidth="1"/>
    <col min="33" max="34" width="7.8515625" style="175" bestFit="1" customWidth="1"/>
    <col min="35" max="35" width="10.57421875" style="175" bestFit="1" customWidth="1"/>
    <col min="36" max="36" width="7.8515625" style="175" bestFit="1" customWidth="1"/>
    <col min="37" max="38" width="10.57421875" style="175" bestFit="1" customWidth="1"/>
    <col min="39" max="41" width="7.8515625" style="175" bestFit="1" customWidth="1"/>
    <col min="42" max="42" width="8.28125" style="175" bestFit="1" customWidth="1"/>
    <col min="43" max="43" width="8.140625" style="175" customWidth="1"/>
    <col min="44" max="44" width="8.28125" style="175" bestFit="1" customWidth="1"/>
    <col min="45" max="46" width="10.57421875" style="175" bestFit="1" customWidth="1"/>
    <col min="47" max="48" width="8.28125" style="175" bestFit="1" customWidth="1"/>
    <col min="49" max="51" width="10.57421875" style="175" bestFit="1" customWidth="1"/>
    <col min="52" max="53" width="7.8515625" style="175" bestFit="1" customWidth="1"/>
    <col min="54" max="55" width="10.57421875" style="175" bestFit="1" customWidth="1"/>
    <col min="56" max="57" width="7.8515625" style="175" bestFit="1" customWidth="1"/>
    <col min="58" max="61" width="9.57421875" style="175" bestFit="1" customWidth="1"/>
    <col min="62" max="62" width="10.421875" style="175" bestFit="1" customWidth="1"/>
    <col min="63" max="63" width="8.57421875" style="175" bestFit="1" customWidth="1"/>
    <col min="64" max="64" width="8.140625" style="175" bestFit="1" customWidth="1"/>
    <col min="65" max="66" width="7.8515625" style="175" customWidth="1"/>
    <col min="67" max="67" width="11.28125" style="175" bestFit="1" customWidth="1"/>
    <col min="68" max="69" width="8.8515625" style="175" bestFit="1" customWidth="1"/>
    <col min="70" max="70" width="10.57421875" style="175" bestFit="1" customWidth="1"/>
    <col min="71" max="73" width="11.28125" style="175" bestFit="1" customWidth="1"/>
    <col min="74" max="77" width="11.140625" style="175" customWidth="1"/>
    <col min="78" max="78" width="8.140625" style="175" bestFit="1" customWidth="1"/>
    <col min="79" max="81" width="11.28125" style="175" bestFit="1" customWidth="1"/>
    <col min="82" max="83" width="11.28125" style="175" customWidth="1"/>
    <col min="84" max="84" width="9.28125" style="175" customWidth="1"/>
    <col min="85" max="85" width="10.7109375" style="175" customWidth="1"/>
    <col min="86" max="86" width="8.57421875" style="175" bestFit="1" customWidth="1"/>
    <col min="87" max="89" width="8.57421875" style="175" customWidth="1"/>
    <col min="90" max="90" width="8.8515625" style="175" customWidth="1"/>
    <col min="91" max="91" width="10.28125" style="175" bestFit="1" customWidth="1"/>
    <col min="92" max="92" width="9.8515625" style="175" bestFit="1" customWidth="1"/>
    <col min="93" max="16384" width="6.00390625" style="175" customWidth="1"/>
  </cols>
  <sheetData>
    <row r="1" spans="1:92" ht="9.75">
      <c r="A1" s="175" t="s">
        <v>590</v>
      </c>
      <c r="B1" s="175" t="s">
        <v>591</v>
      </c>
      <c r="C1" s="175" t="s">
        <v>421</v>
      </c>
      <c r="D1" s="175" t="s">
        <v>422</v>
      </c>
      <c r="E1" s="175" t="s">
        <v>423</v>
      </c>
      <c r="F1" s="175" t="s">
        <v>424</v>
      </c>
      <c r="G1" s="175" t="s">
        <v>425</v>
      </c>
      <c r="H1" s="175" t="s">
        <v>426</v>
      </c>
      <c r="I1" s="175" t="s">
        <v>427</v>
      </c>
      <c r="J1" s="175" t="s">
        <v>428</v>
      </c>
      <c r="K1" s="175" t="s">
        <v>429</v>
      </c>
      <c r="L1" s="175" t="s">
        <v>430</v>
      </c>
      <c r="M1" s="175" t="s">
        <v>431</v>
      </c>
      <c r="N1" s="175" t="s">
        <v>432</v>
      </c>
      <c r="O1" s="175" t="s">
        <v>433</v>
      </c>
      <c r="P1" s="175" t="s">
        <v>434</v>
      </c>
      <c r="Q1" s="175" t="s">
        <v>435</v>
      </c>
      <c r="R1" s="175" t="s">
        <v>436</v>
      </c>
      <c r="S1" s="175" t="s">
        <v>437</v>
      </c>
      <c r="T1" s="175" t="s">
        <v>438</v>
      </c>
      <c r="U1" s="175" t="s">
        <v>439</v>
      </c>
      <c r="V1" s="175" t="s">
        <v>440</v>
      </c>
      <c r="W1" s="175" t="s">
        <v>441</v>
      </c>
      <c r="X1" s="175" t="s">
        <v>442</v>
      </c>
      <c r="Y1" s="175" t="s">
        <v>443</v>
      </c>
      <c r="Z1" s="175" t="s">
        <v>444</v>
      </c>
      <c r="AA1" s="175" t="s">
        <v>445</v>
      </c>
      <c r="AB1" s="175" t="s">
        <v>446</v>
      </c>
      <c r="AC1" s="175" t="s">
        <v>447</v>
      </c>
      <c r="AD1" s="175" t="s">
        <v>448</v>
      </c>
      <c r="AE1" s="175" t="s">
        <v>577</v>
      </c>
      <c r="AF1" s="175" t="s">
        <v>495</v>
      </c>
      <c r="AG1" s="175" t="s">
        <v>449</v>
      </c>
      <c r="AH1" s="175" t="s">
        <v>450</v>
      </c>
      <c r="AI1" s="175" t="s">
        <v>451</v>
      </c>
      <c r="AJ1" s="175" t="s">
        <v>452</v>
      </c>
      <c r="AK1" s="175" t="s">
        <v>453</v>
      </c>
      <c r="AL1" s="175" t="s">
        <v>454</v>
      </c>
      <c r="AM1" s="175" t="s">
        <v>455</v>
      </c>
      <c r="AN1" s="175" t="s">
        <v>456</v>
      </c>
      <c r="AO1" s="175" t="s">
        <v>457</v>
      </c>
      <c r="AP1" s="175" t="s">
        <v>458</v>
      </c>
      <c r="AQ1" s="175" t="s">
        <v>582</v>
      </c>
      <c r="AR1" s="175" t="s">
        <v>459</v>
      </c>
      <c r="AS1" s="175" t="s">
        <v>460</v>
      </c>
      <c r="AT1" s="175" t="s">
        <v>461</v>
      </c>
      <c r="AU1" s="175" t="s">
        <v>462</v>
      </c>
      <c r="AV1" s="175" t="s">
        <v>463</v>
      </c>
      <c r="AW1" s="175" t="s">
        <v>464</v>
      </c>
      <c r="AX1" s="175" t="s">
        <v>465</v>
      </c>
      <c r="AY1" s="175" t="s">
        <v>466</v>
      </c>
      <c r="AZ1" s="175" t="s">
        <v>467</v>
      </c>
      <c r="BA1" s="175" t="s">
        <v>468</v>
      </c>
      <c r="BB1" s="175" t="s">
        <v>469</v>
      </c>
      <c r="BC1" s="175" t="s">
        <v>470</v>
      </c>
      <c r="BD1" s="175" t="s">
        <v>471</v>
      </c>
      <c r="BE1" s="175" t="s">
        <v>472</v>
      </c>
      <c r="BF1" s="175" t="s">
        <v>474</v>
      </c>
      <c r="BG1" s="175" t="s">
        <v>475</v>
      </c>
      <c r="BH1" s="175" t="s">
        <v>476</v>
      </c>
      <c r="BI1" s="175" t="s">
        <v>477</v>
      </c>
      <c r="BJ1" s="175" t="s">
        <v>478</v>
      </c>
      <c r="BK1" s="175" t="s">
        <v>479</v>
      </c>
      <c r="BL1" s="175" t="s">
        <v>480</v>
      </c>
      <c r="BM1" s="175" t="s">
        <v>584</v>
      </c>
      <c r="BN1" s="175" t="s">
        <v>586</v>
      </c>
      <c r="BO1" s="175" t="s">
        <v>481</v>
      </c>
      <c r="BP1" s="175" t="s">
        <v>482</v>
      </c>
      <c r="BQ1" s="175" t="s">
        <v>483</v>
      </c>
      <c r="BR1" s="175" t="s">
        <v>484</v>
      </c>
      <c r="BS1" s="175" t="s">
        <v>485</v>
      </c>
      <c r="BT1" s="175" t="s">
        <v>486</v>
      </c>
      <c r="BU1" s="175" t="s">
        <v>487</v>
      </c>
      <c r="BV1" s="175" t="s">
        <v>571</v>
      </c>
      <c r="BW1" s="175" t="s">
        <v>588</v>
      </c>
      <c r="BX1" s="175" t="s">
        <v>604</v>
      </c>
      <c r="BY1" s="175" t="s">
        <v>656</v>
      </c>
      <c r="BZ1" s="175" t="s">
        <v>488</v>
      </c>
      <c r="CA1" s="175" t="s">
        <v>489</v>
      </c>
      <c r="CB1" s="175" t="s">
        <v>496</v>
      </c>
      <c r="CC1" s="175" t="s">
        <v>497</v>
      </c>
      <c r="CD1" s="175" t="s">
        <v>1133</v>
      </c>
      <c r="CE1" s="175" t="s">
        <v>1134</v>
      </c>
      <c r="CF1" s="175" t="s">
        <v>473</v>
      </c>
      <c r="CG1" s="175" t="s">
        <v>490</v>
      </c>
      <c r="CH1" s="175" t="s">
        <v>557</v>
      </c>
      <c r="CI1" s="175" t="s">
        <v>663</v>
      </c>
      <c r="CJ1" s="175" t="s">
        <v>664</v>
      </c>
      <c r="CK1" s="175" t="s">
        <v>563</v>
      </c>
      <c r="CL1" s="175" t="s">
        <v>594</v>
      </c>
      <c r="CM1" s="175" t="s">
        <v>665</v>
      </c>
      <c r="CN1" s="175" t="s">
        <v>592</v>
      </c>
    </row>
    <row r="2" spans="1:92" ht="9.75">
      <c r="A2" s="207">
        <v>20</v>
      </c>
      <c r="B2" s="207" t="s">
        <v>59</v>
      </c>
      <c r="C2" s="207">
        <v>16611</v>
      </c>
      <c r="D2" s="207">
        <v>60422627.57</v>
      </c>
      <c r="E2" s="207">
        <v>18369741.30822149</v>
      </c>
      <c r="F2" s="207">
        <v>2566163.684338498</v>
      </c>
      <c r="G2" s="207">
        <v>81358532.56255998</v>
      </c>
      <c r="H2" s="207">
        <v>3654.72</v>
      </c>
      <c r="I2" s="207">
        <v>60708553.919999994</v>
      </c>
      <c r="J2" s="207">
        <v>20649978.642559983</v>
      </c>
      <c r="K2" s="207">
        <v>314497.09542003926</v>
      </c>
      <c r="L2" s="207">
        <v>-2470435.628394879</v>
      </c>
      <c r="M2" s="207">
        <v>0</v>
      </c>
      <c r="N2" s="207">
        <v>18494040.109585144</v>
      </c>
      <c r="O2" s="207">
        <v>8617447.53417135</v>
      </c>
      <c r="P2" s="207">
        <v>27111487.643756494</v>
      </c>
      <c r="Q2" s="207">
        <v>925</v>
      </c>
      <c r="R2" s="207">
        <v>218</v>
      </c>
      <c r="S2" s="207">
        <v>1322</v>
      </c>
      <c r="T2" s="207">
        <v>679</v>
      </c>
      <c r="U2" s="207">
        <v>568</v>
      </c>
      <c r="V2" s="207">
        <v>9103</v>
      </c>
      <c r="W2" s="207">
        <v>2238</v>
      </c>
      <c r="X2" s="207">
        <v>1065</v>
      </c>
      <c r="Y2" s="207">
        <v>493</v>
      </c>
      <c r="Z2" s="207">
        <v>29</v>
      </c>
      <c r="AA2" s="207">
        <v>0</v>
      </c>
      <c r="AB2" s="207">
        <v>16219</v>
      </c>
      <c r="AC2" s="207">
        <v>363</v>
      </c>
      <c r="AD2" s="207">
        <v>3796</v>
      </c>
      <c r="AE2" s="480">
        <v>0.9387759858958542</v>
      </c>
      <c r="AF2" s="207">
        <v>18369741.30822149</v>
      </c>
      <c r="AG2" s="175">
        <v>651</v>
      </c>
      <c r="AH2" s="175">
        <v>7793</v>
      </c>
      <c r="AI2" s="175">
        <v>0.8562499343486806</v>
      </c>
      <c r="AJ2" s="175">
        <v>363</v>
      </c>
      <c r="AK2" s="175">
        <v>0.0218529889832039</v>
      </c>
      <c r="AL2" s="175">
        <v>0.018571909872740905</v>
      </c>
      <c r="AM2" s="175">
        <v>0</v>
      </c>
      <c r="AN2" s="175">
        <v>29</v>
      </c>
      <c r="AO2" s="175">
        <v>0</v>
      </c>
      <c r="AP2" s="175">
        <v>0</v>
      </c>
      <c r="AQ2" s="175">
        <v>0</v>
      </c>
      <c r="AR2" s="175">
        <v>293.26</v>
      </c>
      <c r="AS2" s="175">
        <v>56.64256973334243</v>
      </c>
      <c r="AT2" s="175">
        <v>0.3204395956320629</v>
      </c>
      <c r="AU2" s="175">
        <v>667</v>
      </c>
      <c r="AV2" s="175">
        <v>5519</v>
      </c>
      <c r="AW2" s="175">
        <v>0.12085522739626745</v>
      </c>
      <c r="AX2" s="175">
        <v>0.06539399366678245</v>
      </c>
      <c r="AY2" s="175">
        <v>0</v>
      </c>
      <c r="AZ2" s="207">
        <v>4652</v>
      </c>
      <c r="BA2" s="175">
        <v>6852</v>
      </c>
      <c r="BB2" s="175">
        <v>0.6789258610624636</v>
      </c>
      <c r="BC2" s="175">
        <v>0.2892310136387517</v>
      </c>
      <c r="BD2" s="175">
        <v>0</v>
      </c>
      <c r="BE2" s="175">
        <v>0</v>
      </c>
      <c r="BF2" s="207">
        <v>-105812.39</v>
      </c>
      <c r="BG2" s="207">
        <v>-129456.68</v>
      </c>
      <c r="BH2" s="207">
        <v>-68105.09999999999</v>
      </c>
      <c r="BI2" s="207">
        <v>-280042.3</v>
      </c>
      <c r="BJ2" s="207">
        <v>0</v>
      </c>
      <c r="BK2" s="207">
        <v>0</v>
      </c>
      <c r="BL2" s="207">
        <v>140004</v>
      </c>
      <c r="BM2" s="207">
        <v>-845796.7925418238</v>
      </c>
      <c r="BN2" s="207">
        <v>-706964.16</v>
      </c>
      <c r="BO2" s="207">
        <v>-115745.45612722076</v>
      </c>
      <c r="BP2" s="207">
        <v>1334279</v>
      </c>
      <c r="BQ2" s="207">
        <v>410543</v>
      </c>
      <c r="BR2" s="207">
        <v>897394.9424826249</v>
      </c>
      <c r="BS2" s="207">
        <v>27428.68789498369</v>
      </c>
      <c r="BT2" s="207">
        <v>125948.33979683967</v>
      </c>
      <c r="BU2" s="207">
        <v>413526.2233831386</v>
      </c>
      <c r="BV2" s="207">
        <v>833777.015607583</v>
      </c>
      <c r="BW2" s="207">
        <v>1346679.5531167898</v>
      </c>
      <c r="BX2" s="207">
        <v>355892.2472376277</v>
      </c>
      <c r="BY2" s="207">
        <v>697081.5574756723</v>
      </c>
      <c r="BZ2" s="207">
        <v>1494.99</v>
      </c>
      <c r="CA2" s="207">
        <v>149281.52027416526</v>
      </c>
      <c r="CB2" s="207">
        <v>175035.0541469445</v>
      </c>
      <c r="CC2" s="207">
        <v>-2470435.628394879</v>
      </c>
      <c r="CD2" s="207">
        <v>0</v>
      </c>
      <c r="CE2" s="207">
        <v>881263.9025903177</v>
      </c>
      <c r="CF2" s="207">
        <v>0</v>
      </c>
      <c r="CG2" s="207">
        <v>8617447.53417135</v>
      </c>
      <c r="CH2" s="207">
        <v>-2443778</v>
      </c>
      <c r="CI2" s="207">
        <v>153675.87410000002</v>
      </c>
      <c r="CJ2" s="207">
        <v>1153377.87614</v>
      </c>
      <c r="CK2" s="207">
        <v>-999702.00204</v>
      </c>
      <c r="CL2" s="207">
        <v>24667709.643756494</v>
      </c>
      <c r="CM2" s="207">
        <v>29770421.12556754</v>
      </c>
      <c r="CN2" s="207">
        <v>16769</v>
      </c>
    </row>
    <row r="3" spans="1:92" ht="9.75">
      <c r="A3" s="207">
        <v>5</v>
      </c>
      <c r="B3" s="207" t="s">
        <v>60</v>
      </c>
      <c r="C3" s="207">
        <v>9700</v>
      </c>
      <c r="D3" s="207">
        <v>38069566.160000004</v>
      </c>
      <c r="E3" s="207">
        <v>15889729.311733382</v>
      </c>
      <c r="F3" s="207">
        <v>2102635.4519864265</v>
      </c>
      <c r="G3" s="207">
        <v>56061930.92371981</v>
      </c>
      <c r="H3" s="207">
        <v>3654.72</v>
      </c>
      <c r="I3" s="207">
        <v>35450784</v>
      </c>
      <c r="J3" s="207">
        <v>20611146.92371981</v>
      </c>
      <c r="K3" s="207">
        <v>383176.4845090732</v>
      </c>
      <c r="L3" s="207">
        <v>-1261285.026544686</v>
      </c>
      <c r="M3" s="207">
        <v>0</v>
      </c>
      <c r="N3" s="207">
        <v>19733038.381684195</v>
      </c>
      <c r="O3" s="207">
        <v>9748283.068735477</v>
      </c>
      <c r="P3" s="207">
        <v>29481321.45041967</v>
      </c>
      <c r="Q3" s="207">
        <v>570</v>
      </c>
      <c r="R3" s="207">
        <v>118</v>
      </c>
      <c r="S3" s="207">
        <v>767</v>
      </c>
      <c r="T3" s="207">
        <v>367</v>
      </c>
      <c r="U3" s="207">
        <v>375</v>
      </c>
      <c r="V3" s="207">
        <v>4865</v>
      </c>
      <c r="W3" s="207">
        <v>1447</v>
      </c>
      <c r="X3" s="207">
        <v>798</v>
      </c>
      <c r="Y3" s="207">
        <v>393</v>
      </c>
      <c r="Z3" s="207">
        <v>11</v>
      </c>
      <c r="AA3" s="207">
        <v>0</v>
      </c>
      <c r="AB3" s="207">
        <v>9465</v>
      </c>
      <c r="AC3" s="207">
        <v>224</v>
      </c>
      <c r="AD3" s="207">
        <v>2638</v>
      </c>
      <c r="AE3" s="480">
        <v>1.390591191757249</v>
      </c>
      <c r="AF3" s="207">
        <v>15889729.311733382</v>
      </c>
      <c r="AG3" s="175">
        <v>322</v>
      </c>
      <c r="AH3" s="175">
        <v>3996</v>
      </c>
      <c r="AI3" s="175">
        <v>0.8259516612457789</v>
      </c>
      <c r="AJ3" s="175">
        <v>224</v>
      </c>
      <c r="AK3" s="175">
        <v>0.02309278350515464</v>
      </c>
      <c r="AL3" s="175">
        <v>0.019811704394691643</v>
      </c>
      <c r="AM3" s="175">
        <v>0</v>
      </c>
      <c r="AN3" s="175">
        <v>11</v>
      </c>
      <c r="AO3" s="175">
        <v>0</v>
      </c>
      <c r="AP3" s="175">
        <v>0</v>
      </c>
      <c r="AQ3" s="175">
        <v>0</v>
      </c>
      <c r="AR3" s="175">
        <v>1008.83</v>
      </c>
      <c r="AS3" s="175">
        <v>9.615098678667367</v>
      </c>
      <c r="AT3" s="175">
        <v>1.8877104382904575</v>
      </c>
      <c r="AU3" s="175">
        <v>297</v>
      </c>
      <c r="AV3" s="175">
        <v>2452</v>
      </c>
      <c r="AW3" s="175">
        <v>0.12112561174551387</v>
      </c>
      <c r="AX3" s="175">
        <v>0.06566437801602887</v>
      </c>
      <c r="AY3" s="175">
        <v>0</v>
      </c>
      <c r="AZ3" s="207">
        <v>3484</v>
      </c>
      <c r="BA3" s="175">
        <v>3508</v>
      </c>
      <c r="BB3" s="175">
        <v>0.9931584948688712</v>
      </c>
      <c r="BC3" s="175">
        <v>0.6034636474451593</v>
      </c>
      <c r="BD3" s="175">
        <v>0</v>
      </c>
      <c r="BE3" s="175">
        <v>0</v>
      </c>
      <c r="BF3" s="207">
        <v>-62033.60999999999</v>
      </c>
      <c r="BG3" s="207">
        <v>-75895.31999999999</v>
      </c>
      <c r="BH3" s="207">
        <v>-39770</v>
      </c>
      <c r="BI3" s="207">
        <v>-164177.69999999998</v>
      </c>
      <c r="BJ3" s="207">
        <v>0</v>
      </c>
      <c r="BK3" s="207">
        <v>0</v>
      </c>
      <c r="BL3" s="207">
        <v>-188872</v>
      </c>
      <c r="BM3" s="207">
        <v>-201215.44187601272</v>
      </c>
      <c r="BN3" s="207">
        <v>-412832</v>
      </c>
      <c r="BO3" s="207">
        <v>191146.63372095674</v>
      </c>
      <c r="BP3" s="207">
        <v>982443</v>
      </c>
      <c r="BQ3" s="207">
        <v>316760</v>
      </c>
      <c r="BR3" s="207">
        <v>854672.9711615616</v>
      </c>
      <c r="BS3" s="207">
        <v>45846.99735082741</v>
      </c>
      <c r="BT3" s="207">
        <v>104017.12567895393</v>
      </c>
      <c r="BU3" s="207">
        <v>405909.5598663371</v>
      </c>
      <c r="BV3" s="207">
        <v>595879.924617515</v>
      </c>
      <c r="BW3" s="207">
        <v>855777.1993154305</v>
      </c>
      <c r="BX3" s="207">
        <v>259567.6986035869</v>
      </c>
      <c r="BY3" s="207">
        <v>482826.7417279208</v>
      </c>
      <c r="BZ3" s="207">
        <v>873</v>
      </c>
      <c r="CA3" s="207">
        <v>-11106.588389629876</v>
      </c>
      <c r="CB3" s="207">
        <v>-7958.954668673134</v>
      </c>
      <c r="CC3" s="207">
        <v>-1261285.026544686</v>
      </c>
      <c r="CD3" s="207">
        <v>0</v>
      </c>
      <c r="CE3" s="207">
        <v>672045.295851167</v>
      </c>
      <c r="CF3" s="207">
        <v>0</v>
      </c>
      <c r="CG3" s="207">
        <v>9748283.068735477</v>
      </c>
      <c r="CH3" s="207">
        <v>1306302</v>
      </c>
      <c r="CI3" s="207">
        <v>2871924.0974000003</v>
      </c>
      <c r="CJ3" s="207">
        <v>482641.47810000007</v>
      </c>
      <c r="CK3" s="207">
        <v>2389282.6193000004</v>
      </c>
      <c r="CL3" s="207">
        <v>30787623.45041967</v>
      </c>
      <c r="CM3" s="207">
        <v>34445423.24129252</v>
      </c>
      <c r="CN3" s="207">
        <v>9831</v>
      </c>
    </row>
    <row r="4" spans="1:92" ht="9.75">
      <c r="A4" s="207">
        <v>9</v>
      </c>
      <c r="B4" s="207" t="s">
        <v>61</v>
      </c>
      <c r="C4" s="207">
        <v>2573</v>
      </c>
      <c r="D4" s="207">
        <v>10311038.74</v>
      </c>
      <c r="E4" s="207">
        <v>4604649.124311481</v>
      </c>
      <c r="F4" s="207">
        <v>468731.07739152625</v>
      </c>
      <c r="G4" s="207">
        <v>15384418.941703007</v>
      </c>
      <c r="H4" s="207">
        <v>3654.72</v>
      </c>
      <c r="I4" s="207">
        <v>9403594.559999999</v>
      </c>
      <c r="J4" s="207">
        <v>5980824.381703008</v>
      </c>
      <c r="K4" s="207">
        <v>60182.41256570516</v>
      </c>
      <c r="L4" s="207">
        <v>-295072.60359505215</v>
      </c>
      <c r="M4" s="207">
        <v>0</v>
      </c>
      <c r="N4" s="207">
        <v>5745934.190673661</v>
      </c>
      <c r="O4" s="207">
        <v>2744122.242836987</v>
      </c>
      <c r="P4" s="207">
        <v>8490056.433510648</v>
      </c>
      <c r="Q4" s="207">
        <v>181</v>
      </c>
      <c r="R4" s="207">
        <v>36</v>
      </c>
      <c r="S4" s="207">
        <v>215</v>
      </c>
      <c r="T4" s="207">
        <v>109</v>
      </c>
      <c r="U4" s="207">
        <v>100</v>
      </c>
      <c r="V4" s="207">
        <v>1323</v>
      </c>
      <c r="W4" s="207">
        <v>306</v>
      </c>
      <c r="X4" s="207">
        <v>208</v>
      </c>
      <c r="Y4" s="207">
        <v>95</v>
      </c>
      <c r="Z4" s="207">
        <v>6</v>
      </c>
      <c r="AA4" s="207">
        <v>0</v>
      </c>
      <c r="AB4" s="207">
        <v>2545</v>
      </c>
      <c r="AC4" s="207">
        <v>22</v>
      </c>
      <c r="AD4" s="207">
        <v>609</v>
      </c>
      <c r="AE4" s="480">
        <v>1.5191878058193056</v>
      </c>
      <c r="AF4" s="207">
        <v>4604649.124311481</v>
      </c>
      <c r="AG4" s="175">
        <v>83</v>
      </c>
      <c r="AH4" s="175">
        <v>1099</v>
      </c>
      <c r="AI4" s="175">
        <v>0.7741134955608007</v>
      </c>
      <c r="AJ4" s="175">
        <v>22</v>
      </c>
      <c r="AK4" s="175">
        <v>0.008550330353672756</v>
      </c>
      <c r="AL4" s="175">
        <v>0.00526925124320976</v>
      </c>
      <c r="AM4" s="175">
        <v>0</v>
      </c>
      <c r="AN4" s="175">
        <v>6</v>
      </c>
      <c r="AO4" s="175">
        <v>0</v>
      </c>
      <c r="AP4" s="175">
        <v>0</v>
      </c>
      <c r="AQ4" s="175">
        <v>0</v>
      </c>
      <c r="AR4" s="175">
        <v>251.41</v>
      </c>
      <c r="AS4" s="175">
        <v>10.234278668310727</v>
      </c>
      <c r="AT4" s="175">
        <v>1.7735028260579018</v>
      </c>
      <c r="AU4" s="175">
        <v>87</v>
      </c>
      <c r="AV4" s="175">
        <v>670</v>
      </c>
      <c r="AW4" s="175">
        <v>0.12985074626865672</v>
      </c>
      <c r="AX4" s="175">
        <v>0.07438951253917173</v>
      </c>
      <c r="AY4" s="175">
        <v>0</v>
      </c>
      <c r="AZ4" s="207">
        <v>750</v>
      </c>
      <c r="BA4" s="175">
        <v>1004</v>
      </c>
      <c r="BB4" s="175">
        <v>0.7470119521912351</v>
      </c>
      <c r="BC4" s="175">
        <v>0.3573171047675232</v>
      </c>
      <c r="BD4" s="175">
        <v>0</v>
      </c>
      <c r="BE4" s="175">
        <v>0</v>
      </c>
      <c r="BF4" s="207">
        <v>-16469.1</v>
      </c>
      <c r="BG4" s="207">
        <v>-20149.2</v>
      </c>
      <c r="BH4" s="207">
        <v>-10549.3</v>
      </c>
      <c r="BI4" s="207">
        <v>-43587</v>
      </c>
      <c r="BJ4" s="207">
        <v>0</v>
      </c>
      <c r="BK4" s="207">
        <v>0</v>
      </c>
      <c r="BL4" s="207">
        <v>8706</v>
      </c>
      <c r="BM4" s="207">
        <v>-32099.522415303087</v>
      </c>
      <c r="BN4" s="207">
        <v>-109506.88</v>
      </c>
      <c r="BO4" s="207">
        <v>-17372.005542550236</v>
      </c>
      <c r="BP4" s="207">
        <v>269616</v>
      </c>
      <c r="BQ4" s="207">
        <v>76861</v>
      </c>
      <c r="BR4" s="207">
        <v>208942.05469652946</v>
      </c>
      <c r="BS4" s="207">
        <v>11331.87612350449</v>
      </c>
      <c r="BT4" s="207">
        <v>20677.75817964038</v>
      </c>
      <c r="BU4" s="207">
        <v>98339.24119116721</v>
      </c>
      <c r="BV4" s="207">
        <v>155628.8025438553</v>
      </c>
      <c r="BW4" s="207">
        <v>249305.43506665138</v>
      </c>
      <c r="BX4" s="207">
        <v>62436.342574807924</v>
      </c>
      <c r="BY4" s="207">
        <v>126039.71635671791</v>
      </c>
      <c r="BZ4" s="207">
        <v>231.57</v>
      </c>
      <c r="CA4" s="207">
        <v>24611.014362801172</v>
      </c>
      <c r="CB4" s="207">
        <v>16176.578820250936</v>
      </c>
      <c r="CC4" s="207">
        <v>-295072.60359505215</v>
      </c>
      <c r="CD4" s="207">
        <v>0</v>
      </c>
      <c r="CE4" s="207">
        <v>175698.08871728778</v>
      </c>
      <c r="CF4" s="207">
        <v>0</v>
      </c>
      <c r="CG4" s="207">
        <v>2744122.242836987</v>
      </c>
      <c r="CH4" s="207">
        <v>-543054</v>
      </c>
      <c r="CI4" s="207">
        <v>140014.28600000002</v>
      </c>
      <c r="CJ4" s="207">
        <v>39421.498</v>
      </c>
      <c r="CK4" s="207">
        <v>100592.78800000003</v>
      </c>
      <c r="CL4" s="207">
        <v>7947002.433510648</v>
      </c>
      <c r="CM4" s="207">
        <v>8786981.76441105</v>
      </c>
      <c r="CN4" s="207">
        <v>2610</v>
      </c>
    </row>
    <row r="5" spans="1:92" ht="9.75">
      <c r="A5" s="207">
        <v>10</v>
      </c>
      <c r="B5" s="207" t="s">
        <v>62</v>
      </c>
      <c r="C5" s="207">
        <v>11544</v>
      </c>
      <c r="D5" s="207">
        <v>44211132.72</v>
      </c>
      <c r="E5" s="207">
        <v>19450100.69270345</v>
      </c>
      <c r="F5" s="207">
        <v>2167729.8001206373</v>
      </c>
      <c r="G5" s="207">
        <v>65828963.212824084</v>
      </c>
      <c r="H5" s="207">
        <v>3654.72</v>
      </c>
      <c r="I5" s="207">
        <v>42190087.68</v>
      </c>
      <c r="J5" s="207">
        <v>23638875.532824084</v>
      </c>
      <c r="K5" s="207">
        <v>454247.1329901055</v>
      </c>
      <c r="L5" s="207">
        <v>-1601762.9895427683</v>
      </c>
      <c r="M5" s="207">
        <v>0</v>
      </c>
      <c r="N5" s="207">
        <v>22491359.676271424</v>
      </c>
      <c r="O5" s="207">
        <v>11696994.066014107</v>
      </c>
      <c r="P5" s="207">
        <v>34188353.742285535</v>
      </c>
      <c r="Q5" s="207">
        <v>690</v>
      </c>
      <c r="R5" s="207">
        <v>134</v>
      </c>
      <c r="S5" s="207">
        <v>829</v>
      </c>
      <c r="T5" s="207">
        <v>431</v>
      </c>
      <c r="U5" s="207">
        <v>412</v>
      </c>
      <c r="V5" s="207">
        <v>5937</v>
      </c>
      <c r="W5" s="207">
        <v>1673</v>
      </c>
      <c r="X5" s="207">
        <v>1003</v>
      </c>
      <c r="Y5" s="207">
        <v>435</v>
      </c>
      <c r="Z5" s="207">
        <v>6</v>
      </c>
      <c r="AA5" s="207">
        <v>1</v>
      </c>
      <c r="AB5" s="207">
        <v>11364</v>
      </c>
      <c r="AC5" s="207">
        <v>173</v>
      </c>
      <c r="AD5" s="207">
        <v>3111</v>
      </c>
      <c r="AE5" s="480">
        <v>1.4302772982785175</v>
      </c>
      <c r="AF5" s="207">
        <v>19450100.69270345</v>
      </c>
      <c r="AG5" s="175">
        <v>352</v>
      </c>
      <c r="AH5" s="175">
        <v>4933</v>
      </c>
      <c r="AI5" s="175">
        <v>0.7314013993066235</v>
      </c>
      <c r="AJ5" s="175">
        <v>173</v>
      </c>
      <c r="AK5" s="175">
        <v>0.014986139986139986</v>
      </c>
      <c r="AL5" s="175">
        <v>0.011705060875676989</v>
      </c>
      <c r="AM5" s="175">
        <v>0</v>
      </c>
      <c r="AN5" s="175">
        <v>6</v>
      </c>
      <c r="AO5" s="175">
        <v>1</v>
      </c>
      <c r="AP5" s="175">
        <v>0</v>
      </c>
      <c r="AQ5" s="175">
        <v>0</v>
      </c>
      <c r="AR5" s="175">
        <v>1087.22</v>
      </c>
      <c r="AS5" s="175">
        <v>10.617906219532385</v>
      </c>
      <c r="AT5" s="175">
        <v>1.7094257347577637</v>
      </c>
      <c r="AU5" s="175">
        <v>396</v>
      </c>
      <c r="AV5" s="175">
        <v>3090</v>
      </c>
      <c r="AW5" s="175">
        <v>0.12815533980582525</v>
      </c>
      <c r="AX5" s="175">
        <v>0.07269410607634025</v>
      </c>
      <c r="AY5" s="175">
        <v>0</v>
      </c>
      <c r="AZ5" s="207">
        <v>4314</v>
      </c>
      <c r="BA5" s="175">
        <v>4354</v>
      </c>
      <c r="BB5" s="175">
        <v>0.9908130454754249</v>
      </c>
      <c r="BC5" s="175">
        <v>0.6011181980517131</v>
      </c>
      <c r="BD5" s="175">
        <v>0</v>
      </c>
      <c r="BE5" s="175">
        <v>1</v>
      </c>
      <c r="BF5" s="207">
        <v>-73909.03</v>
      </c>
      <c r="BG5" s="207">
        <v>-90424.36</v>
      </c>
      <c r="BH5" s="207">
        <v>-47330.399999999994</v>
      </c>
      <c r="BI5" s="207">
        <v>-195607.1</v>
      </c>
      <c r="BJ5" s="207">
        <v>0</v>
      </c>
      <c r="BK5" s="207">
        <v>0</v>
      </c>
      <c r="BL5" s="207">
        <v>-11550</v>
      </c>
      <c r="BM5" s="207">
        <v>-172633.83972770884</v>
      </c>
      <c r="BN5" s="207">
        <v>-491312.64</v>
      </c>
      <c r="BO5" s="207">
        <v>-158146.872291727</v>
      </c>
      <c r="BP5" s="207">
        <v>1196258</v>
      </c>
      <c r="BQ5" s="207">
        <v>389828</v>
      </c>
      <c r="BR5" s="207">
        <v>994223.9405232423</v>
      </c>
      <c r="BS5" s="207">
        <v>46805.49325746627</v>
      </c>
      <c r="BT5" s="207">
        <v>102562.06916084253</v>
      </c>
      <c r="BU5" s="207">
        <v>466334.08575838123</v>
      </c>
      <c r="BV5" s="207">
        <v>749068.4935681962</v>
      </c>
      <c r="BW5" s="207">
        <v>1066515.1689976272</v>
      </c>
      <c r="BX5" s="207">
        <v>322351.75372613425</v>
      </c>
      <c r="BY5" s="207">
        <v>594111.2951684942</v>
      </c>
      <c r="BZ5" s="207">
        <v>1038.96</v>
      </c>
      <c r="CA5" s="207">
        <v>-7948.667523332493</v>
      </c>
      <c r="CB5" s="207">
        <v>-176606.5798150595</v>
      </c>
      <c r="CC5" s="207">
        <v>-1601762.9895427683</v>
      </c>
      <c r="CD5" s="207">
        <v>0</v>
      </c>
      <c r="CE5" s="207">
        <v>803688.2311298419</v>
      </c>
      <c r="CF5" s="207">
        <v>0</v>
      </c>
      <c r="CG5" s="207">
        <v>11696994.066014107</v>
      </c>
      <c r="CH5" s="207">
        <v>-659446</v>
      </c>
      <c r="CI5" s="207">
        <v>154967.26800000004</v>
      </c>
      <c r="CJ5" s="207">
        <v>249606.05044</v>
      </c>
      <c r="CK5" s="207">
        <v>-94638.78243999995</v>
      </c>
      <c r="CL5" s="207">
        <v>33528907.742285535</v>
      </c>
      <c r="CM5" s="207">
        <v>37714035.57277566</v>
      </c>
      <c r="CN5" s="207">
        <v>11713</v>
      </c>
    </row>
    <row r="6" spans="1:92" ht="9.75">
      <c r="A6" s="207">
        <v>16</v>
      </c>
      <c r="B6" s="207" t="s">
        <v>63</v>
      </c>
      <c r="C6" s="207">
        <v>8149</v>
      </c>
      <c r="D6" s="207">
        <v>29443095.17</v>
      </c>
      <c r="E6" s="207">
        <v>10928551.193361085</v>
      </c>
      <c r="F6" s="207">
        <v>1901366.464130325</v>
      </c>
      <c r="G6" s="207">
        <v>42273012.82749142</v>
      </c>
      <c r="H6" s="207">
        <v>3654.72</v>
      </c>
      <c r="I6" s="207">
        <v>29782313.279999997</v>
      </c>
      <c r="J6" s="207">
        <v>12490699.54749142</v>
      </c>
      <c r="K6" s="207">
        <v>194519.681673628</v>
      </c>
      <c r="L6" s="207">
        <v>-877656.5688562765</v>
      </c>
      <c r="M6" s="207">
        <v>0</v>
      </c>
      <c r="N6" s="207">
        <v>11807562.66030877</v>
      </c>
      <c r="O6" s="207">
        <v>4537700.12597811</v>
      </c>
      <c r="P6" s="207">
        <v>16345262.786286881</v>
      </c>
      <c r="Q6" s="207">
        <v>374</v>
      </c>
      <c r="R6" s="207">
        <v>71</v>
      </c>
      <c r="S6" s="207">
        <v>510</v>
      </c>
      <c r="T6" s="207">
        <v>262</v>
      </c>
      <c r="U6" s="207">
        <v>269</v>
      </c>
      <c r="V6" s="207">
        <v>4036</v>
      </c>
      <c r="W6" s="207">
        <v>1553</v>
      </c>
      <c r="X6" s="207">
        <v>789</v>
      </c>
      <c r="Y6" s="207">
        <v>285</v>
      </c>
      <c r="Z6" s="207">
        <v>17</v>
      </c>
      <c r="AA6" s="207">
        <v>3</v>
      </c>
      <c r="AB6" s="207">
        <v>7965</v>
      </c>
      <c r="AC6" s="207">
        <v>164</v>
      </c>
      <c r="AD6" s="207">
        <v>2627</v>
      </c>
      <c r="AE6" s="480">
        <v>1.1384474345036226</v>
      </c>
      <c r="AF6" s="207">
        <v>10928551.193361085</v>
      </c>
      <c r="AG6" s="175">
        <v>347</v>
      </c>
      <c r="AH6" s="175">
        <v>3482</v>
      </c>
      <c r="AI6" s="175">
        <v>1.0214684258202182</v>
      </c>
      <c r="AJ6" s="175">
        <v>164</v>
      </c>
      <c r="AK6" s="175">
        <v>0.0201251687323598</v>
      </c>
      <c r="AL6" s="175">
        <v>0.016844089621896804</v>
      </c>
      <c r="AM6" s="175">
        <v>0</v>
      </c>
      <c r="AN6" s="175">
        <v>17</v>
      </c>
      <c r="AO6" s="175">
        <v>3</v>
      </c>
      <c r="AP6" s="175">
        <v>3</v>
      </c>
      <c r="AQ6" s="175">
        <v>479</v>
      </c>
      <c r="AR6" s="175">
        <v>563.3</v>
      </c>
      <c r="AS6" s="175">
        <v>14.466536481448607</v>
      </c>
      <c r="AT6" s="175">
        <v>1.254655678239832</v>
      </c>
      <c r="AU6" s="175">
        <v>341</v>
      </c>
      <c r="AV6" s="175">
        <v>2223</v>
      </c>
      <c r="AW6" s="175">
        <v>0.15339631129104814</v>
      </c>
      <c r="AX6" s="175">
        <v>0.09793507756156314</v>
      </c>
      <c r="AY6" s="175">
        <v>0</v>
      </c>
      <c r="AZ6" s="207">
        <v>2254</v>
      </c>
      <c r="BA6" s="175">
        <v>2988</v>
      </c>
      <c r="BB6" s="175">
        <v>0.7543507362784472</v>
      </c>
      <c r="BC6" s="175">
        <v>0.3646558888547353</v>
      </c>
      <c r="BD6" s="175">
        <v>0</v>
      </c>
      <c r="BE6" s="175">
        <v>3</v>
      </c>
      <c r="BF6" s="207">
        <v>-52044.88</v>
      </c>
      <c r="BG6" s="207">
        <v>-63674.56</v>
      </c>
      <c r="BH6" s="207">
        <v>-33410.899999999994</v>
      </c>
      <c r="BI6" s="207">
        <v>-137741.6</v>
      </c>
      <c r="BJ6" s="207">
        <v>0</v>
      </c>
      <c r="BK6" s="207">
        <v>0</v>
      </c>
      <c r="BL6" s="207">
        <v>198106</v>
      </c>
      <c r="BM6" s="207">
        <v>-288844.9188740802</v>
      </c>
      <c r="BN6" s="207">
        <v>-346821.44</v>
      </c>
      <c r="BO6" s="207">
        <v>98970.00168253854</v>
      </c>
      <c r="BP6" s="207">
        <v>734044</v>
      </c>
      <c r="BQ6" s="207">
        <v>234966</v>
      </c>
      <c r="BR6" s="207">
        <v>499428.03132371634</v>
      </c>
      <c r="BS6" s="207">
        <v>23164.14885330807</v>
      </c>
      <c r="BT6" s="207">
        <v>5375.026859721413</v>
      </c>
      <c r="BU6" s="207">
        <v>239081.0739268699</v>
      </c>
      <c r="BV6" s="207">
        <v>418755.6805136163</v>
      </c>
      <c r="BW6" s="207">
        <v>701338.6127065108</v>
      </c>
      <c r="BX6" s="207">
        <v>207166.79425464023</v>
      </c>
      <c r="BY6" s="207">
        <v>358437.5608125639</v>
      </c>
      <c r="BZ6" s="207">
        <v>733.41</v>
      </c>
      <c r="CA6" s="207">
        <v>-3079.3416647349222</v>
      </c>
      <c r="CB6" s="207">
        <v>294730.0700178036</v>
      </c>
      <c r="CC6" s="207">
        <v>-877656.5688562765</v>
      </c>
      <c r="CD6" s="207">
        <v>0</v>
      </c>
      <c r="CE6" s="207">
        <v>467110.2259958058</v>
      </c>
      <c r="CF6" s="207">
        <v>0</v>
      </c>
      <c r="CG6" s="207">
        <v>4537700.12597811</v>
      </c>
      <c r="CH6" s="207">
        <v>-561000</v>
      </c>
      <c r="CI6" s="207">
        <v>1286092.3882000002</v>
      </c>
      <c r="CJ6" s="207">
        <v>174909.10854</v>
      </c>
      <c r="CK6" s="207">
        <v>1111183.2796600002</v>
      </c>
      <c r="CL6" s="207">
        <v>15784262.786286881</v>
      </c>
      <c r="CM6" s="207">
        <v>18100237.974914197</v>
      </c>
      <c r="CN6" s="207">
        <v>8248</v>
      </c>
    </row>
    <row r="7" spans="1:92" ht="9.75">
      <c r="A7" s="207">
        <v>18</v>
      </c>
      <c r="B7" s="207" t="s">
        <v>64</v>
      </c>
      <c r="C7" s="207">
        <v>4958</v>
      </c>
      <c r="D7" s="207">
        <v>17917353.7</v>
      </c>
      <c r="E7" s="207">
        <v>4714921.163551392</v>
      </c>
      <c r="F7" s="207">
        <v>888329.6351475407</v>
      </c>
      <c r="G7" s="207">
        <v>23520604.498698935</v>
      </c>
      <c r="H7" s="207">
        <v>3654.72</v>
      </c>
      <c r="I7" s="207">
        <v>18120101.759999998</v>
      </c>
      <c r="J7" s="207">
        <v>5400502.738698937</v>
      </c>
      <c r="K7" s="207">
        <v>68371.79373757243</v>
      </c>
      <c r="L7" s="207">
        <v>-551059.4574653187</v>
      </c>
      <c r="M7" s="207">
        <v>0</v>
      </c>
      <c r="N7" s="207">
        <v>4917815.074971191</v>
      </c>
      <c r="O7" s="207">
        <v>1466325.4859506264</v>
      </c>
      <c r="P7" s="207">
        <v>6384140.560921817</v>
      </c>
      <c r="Q7" s="207">
        <v>356</v>
      </c>
      <c r="R7" s="207">
        <v>67</v>
      </c>
      <c r="S7" s="207">
        <v>433</v>
      </c>
      <c r="T7" s="207">
        <v>219</v>
      </c>
      <c r="U7" s="207">
        <v>199</v>
      </c>
      <c r="V7" s="207">
        <v>2739</v>
      </c>
      <c r="W7" s="207">
        <v>588</v>
      </c>
      <c r="X7" s="207">
        <v>260</v>
      </c>
      <c r="Y7" s="207">
        <v>97</v>
      </c>
      <c r="Z7" s="207">
        <v>167</v>
      </c>
      <c r="AA7" s="207">
        <v>0</v>
      </c>
      <c r="AB7" s="207">
        <v>4666</v>
      </c>
      <c r="AC7" s="207">
        <v>125</v>
      </c>
      <c r="AD7" s="207">
        <v>945</v>
      </c>
      <c r="AE7" s="480">
        <v>0.8072770805412993</v>
      </c>
      <c r="AF7" s="207">
        <v>4714921.163551392</v>
      </c>
      <c r="AG7" s="175">
        <v>169</v>
      </c>
      <c r="AH7" s="175">
        <v>2451</v>
      </c>
      <c r="AI7" s="175">
        <v>0.7067529537685777</v>
      </c>
      <c r="AJ7" s="175">
        <v>125</v>
      </c>
      <c r="AK7" s="175">
        <v>0.025211778943122227</v>
      </c>
      <c r="AL7" s="175">
        <v>0.02193069983265923</v>
      </c>
      <c r="AM7" s="175">
        <v>0</v>
      </c>
      <c r="AN7" s="175">
        <v>167</v>
      </c>
      <c r="AO7" s="175">
        <v>0</v>
      </c>
      <c r="AP7" s="175">
        <v>0</v>
      </c>
      <c r="AQ7" s="175">
        <v>0</v>
      </c>
      <c r="AR7" s="175">
        <v>212.42</v>
      </c>
      <c r="AS7" s="175">
        <v>23.340551737124567</v>
      </c>
      <c r="AT7" s="175">
        <v>0.7776389498129843</v>
      </c>
      <c r="AU7" s="175">
        <v>252</v>
      </c>
      <c r="AV7" s="175">
        <v>1635</v>
      </c>
      <c r="AW7" s="175">
        <v>0.15412844036697249</v>
      </c>
      <c r="AX7" s="175">
        <v>0.09866720663748749</v>
      </c>
      <c r="AY7" s="175">
        <v>0</v>
      </c>
      <c r="AZ7" s="207">
        <v>1331</v>
      </c>
      <c r="BA7" s="175">
        <v>2217</v>
      </c>
      <c r="BB7" s="175">
        <v>0.600360847992783</v>
      </c>
      <c r="BC7" s="175">
        <v>0.21066600056907114</v>
      </c>
      <c r="BD7" s="175">
        <v>0</v>
      </c>
      <c r="BE7" s="175">
        <v>0</v>
      </c>
      <c r="BF7" s="207">
        <v>-31486.899999999998</v>
      </c>
      <c r="BG7" s="207">
        <v>-38522.799999999996</v>
      </c>
      <c r="BH7" s="207">
        <v>-20327.8</v>
      </c>
      <c r="BI7" s="207">
        <v>-83333</v>
      </c>
      <c r="BJ7" s="207">
        <v>0</v>
      </c>
      <c r="BK7" s="207">
        <v>0</v>
      </c>
      <c r="BL7" s="207">
        <v>4308</v>
      </c>
      <c r="BM7" s="207">
        <v>-121514.80484506319</v>
      </c>
      <c r="BN7" s="207">
        <v>-211012.48</v>
      </c>
      <c r="BO7" s="207">
        <v>113498.53809232544</v>
      </c>
      <c r="BP7" s="207">
        <v>390010</v>
      </c>
      <c r="BQ7" s="207">
        <v>130963</v>
      </c>
      <c r="BR7" s="207">
        <v>277568.86861187575</v>
      </c>
      <c r="BS7" s="207">
        <v>5685.533134850141</v>
      </c>
      <c r="BT7" s="207">
        <v>18260.159979551037</v>
      </c>
      <c r="BU7" s="207">
        <v>78444.9405121629</v>
      </c>
      <c r="BV7" s="207">
        <v>268579.92814660154</v>
      </c>
      <c r="BW7" s="207">
        <v>394468.0167573563</v>
      </c>
      <c r="BX7" s="207">
        <v>106452.60858936342</v>
      </c>
      <c r="BY7" s="207">
        <v>194995.58547290025</v>
      </c>
      <c r="BZ7" s="207">
        <v>446.21999999999997</v>
      </c>
      <c r="CA7" s="207">
        <v>-11102.15071258101</v>
      </c>
      <c r="CB7" s="207">
        <v>107150.60737974444</v>
      </c>
      <c r="CC7" s="207">
        <v>-551059.4574653187</v>
      </c>
      <c r="CD7" s="207">
        <v>0</v>
      </c>
      <c r="CE7" s="207">
        <v>257965.4829036925</v>
      </c>
      <c r="CF7" s="207">
        <v>0</v>
      </c>
      <c r="CG7" s="207">
        <v>1466325.4859506264</v>
      </c>
      <c r="CH7" s="207">
        <v>-216876</v>
      </c>
      <c r="CI7" s="207">
        <v>788497.9281</v>
      </c>
      <c r="CJ7" s="207">
        <v>337665.52080000006</v>
      </c>
      <c r="CK7" s="207">
        <v>450832.40729999996</v>
      </c>
      <c r="CL7" s="207">
        <v>6167264.560921817</v>
      </c>
      <c r="CM7" s="207">
        <v>7354774.424372178</v>
      </c>
      <c r="CN7" s="207">
        <v>4990</v>
      </c>
    </row>
    <row r="8" spans="1:92" ht="9.75">
      <c r="A8" s="207">
        <v>19</v>
      </c>
      <c r="B8" s="207" t="s">
        <v>65</v>
      </c>
      <c r="C8" s="207">
        <v>3984</v>
      </c>
      <c r="D8" s="207">
        <v>14025522.379999999</v>
      </c>
      <c r="E8" s="207">
        <v>3883465.585406738</v>
      </c>
      <c r="F8" s="207">
        <v>635419.4833181333</v>
      </c>
      <c r="G8" s="207">
        <v>18544407.448724873</v>
      </c>
      <c r="H8" s="207">
        <v>3654.72</v>
      </c>
      <c r="I8" s="207">
        <v>14560404.479999999</v>
      </c>
      <c r="J8" s="207">
        <v>3984002.968724875</v>
      </c>
      <c r="K8" s="207">
        <v>60167.75081596749</v>
      </c>
      <c r="L8" s="207">
        <v>-628531.4000166514</v>
      </c>
      <c r="M8" s="207">
        <v>0</v>
      </c>
      <c r="N8" s="207">
        <v>3415639.319524191</v>
      </c>
      <c r="O8" s="207">
        <v>1915187.224601126</v>
      </c>
      <c r="P8" s="207">
        <v>5330826.544125317</v>
      </c>
      <c r="Q8" s="207">
        <v>285</v>
      </c>
      <c r="R8" s="207">
        <v>53</v>
      </c>
      <c r="S8" s="207">
        <v>327</v>
      </c>
      <c r="T8" s="207">
        <v>167</v>
      </c>
      <c r="U8" s="207">
        <v>156</v>
      </c>
      <c r="V8" s="207">
        <v>2255</v>
      </c>
      <c r="W8" s="207">
        <v>458</v>
      </c>
      <c r="X8" s="207">
        <v>210</v>
      </c>
      <c r="Y8" s="207">
        <v>73</v>
      </c>
      <c r="Z8" s="207">
        <v>27</v>
      </c>
      <c r="AA8" s="207">
        <v>0</v>
      </c>
      <c r="AB8" s="207">
        <v>3845</v>
      </c>
      <c r="AC8" s="207">
        <v>112</v>
      </c>
      <c r="AD8" s="207">
        <v>741</v>
      </c>
      <c r="AE8" s="480">
        <v>0.8274749220580834</v>
      </c>
      <c r="AF8" s="207">
        <v>3883465.585406738</v>
      </c>
      <c r="AG8" s="175">
        <v>113</v>
      </c>
      <c r="AH8" s="175">
        <v>1970</v>
      </c>
      <c r="AI8" s="175">
        <v>0.5879446680521628</v>
      </c>
      <c r="AJ8" s="175">
        <v>112</v>
      </c>
      <c r="AK8" s="175">
        <v>0.028112449799196786</v>
      </c>
      <c r="AL8" s="175">
        <v>0.02483137068873379</v>
      </c>
      <c r="AM8" s="175">
        <v>0</v>
      </c>
      <c r="AN8" s="175">
        <v>27</v>
      </c>
      <c r="AO8" s="175">
        <v>0</v>
      </c>
      <c r="AP8" s="175">
        <v>0</v>
      </c>
      <c r="AQ8" s="175">
        <v>0</v>
      </c>
      <c r="AR8" s="175">
        <v>95.01</v>
      </c>
      <c r="AS8" s="175">
        <v>41.932428165456265</v>
      </c>
      <c r="AT8" s="175">
        <v>0.4328516838875906</v>
      </c>
      <c r="AU8" s="175">
        <v>206</v>
      </c>
      <c r="AV8" s="175">
        <v>1354</v>
      </c>
      <c r="AW8" s="175">
        <v>0.15214180206794684</v>
      </c>
      <c r="AX8" s="175">
        <v>0.09668056833846184</v>
      </c>
      <c r="AY8" s="175">
        <v>0</v>
      </c>
      <c r="AZ8" s="207">
        <v>1131</v>
      </c>
      <c r="BA8" s="175">
        <v>1823</v>
      </c>
      <c r="BB8" s="175">
        <v>0.6204059243006034</v>
      </c>
      <c r="BC8" s="175">
        <v>0.23071107687689152</v>
      </c>
      <c r="BD8" s="175">
        <v>0</v>
      </c>
      <c r="BE8" s="175">
        <v>0</v>
      </c>
      <c r="BF8" s="207">
        <v>-25183.21</v>
      </c>
      <c r="BG8" s="207">
        <v>-30810.52</v>
      </c>
      <c r="BH8" s="207">
        <v>-16334.399999999998</v>
      </c>
      <c r="BI8" s="207">
        <v>-66649.7</v>
      </c>
      <c r="BJ8" s="207">
        <v>0</v>
      </c>
      <c r="BK8" s="207">
        <v>0</v>
      </c>
      <c r="BL8" s="207">
        <v>-66508</v>
      </c>
      <c r="BM8" s="207">
        <v>-82707.57662516477</v>
      </c>
      <c r="BN8" s="207">
        <v>-169559.04</v>
      </c>
      <c r="BO8" s="207">
        <v>-55272.213284444064</v>
      </c>
      <c r="BP8" s="207">
        <v>304849</v>
      </c>
      <c r="BQ8" s="207">
        <v>99381</v>
      </c>
      <c r="BR8" s="207">
        <v>201671.6672826829</v>
      </c>
      <c r="BS8" s="207">
        <v>3174.9392171713553</v>
      </c>
      <c r="BT8" s="207">
        <v>16950.500800257825</v>
      </c>
      <c r="BU8" s="207">
        <v>78918.645847082</v>
      </c>
      <c r="BV8" s="207">
        <v>205320.91818612782</v>
      </c>
      <c r="BW8" s="207">
        <v>357272.2399105509</v>
      </c>
      <c r="BX8" s="207">
        <v>93136.486716834</v>
      </c>
      <c r="BY8" s="207">
        <v>166118.60393671633</v>
      </c>
      <c r="BZ8" s="207">
        <v>358.56</v>
      </c>
      <c r="CA8" s="207">
        <v>6284.139892957548</v>
      </c>
      <c r="CB8" s="207">
        <v>-115137.51339148651</v>
      </c>
      <c r="CC8" s="207">
        <v>-628531.4000166514</v>
      </c>
      <c r="CD8" s="207">
        <v>0</v>
      </c>
      <c r="CE8" s="207">
        <v>224982.56761189338</v>
      </c>
      <c r="CF8" s="207">
        <v>0</v>
      </c>
      <c r="CG8" s="207">
        <v>1915187.224601126</v>
      </c>
      <c r="CH8" s="207">
        <v>-649165</v>
      </c>
      <c r="CI8" s="207">
        <v>116905.132</v>
      </c>
      <c r="CJ8" s="207">
        <v>203863.51914000002</v>
      </c>
      <c r="CK8" s="207">
        <v>-86958.38714000002</v>
      </c>
      <c r="CL8" s="207">
        <v>4681661.544125317</v>
      </c>
      <c r="CM8" s="207">
        <v>5818349.876777805</v>
      </c>
      <c r="CN8" s="207">
        <v>3991</v>
      </c>
    </row>
    <row r="9" spans="1:92" ht="9.75">
      <c r="A9" s="207">
        <v>46</v>
      </c>
      <c r="B9" s="207" t="s">
        <v>66</v>
      </c>
      <c r="C9" s="207">
        <v>1405</v>
      </c>
      <c r="D9" s="207">
        <v>5367977.97</v>
      </c>
      <c r="E9" s="207">
        <v>2408372.4921099683</v>
      </c>
      <c r="F9" s="207">
        <v>1050474.9708780623</v>
      </c>
      <c r="G9" s="207">
        <v>8826825.43298803</v>
      </c>
      <c r="H9" s="207">
        <v>3654.72</v>
      </c>
      <c r="I9" s="207">
        <v>5134881.6</v>
      </c>
      <c r="J9" s="207">
        <v>3691943.832988031</v>
      </c>
      <c r="K9" s="207">
        <v>86608.59724008376</v>
      </c>
      <c r="L9" s="207">
        <v>-51477.98417421378</v>
      </c>
      <c r="M9" s="207">
        <v>0</v>
      </c>
      <c r="N9" s="207">
        <v>3727074.446053901</v>
      </c>
      <c r="O9" s="207">
        <v>1159781.5734351648</v>
      </c>
      <c r="P9" s="207">
        <v>4886856.019489066</v>
      </c>
      <c r="Q9" s="207">
        <v>56</v>
      </c>
      <c r="R9" s="207">
        <v>14</v>
      </c>
      <c r="S9" s="207">
        <v>71</v>
      </c>
      <c r="T9" s="207">
        <v>40</v>
      </c>
      <c r="U9" s="207">
        <v>29</v>
      </c>
      <c r="V9" s="207">
        <v>663</v>
      </c>
      <c r="W9" s="207">
        <v>295</v>
      </c>
      <c r="X9" s="207">
        <v>166</v>
      </c>
      <c r="Y9" s="207">
        <v>71</v>
      </c>
      <c r="Z9" s="207">
        <v>2</v>
      </c>
      <c r="AA9" s="207">
        <v>0</v>
      </c>
      <c r="AB9" s="207">
        <v>1361</v>
      </c>
      <c r="AC9" s="207">
        <v>42</v>
      </c>
      <c r="AD9" s="207">
        <v>532</v>
      </c>
      <c r="AE9" s="480">
        <v>1.4551308340392175</v>
      </c>
      <c r="AF9" s="207">
        <v>2408372.4921099683</v>
      </c>
      <c r="AG9" s="175">
        <v>67</v>
      </c>
      <c r="AH9" s="175">
        <v>586</v>
      </c>
      <c r="AI9" s="175">
        <v>1.171929335470793</v>
      </c>
      <c r="AJ9" s="175">
        <v>42</v>
      </c>
      <c r="AK9" s="175">
        <v>0.0298932384341637</v>
      </c>
      <c r="AL9" s="175">
        <v>0.026612159323700705</v>
      </c>
      <c r="AM9" s="175">
        <v>0</v>
      </c>
      <c r="AN9" s="175">
        <v>2</v>
      </c>
      <c r="AO9" s="175">
        <v>0</v>
      </c>
      <c r="AP9" s="175">
        <v>1</v>
      </c>
      <c r="AQ9" s="175">
        <v>0</v>
      </c>
      <c r="AR9" s="175">
        <v>305.58</v>
      </c>
      <c r="AS9" s="175">
        <v>4.597813993062373</v>
      </c>
      <c r="AT9" s="175">
        <v>3.94764167674039</v>
      </c>
      <c r="AU9" s="175">
        <v>55</v>
      </c>
      <c r="AV9" s="175">
        <v>347</v>
      </c>
      <c r="AW9" s="175">
        <v>0.1585014409221902</v>
      </c>
      <c r="AX9" s="175">
        <v>0.10304020719270521</v>
      </c>
      <c r="AY9" s="175">
        <v>0.16113333333333332</v>
      </c>
      <c r="AZ9" s="207">
        <v>373</v>
      </c>
      <c r="BA9" s="175">
        <v>466</v>
      </c>
      <c r="BB9" s="175">
        <v>0.8004291845493562</v>
      </c>
      <c r="BC9" s="175">
        <v>0.41073433712564433</v>
      </c>
      <c r="BD9" s="175">
        <v>0</v>
      </c>
      <c r="BE9" s="175">
        <v>0</v>
      </c>
      <c r="BF9" s="207">
        <v>-8934.96</v>
      </c>
      <c r="BG9" s="207">
        <v>-10931.52</v>
      </c>
      <c r="BH9" s="207">
        <v>-5760.499999999999</v>
      </c>
      <c r="BI9" s="207">
        <v>-23647.2</v>
      </c>
      <c r="BJ9" s="207">
        <v>0</v>
      </c>
      <c r="BK9" s="207">
        <v>0</v>
      </c>
      <c r="BL9" s="207">
        <v>30511</v>
      </c>
      <c r="BM9" s="207">
        <v>-52122.23090000894</v>
      </c>
      <c r="BN9" s="207">
        <v>-59796.8</v>
      </c>
      <c r="BO9" s="207">
        <v>129093.88504570909</v>
      </c>
      <c r="BP9" s="207">
        <v>170795</v>
      </c>
      <c r="BQ9" s="207">
        <v>51004</v>
      </c>
      <c r="BR9" s="207">
        <v>132057.32919923117</v>
      </c>
      <c r="BS9" s="207">
        <v>6623.632441935772</v>
      </c>
      <c r="BT9" s="207">
        <v>5672.3970182429675</v>
      </c>
      <c r="BU9" s="207">
        <v>61209.4471838827</v>
      </c>
      <c r="BV9" s="207">
        <v>88357.1907931275</v>
      </c>
      <c r="BW9" s="207">
        <v>132007.98019348277</v>
      </c>
      <c r="BX9" s="207">
        <v>36934.000312073</v>
      </c>
      <c r="BY9" s="207">
        <v>69106.6379195624</v>
      </c>
      <c r="BZ9" s="207">
        <v>126.44999999999999</v>
      </c>
      <c r="CA9" s="207">
        <v>-6938.808319913951</v>
      </c>
      <c r="CB9" s="207">
        <v>152792.52672579515</v>
      </c>
      <c r="CC9" s="207">
        <v>-51477.98417421378</v>
      </c>
      <c r="CD9" s="207">
        <v>0</v>
      </c>
      <c r="CE9" s="207">
        <v>99245.46610141851</v>
      </c>
      <c r="CF9" s="207">
        <v>0</v>
      </c>
      <c r="CG9" s="207">
        <v>1159781.5734351648</v>
      </c>
      <c r="CH9" s="207">
        <v>-348479</v>
      </c>
      <c r="CI9" s="207">
        <v>194388.766</v>
      </c>
      <c r="CJ9" s="207">
        <v>42847.090240000005</v>
      </c>
      <c r="CK9" s="207">
        <v>151541.67576</v>
      </c>
      <c r="CL9" s="207">
        <v>4538377.019489066</v>
      </c>
      <c r="CM9" s="207">
        <v>5185255.525318464</v>
      </c>
      <c r="CN9" s="207">
        <v>1416</v>
      </c>
    </row>
    <row r="10" spans="1:92" ht="9.75">
      <c r="A10" s="207">
        <v>47</v>
      </c>
      <c r="B10" s="207" t="s">
        <v>67</v>
      </c>
      <c r="C10" s="207">
        <v>1852</v>
      </c>
      <c r="D10" s="207">
        <v>5692722.68</v>
      </c>
      <c r="E10" s="207">
        <v>2587138.797133612</v>
      </c>
      <c r="F10" s="207">
        <v>1891963.7226027334</v>
      </c>
      <c r="G10" s="207">
        <v>10171825.199736346</v>
      </c>
      <c r="H10" s="207">
        <v>3654.72</v>
      </c>
      <c r="I10" s="207">
        <v>6768541.4399999995</v>
      </c>
      <c r="J10" s="207">
        <v>3403283.759736346</v>
      </c>
      <c r="K10" s="207">
        <v>2877076.3296837504</v>
      </c>
      <c r="L10" s="207">
        <v>237927.13875683467</v>
      </c>
      <c r="M10" s="207">
        <v>0</v>
      </c>
      <c r="N10" s="207">
        <v>6518287.228176932</v>
      </c>
      <c r="O10" s="207">
        <v>1593204.0004099673</v>
      </c>
      <c r="P10" s="207">
        <v>8111491.228586899</v>
      </c>
      <c r="Q10" s="207">
        <v>75</v>
      </c>
      <c r="R10" s="207">
        <v>23</v>
      </c>
      <c r="S10" s="207">
        <v>109</v>
      </c>
      <c r="T10" s="207">
        <v>42</v>
      </c>
      <c r="U10" s="207">
        <v>38</v>
      </c>
      <c r="V10" s="207">
        <v>1056</v>
      </c>
      <c r="W10" s="207">
        <v>334</v>
      </c>
      <c r="X10" s="207">
        <v>133</v>
      </c>
      <c r="Y10" s="207">
        <v>42</v>
      </c>
      <c r="Z10" s="207">
        <v>17</v>
      </c>
      <c r="AA10" s="207">
        <v>196</v>
      </c>
      <c r="AB10" s="207">
        <v>1604</v>
      </c>
      <c r="AC10" s="207">
        <v>35</v>
      </c>
      <c r="AD10" s="207">
        <v>509</v>
      </c>
      <c r="AE10" s="480">
        <v>1.1858600976201619</v>
      </c>
      <c r="AF10" s="207">
        <v>2587138.797133612</v>
      </c>
      <c r="AG10" s="175">
        <v>147</v>
      </c>
      <c r="AH10" s="175">
        <v>906</v>
      </c>
      <c r="AI10" s="175">
        <v>1.663080900400729</v>
      </c>
      <c r="AJ10" s="175">
        <v>35</v>
      </c>
      <c r="AK10" s="175">
        <v>0.018898488120950324</v>
      </c>
      <c r="AL10" s="175">
        <v>0.015617409010487329</v>
      </c>
      <c r="AM10" s="175">
        <v>0</v>
      </c>
      <c r="AN10" s="175">
        <v>17</v>
      </c>
      <c r="AO10" s="175">
        <v>196</v>
      </c>
      <c r="AP10" s="175">
        <v>0</v>
      </c>
      <c r="AQ10" s="175">
        <v>0</v>
      </c>
      <c r="AR10" s="175">
        <v>7952.91</v>
      </c>
      <c r="AS10" s="175">
        <v>0.2328707353660484</v>
      </c>
      <c r="AT10" s="175">
        <v>77.94247788320183</v>
      </c>
      <c r="AU10" s="175">
        <v>85</v>
      </c>
      <c r="AV10" s="175">
        <v>543</v>
      </c>
      <c r="AW10" s="175">
        <v>0.15653775322283608</v>
      </c>
      <c r="AX10" s="175">
        <v>0.10107651949335109</v>
      </c>
      <c r="AY10" s="175">
        <v>1.9019333333333333</v>
      </c>
      <c r="AZ10" s="207">
        <v>646</v>
      </c>
      <c r="BA10" s="175">
        <v>725</v>
      </c>
      <c r="BB10" s="175">
        <v>0.8910344827586207</v>
      </c>
      <c r="BC10" s="175">
        <v>0.5013396353349089</v>
      </c>
      <c r="BD10" s="175">
        <v>1</v>
      </c>
      <c r="BE10" s="175">
        <v>196</v>
      </c>
      <c r="BF10" s="207">
        <v>-11944.83</v>
      </c>
      <c r="BG10" s="207">
        <v>-14613.96</v>
      </c>
      <c r="BH10" s="207">
        <v>-7593.199999999999</v>
      </c>
      <c r="BI10" s="207">
        <v>-31613.1</v>
      </c>
      <c r="BJ10" s="207">
        <v>0</v>
      </c>
      <c r="BK10" s="207">
        <v>0</v>
      </c>
      <c r="BL10" s="207">
        <v>95738</v>
      </c>
      <c r="BM10" s="207">
        <v>-27528.02963042642</v>
      </c>
      <c r="BN10" s="207">
        <v>-78821.12000000001</v>
      </c>
      <c r="BO10" s="207">
        <v>358000.4534871001</v>
      </c>
      <c r="BP10" s="207">
        <v>173397</v>
      </c>
      <c r="BQ10" s="207">
        <v>59946</v>
      </c>
      <c r="BR10" s="207">
        <v>172394.94870718927</v>
      </c>
      <c r="BS10" s="207">
        <v>9669.362924982988</v>
      </c>
      <c r="BT10" s="207">
        <v>17796.73113292622</v>
      </c>
      <c r="BU10" s="207">
        <v>66470.25845941098</v>
      </c>
      <c r="BV10" s="207">
        <v>120347.25272450408</v>
      </c>
      <c r="BW10" s="207">
        <v>149976.14331376436</v>
      </c>
      <c r="BX10" s="207">
        <v>66511.29198030259</v>
      </c>
      <c r="BY10" s="207">
        <v>106033.8413544209</v>
      </c>
      <c r="BZ10" s="207">
        <v>166.68</v>
      </c>
      <c r="CA10" s="207">
        <v>12918.564900160985</v>
      </c>
      <c r="CB10" s="207">
        <v>466823.6983872611</v>
      </c>
      <c r="CC10" s="207">
        <v>237927.13875683467</v>
      </c>
      <c r="CD10" s="207">
        <v>0</v>
      </c>
      <c r="CE10" s="207">
        <v>134198.8657340237</v>
      </c>
      <c r="CF10" s="207">
        <v>0</v>
      </c>
      <c r="CG10" s="207">
        <v>1593204.0004099673</v>
      </c>
      <c r="CH10" s="207">
        <v>-19397</v>
      </c>
      <c r="CI10" s="207">
        <v>6796.81</v>
      </c>
      <c r="CJ10" s="207">
        <v>27187.24</v>
      </c>
      <c r="CK10" s="207">
        <v>-20390.43</v>
      </c>
      <c r="CL10" s="207">
        <v>8092094.228586899</v>
      </c>
      <c r="CM10" s="207">
        <v>8719373.404761711</v>
      </c>
      <c r="CN10" s="207">
        <v>1893</v>
      </c>
    </row>
    <row r="11" spans="1:92" ht="9.75">
      <c r="A11" s="207">
        <v>49</v>
      </c>
      <c r="B11" s="207" t="s">
        <v>68</v>
      </c>
      <c r="C11" s="207">
        <v>283632</v>
      </c>
      <c r="D11" s="207">
        <v>938135827.73</v>
      </c>
      <c r="E11" s="207">
        <v>214833258.65893063</v>
      </c>
      <c r="F11" s="207">
        <v>136505112.91901925</v>
      </c>
      <c r="G11" s="207">
        <v>1289474199.3079498</v>
      </c>
      <c r="H11" s="207">
        <v>3654.72</v>
      </c>
      <c r="I11" s="207">
        <v>1036595543.04</v>
      </c>
      <c r="J11" s="207">
        <v>252878656.26794982</v>
      </c>
      <c r="K11" s="207">
        <v>9848094.948608126</v>
      </c>
      <c r="L11" s="207">
        <v>-58326207.833315715</v>
      </c>
      <c r="M11" s="207">
        <v>0</v>
      </c>
      <c r="N11" s="207">
        <v>204400543.38324225</v>
      </c>
      <c r="O11" s="207">
        <v>-168404986.9409658</v>
      </c>
      <c r="P11" s="207">
        <v>35995556.44227645</v>
      </c>
      <c r="Q11" s="207">
        <v>21164</v>
      </c>
      <c r="R11" s="207">
        <v>3835</v>
      </c>
      <c r="S11" s="207">
        <v>22667</v>
      </c>
      <c r="T11" s="207">
        <v>10353</v>
      </c>
      <c r="U11" s="207">
        <v>9686</v>
      </c>
      <c r="V11" s="207">
        <v>174296</v>
      </c>
      <c r="W11" s="207">
        <v>25405</v>
      </c>
      <c r="X11" s="207">
        <v>12142</v>
      </c>
      <c r="Y11" s="207">
        <v>4084</v>
      </c>
      <c r="Z11" s="207">
        <v>19999</v>
      </c>
      <c r="AA11" s="207">
        <v>15</v>
      </c>
      <c r="AB11" s="207">
        <v>215533</v>
      </c>
      <c r="AC11" s="207">
        <v>48085</v>
      </c>
      <c r="AD11" s="207">
        <v>41631</v>
      </c>
      <c r="AE11" s="480">
        <v>0.6429852319786888</v>
      </c>
      <c r="AF11" s="207">
        <v>214833258.65893063</v>
      </c>
      <c r="AG11" s="175">
        <v>11447</v>
      </c>
      <c r="AH11" s="175">
        <v>141993</v>
      </c>
      <c r="AI11" s="175">
        <v>0.8263213743074598</v>
      </c>
      <c r="AJ11" s="175">
        <v>48085</v>
      </c>
      <c r="AK11" s="175">
        <v>0.1695330569188244</v>
      </c>
      <c r="AL11" s="175">
        <v>0.1662519778083614</v>
      </c>
      <c r="AM11" s="175">
        <v>1</v>
      </c>
      <c r="AN11" s="175">
        <v>19999</v>
      </c>
      <c r="AO11" s="175">
        <v>15</v>
      </c>
      <c r="AP11" s="175">
        <v>3</v>
      </c>
      <c r="AQ11" s="175">
        <v>663</v>
      </c>
      <c r="AR11" s="175">
        <v>312.33</v>
      </c>
      <c r="AS11" s="175">
        <v>908.1164153299395</v>
      </c>
      <c r="AT11" s="175">
        <v>0.01998699928171508</v>
      </c>
      <c r="AU11" s="175">
        <v>14887</v>
      </c>
      <c r="AV11" s="175">
        <v>102633</v>
      </c>
      <c r="AW11" s="175">
        <v>0.14505081211696044</v>
      </c>
      <c r="AX11" s="175">
        <v>0.08958957838747544</v>
      </c>
      <c r="AY11" s="175">
        <v>0</v>
      </c>
      <c r="AZ11" s="207">
        <v>120676</v>
      </c>
      <c r="BA11" s="175">
        <v>131153</v>
      </c>
      <c r="BB11" s="175">
        <v>0.9201162001631682</v>
      </c>
      <c r="BC11" s="175">
        <v>0.5304213527394563</v>
      </c>
      <c r="BD11" s="175">
        <v>0</v>
      </c>
      <c r="BE11" s="175">
        <v>15</v>
      </c>
      <c r="BF11" s="207">
        <v>-1760767.64</v>
      </c>
      <c r="BG11" s="207">
        <v>-2154219.6799999997</v>
      </c>
      <c r="BH11" s="207">
        <v>-1162891.2</v>
      </c>
      <c r="BI11" s="207">
        <v>-4660034.8</v>
      </c>
      <c r="BJ11" s="207">
        <v>0</v>
      </c>
      <c r="BK11" s="207">
        <v>0</v>
      </c>
      <c r="BL11" s="207">
        <v>-2408909</v>
      </c>
      <c r="BM11" s="207">
        <v>-21429323.16815838</v>
      </c>
      <c r="BN11" s="207">
        <v>-12071377.92</v>
      </c>
      <c r="BO11" s="207">
        <v>-266216.5658850074</v>
      </c>
      <c r="BP11" s="207">
        <v>12227998</v>
      </c>
      <c r="BQ11" s="207">
        <v>4741059</v>
      </c>
      <c r="BR11" s="207">
        <v>9930861.540707117</v>
      </c>
      <c r="BS11" s="207">
        <v>158476.05074123334</v>
      </c>
      <c r="BT11" s="207">
        <v>-3216643.810550721</v>
      </c>
      <c r="BU11" s="207">
        <v>3590217.8977544284</v>
      </c>
      <c r="BV11" s="207">
        <v>10354449.592781734</v>
      </c>
      <c r="BW11" s="207">
        <v>14030211.993497528</v>
      </c>
      <c r="BX11" s="207">
        <v>5368588.6363894185</v>
      </c>
      <c r="BY11" s="207">
        <v>8687348.306144333</v>
      </c>
      <c r="BZ11" s="207">
        <v>25526.879999999997</v>
      </c>
      <c r="CA11" s="207">
        <v>-3741837.619272322</v>
      </c>
      <c r="CB11" s="207">
        <v>-6391436.30515733</v>
      </c>
      <c r="CC11" s="207">
        <v>-58326207.833315715</v>
      </c>
      <c r="CD11" s="207">
        <v>0</v>
      </c>
      <c r="CE11" s="207">
        <v>12313128.11738625</v>
      </c>
      <c r="CF11" s="207">
        <v>0</v>
      </c>
      <c r="CG11" s="207">
        <v>-168404986.9409658</v>
      </c>
      <c r="CH11" s="207">
        <v>-12341988</v>
      </c>
      <c r="CI11" s="207">
        <v>2836784.5897000004</v>
      </c>
      <c r="CJ11" s="207">
        <v>16720628.376699995</v>
      </c>
      <c r="CK11" s="207">
        <v>-13883843.786999995</v>
      </c>
      <c r="CL11" s="207">
        <v>23653568.442276448</v>
      </c>
      <c r="CM11" s="207">
        <v>47221909.98402265</v>
      </c>
      <c r="CN11" s="207">
        <v>279044</v>
      </c>
    </row>
    <row r="12" spans="1:92" ht="9.75">
      <c r="A12" s="207">
        <v>50</v>
      </c>
      <c r="B12" s="207" t="s">
        <v>69</v>
      </c>
      <c r="C12" s="207">
        <v>11748</v>
      </c>
      <c r="D12" s="207">
        <v>44013426.379999995</v>
      </c>
      <c r="E12" s="207">
        <v>13812381.003056351</v>
      </c>
      <c r="F12" s="207">
        <v>2288210.9525972754</v>
      </c>
      <c r="G12" s="207">
        <v>60114018.33565362</v>
      </c>
      <c r="H12" s="207">
        <v>3654.72</v>
      </c>
      <c r="I12" s="207">
        <v>42935650.559999995</v>
      </c>
      <c r="J12" s="207">
        <v>17178367.775653623</v>
      </c>
      <c r="K12" s="207">
        <v>466517.2517636433</v>
      </c>
      <c r="L12" s="207">
        <v>-1544549.7612578294</v>
      </c>
      <c r="M12" s="207">
        <v>0</v>
      </c>
      <c r="N12" s="207">
        <v>16100335.266159436</v>
      </c>
      <c r="O12" s="207">
        <v>4750368.061585105</v>
      </c>
      <c r="P12" s="207">
        <v>20850703.32774454</v>
      </c>
      <c r="Q12" s="207">
        <v>672</v>
      </c>
      <c r="R12" s="207">
        <v>118</v>
      </c>
      <c r="S12" s="207">
        <v>805</v>
      </c>
      <c r="T12" s="207">
        <v>437</v>
      </c>
      <c r="U12" s="207">
        <v>360</v>
      </c>
      <c r="V12" s="207">
        <v>6126</v>
      </c>
      <c r="W12" s="207">
        <v>1815</v>
      </c>
      <c r="X12" s="207">
        <v>975</v>
      </c>
      <c r="Y12" s="207">
        <v>440</v>
      </c>
      <c r="Z12" s="207">
        <v>21</v>
      </c>
      <c r="AA12" s="207">
        <v>0</v>
      </c>
      <c r="AB12" s="207">
        <v>11360</v>
      </c>
      <c r="AC12" s="207">
        <v>367</v>
      </c>
      <c r="AD12" s="207">
        <v>3230</v>
      </c>
      <c r="AE12" s="480">
        <v>0.9980661378374523</v>
      </c>
      <c r="AF12" s="207">
        <v>13812381.003056351</v>
      </c>
      <c r="AG12" s="175">
        <v>357</v>
      </c>
      <c r="AH12" s="175">
        <v>5369</v>
      </c>
      <c r="AI12" s="175">
        <v>0.6815520854634284</v>
      </c>
      <c r="AJ12" s="175">
        <v>367</v>
      </c>
      <c r="AK12" s="175">
        <v>0.031239359891045284</v>
      </c>
      <c r="AL12" s="175">
        <v>0.02795828078058229</v>
      </c>
      <c r="AM12" s="175">
        <v>0</v>
      </c>
      <c r="AN12" s="175">
        <v>21</v>
      </c>
      <c r="AO12" s="175">
        <v>0</v>
      </c>
      <c r="AP12" s="175">
        <v>0</v>
      </c>
      <c r="AQ12" s="175">
        <v>0</v>
      </c>
      <c r="AR12" s="175">
        <v>578.8</v>
      </c>
      <c r="AS12" s="175">
        <v>20.297166551485834</v>
      </c>
      <c r="AT12" s="175">
        <v>0.8942392079639552</v>
      </c>
      <c r="AU12" s="175">
        <v>533</v>
      </c>
      <c r="AV12" s="175">
        <v>3387</v>
      </c>
      <c r="AW12" s="175">
        <v>0.1573664009447889</v>
      </c>
      <c r="AX12" s="175">
        <v>0.1019051672153039</v>
      </c>
      <c r="AY12" s="175">
        <v>0</v>
      </c>
      <c r="AZ12" s="207">
        <v>4887</v>
      </c>
      <c r="BA12" s="175">
        <v>4905</v>
      </c>
      <c r="BB12" s="175">
        <v>0.9963302752293578</v>
      </c>
      <c r="BC12" s="175">
        <v>0.6066354278056459</v>
      </c>
      <c r="BD12" s="175">
        <v>0</v>
      </c>
      <c r="BE12" s="175">
        <v>0</v>
      </c>
      <c r="BF12" s="207">
        <v>-75152.09999999999</v>
      </c>
      <c r="BG12" s="207">
        <v>-91945.2</v>
      </c>
      <c r="BH12" s="207">
        <v>-48166.799999999996</v>
      </c>
      <c r="BI12" s="207">
        <v>-198897</v>
      </c>
      <c r="BJ12" s="207">
        <v>0</v>
      </c>
      <c r="BK12" s="207">
        <v>0</v>
      </c>
      <c r="BL12" s="207">
        <v>-119829</v>
      </c>
      <c r="BM12" s="207">
        <v>-268676.63687994133</v>
      </c>
      <c r="BN12" s="207">
        <v>-499994.88</v>
      </c>
      <c r="BO12" s="207">
        <v>147021.0045784153</v>
      </c>
      <c r="BP12" s="207">
        <v>930471</v>
      </c>
      <c r="BQ12" s="207">
        <v>326226</v>
      </c>
      <c r="BR12" s="207">
        <v>755979.6991818466</v>
      </c>
      <c r="BS12" s="207">
        <v>35805.37842070008</v>
      </c>
      <c r="BT12" s="207">
        <v>118088.13599981995</v>
      </c>
      <c r="BU12" s="207">
        <v>359583.83389071794</v>
      </c>
      <c r="BV12" s="207">
        <v>592840.1409151391</v>
      </c>
      <c r="BW12" s="207">
        <v>1045132.1657653033</v>
      </c>
      <c r="BX12" s="207">
        <v>278567.27786175744</v>
      </c>
      <c r="BY12" s="207">
        <v>485946.3758917351</v>
      </c>
      <c r="BZ12" s="207">
        <v>1057.32</v>
      </c>
      <c r="CA12" s="207">
        <v>-29772.788956303324</v>
      </c>
      <c r="CB12" s="207">
        <v>-1523.46437788802</v>
      </c>
      <c r="CC12" s="207">
        <v>-1544549.7612578294</v>
      </c>
      <c r="CD12" s="207">
        <v>0</v>
      </c>
      <c r="CE12" s="207">
        <v>624197.3872832172</v>
      </c>
      <c r="CF12" s="207">
        <v>0</v>
      </c>
      <c r="CG12" s="207">
        <v>4750368.061585105</v>
      </c>
      <c r="CH12" s="207">
        <v>-1216655</v>
      </c>
      <c r="CI12" s="207">
        <v>387622.07430000004</v>
      </c>
      <c r="CJ12" s="207">
        <v>160472.6841</v>
      </c>
      <c r="CK12" s="207">
        <v>227149.39020000002</v>
      </c>
      <c r="CL12" s="207">
        <v>19634048.32774454</v>
      </c>
      <c r="CM12" s="207">
        <v>22718639.947085068</v>
      </c>
      <c r="CN12" s="207">
        <v>11910</v>
      </c>
    </row>
    <row r="13" spans="1:92" ht="9.75">
      <c r="A13" s="207">
        <v>51</v>
      </c>
      <c r="B13" s="207" t="s">
        <v>70</v>
      </c>
      <c r="C13" s="207">
        <v>9454</v>
      </c>
      <c r="D13" s="207">
        <v>34055487.41</v>
      </c>
      <c r="E13" s="207">
        <v>9331862.919342317</v>
      </c>
      <c r="F13" s="207">
        <v>1856995.009879067</v>
      </c>
      <c r="G13" s="207">
        <v>45244345.33922138</v>
      </c>
      <c r="H13" s="207">
        <v>3654.72</v>
      </c>
      <c r="I13" s="207">
        <v>34551722.879999995</v>
      </c>
      <c r="J13" s="207">
        <v>10692622.459221385</v>
      </c>
      <c r="K13" s="207">
        <v>325980.5074081152</v>
      </c>
      <c r="L13" s="207">
        <v>-718424.4836753648</v>
      </c>
      <c r="M13" s="207">
        <v>0</v>
      </c>
      <c r="N13" s="207">
        <v>10300178.482954137</v>
      </c>
      <c r="O13" s="207">
        <v>-2745841.1101462566</v>
      </c>
      <c r="P13" s="207">
        <v>7554337.372807881</v>
      </c>
      <c r="Q13" s="207">
        <v>585</v>
      </c>
      <c r="R13" s="207">
        <v>111</v>
      </c>
      <c r="S13" s="207">
        <v>751</v>
      </c>
      <c r="T13" s="207">
        <v>335</v>
      </c>
      <c r="U13" s="207">
        <v>314</v>
      </c>
      <c r="V13" s="207">
        <v>4976</v>
      </c>
      <c r="W13" s="207">
        <v>1443</v>
      </c>
      <c r="X13" s="207">
        <v>689</v>
      </c>
      <c r="Y13" s="207">
        <v>250</v>
      </c>
      <c r="Z13" s="207">
        <v>31</v>
      </c>
      <c r="AA13" s="207">
        <v>0</v>
      </c>
      <c r="AB13" s="207">
        <v>9096</v>
      </c>
      <c r="AC13" s="207">
        <v>327</v>
      </c>
      <c r="AD13" s="207">
        <v>2382</v>
      </c>
      <c r="AE13" s="480">
        <v>0.8379294648542435</v>
      </c>
      <c r="AF13" s="207">
        <v>9331862.919342317</v>
      </c>
      <c r="AG13" s="175">
        <v>262</v>
      </c>
      <c r="AH13" s="175">
        <v>4310</v>
      </c>
      <c r="AI13" s="175">
        <v>0.6230863827042346</v>
      </c>
      <c r="AJ13" s="175">
        <v>327</v>
      </c>
      <c r="AK13" s="175">
        <v>0.03458853395388196</v>
      </c>
      <c r="AL13" s="175">
        <v>0.03130745484341896</v>
      </c>
      <c r="AM13" s="175">
        <v>0</v>
      </c>
      <c r="AN13" s="175">
        <v>31</v>
      </c>
      <c r="AO13" s="175">
        <v>0</v>
      </c>
      <c r="AP13" s="175">
        <v>0</v>
      </c>
      <c r="AQ13" s="175">
        <v>0</v>
      </c>
      <c r="AR13" s="175">
        <v>514.77</v>
      </c>
      <c r="AS13" s="175">
        <v>18.365483614041224</v>
      </c>
      <c r="AT13" s="175">
        <v>0.9882953546094642</v>
      </c>
      <c r="AU13" s="175">
        <v>443</v>
      </c>
      <c r="AV13" s="175">
        <v>2973</v>
      </c>
      <c r="AW13" s="175">
        <v>0.14900773629330644</v>
      </c>
      <c r="AX13" s="175">
        <v>0.09354650256382144</v>
      </c>
      <c r="AY13" s="175">
        <v>0</v>
      </c>
      <c r="AZ13" s="207">
        <v>3696</v>
      </c>
      <c r="BA13" s="175">
        <v>4033</v>
      </c>
      <c r="BB13" s="175">
        <v>0.9164393751549715</v>
      </c>
      <c r="BC13" s="175">
        <v>0.5267445277312597</v>
      </c>
      <c r="BD13" s="175">
        <v>0</v>
      </c>
      <c r="BE13" s="175">
        <v>0</v>
      </c>
      <c r="BF13" s="207">
        <v>-60077.509999999995</v>
      </c>
      <c r="BG13" s="207">
        <v>-73502.12</v>
      </c>
      <c r="BH13" s="207">
        <v>-38761.399999999994</v>
      </c>
      <c r="BI13" s="207">
        <v>-159000.69999999998</v>
      </c>
      <c r="BJ13" s="207">
        <v>0</v>
      </c>
      <c r="BK13" s="207">
        <v>0</v>
      </c>
      <c r="BL13" s="207">
        <v>166456</v>
      </c>
      <c r="BM13" s="207">
        <v>-242768.32008183477</v>
      </c>
      <c r="BN13" s="207">
        <v>-402362.24000000005</v>
      </c>
      <c r="BO13" s="207">
        <v>531912.2649731943</v>
      </c>
      <c r="BP13" s="207">
        <v>825213</v>
      </c>
      <c r="BQ13" s="207">
        <v>332930</v>
      </c>
      <c r="BR13" s="207">
        <v>852349.3838743449</v>
      </c>
      <c r="BS13" s="207">
        <v>38149.05709767528</v>
      </c>
      <c r="BT13" s="207">
        <v>81094.72168116856</v>
      </c>
      <c r="BU13" s="207">
        <v>261660.24010085664</v>
      </c>
      <c r="BV13" s="207">
        <v>497056.58265767223</v>
      </c>
      <c r="BW13" s="207">
        <v>700972.9043078987</v>
      </c>
      <c r="BX13" s="207">
        <v>275408.68621278135</v>
      </c>
      <c r="BY13" s="207">
        <v>436241.2523208853</v>
      </c>
      <c r="BZ13" s="207">
        <v>850.86</v>
      </c>
      <c r="CA13" s="207">
        <v>-151311.67856672432</v>
      </c>
      <c r="CB13" s="207">
        <v>547907.44640647</v>
      </c>
      <c r="CC13" s="207">
        <v>-718424.4836753648</v>
      </c>
      <c r="CD13" s="207">
        <v>0</v>
      </c>
      <c r="CE13" s="207">
        <v>594485.7224765329</v>
      </c>
      <c r="CF13" s="207">
        <v>1127997.178455826</v>
      </c>
      <c r="CG13" s="207">
        <v>-2745841.1101462566</v>
      </c>
      <c r="CH13" s="207">
        <v>-924442</v>
      </c>
      <c r="CI13" s="207">
        <v>224498.6343</v>
      </c>
      <c r="CJ13" s="207">
        <v>400250.5472800001</v>
      </c>
      <c r="CK13" s="207">
        <v>-175751.9129800001</v>
      </c>
      <c r="CL13" s="207">
        <v>6629895.372807881</v>
      </c>
      <c r="CM13" s="207">
        <v>10708357.368669417</v>
      </c>
      <c r="CN13" s="207">
        <v>9521</v>
      </c>
    </row>
    <row r="14" spans="1:92" ht="9.75">
      <c r="A14" s="207">
        <v>52</v>
      </c>
      <c r="B14" s="207" t="s">
        <v>71</v>
      </c>
      <c r="C14" s="207">
        <v>2473</v>
      </c>
      <c r="D14" s="207">
        <v>9418101.62</v>
      </c>
      <c r="E14" s="207">
        <v>4352221.11150934</v>
      </c>
      <c r="F14" s="207">
        <v>626274.9712885581</v>
      </c>
      <c r="G14" s="207">
        <v>14396597.702797897</v>
      </c>
      <c r="H14" s="207">
        <v>3654.72</v>
      </c>
      <c r="I14" s="207">
        <v>9038122.559999999</v>
      </c>
      <c r="J14" s="207">
        <v>5358475.1427978985</v>
      </c>
      <c r="K14" s="207">
        <v>81865.77262769213</v>
      </c>
      <c r="L14" s="207">
        <v>-219239.09150170733</v>
      </c>
      <c r="M14" s="207">
        <v>0</v>
      </c>
      <c r="N14" s="207">
        <v>5221101.823923883</v>
      </c>
      <c r="O14" s="207">
        <v>2130903.305971167</v>
      </c>
      <c r="P14" s="207">
        <v>7352005.12989505</v>
      </c>
      <c r="Q14" s="207">
        <v>140</v>
      </c>
      <c r="R14" s="207">
        <v>24</v>
      </c>
      <c r="S14" s="207">
        <v>190</v>
      </c>
      <c r="T14" s="207">
        <v>72</v>
      </c>
      <c r="U14" s="207">
        <v>87</v>
      </c>
      <c r="V14" s="207">
        <v>1280</v>
      </c>
      <c r="W14" s="207">
        <v>363</v>
      </c>
      <c r="X14" s="207">
        <v>212</v>
      </c>
      <c r="Y14" s="207">
        <v>105</v>
      </c>
      <c r="Z14" s="207">
        <v>48</v>
      </c>
      <c r="AA14" s="207">
        <v>0</v>
      </c>
      <c r="AB14" s="207">
        <v>2348</v>
      </c>
      <c r="AC14" s="207">
        <v>77</v>
      </c>
      <c r="AD14" s="207">
        <v>680</v>
      </c>
      <c r="AE14" s="480">
        <v>1.4939688573810532</v>
      </c>
      <c r="AF14" s="207">
        <v>4352221.11150934</v>
      </c>
      <c r="AG14" s="175">
        <v>68</v>
      </c>
      <c r="AH14" s="175">
        <v>1119</v>
      </c>
      <c r="AI14" s="175">
        <v>0.6228781049156384</v>
      </c>
      <c r="AJ14" s="175">
        <v>77</v>
      </c>
      <c r="AK14" s="175">
        <v>0.03113627173473514</v>
      </c>
      <c r="AL14" s="175">
        <v>0.027855192624272145</v>
      </c>
      <c r="AM14" s="175">
        <v>0</v>
      </c>
      <c r="AN14" s="175">
        <v>48</v>
      </c>
      <c r="AO14" s="175">
        <v>0</v>
      </c>
      <c r="AP14" s="175">
        <v>0</v>
      </c>
      <c r="AQ14" s="175">
        <v>0</v>
      </c>
      <c r="AR14" s="175">
        <v>354.15</v>
      </c>
      <c r="AS14" s="175">
        <v>6.98291684314556</v>
      </c>
      <c r="AT14" s="175">
        <v>2.599275137971856</v>
      </c>
      <c r="AU14" s="175">
        <v>101</v>
      </c>
      <c r="AV14" s="175">
        <v>684</v>
      </c>
      <c r="AW14" s="175">
        <v>0.1476608187134503</v>
      </c>
      <c r="AX14" s="175">
        <v>0.0921995849839653</v>
      </c>
      <c r="AY14" s="175">
        <v>0</v>
      </c>
      <c r="AZ14" s="207">
        <v>916</v>
      </c>
      <c r="BA14" s="175">
        <v>1023</v>
      </c>
      <c r="BB14" s="175">
        <v>0.895405669599218</v>
      </c>
      <c r="BC14" s="175">
        <v>0.5057108221755061</v>
      </c>
      <c r="BD14" s="175">
        <v>0</v>
      </c>
      <c r="BE14" s="175">
        <v>0</v>
      </c>
      <c r="BF14" s="207">
        <v>-15768.689999999999</v>
      </c>
      <c r="BG14" s="207">
        <v>-19292.28</v>
      </c>
      <c r="BH14" s="207">
        <v>-10139.3</v>
      </c>
      <c r="BI14" s="207">
        <v>-41733.299999999996</v>
      </c>
      <c r="BJ14" s="207">
        <v>0</v>
      </c>
      <c r="BK14" s="207">
        <v>0</v>
      </c>
      <c r="BL14" s="207">
        <v>-100747</v>
      </c>
      <c r="BM14" s="207">
        <v>-32854.45883108954</v>
      </c>
      <c r="BN14" s="207">
        <v>-105250.88</v>
      </c>
      <c r="BO14" s="207">
        <v>216915.193710112</v>
      </c>
      <c r="BP14" s="207">
        <v>268330</v>
      </c>
      <c r="BQ14" s="207">
        <v>90507</v>
      </c>
      <c r="BR14" s="207">
        <v>236019.7094316398</v>
      </c>
      <c r="BS14" s="207">
        <v>12785.587300546524</v>
      </c>
      <c r="BT14" s="207">
        <v>13972.667475937424</v>
      </c>
      <c r="BU14" s="207">
        <v>91029.97670731465</v>
      </c>
      <c r="BV14" s="207">
        <v>159125.99451754062</v>
      </c>
      <c r="BW14" s="207">
        <v>262773.8022734692</v>
      </c>
      <c r="BX14" s="207">
        <v>75899.24402966545</v>
      </c>
      <c r="BY14" s="207">
        <v>127170.54683329606</v>
      </c>
      <c r="BZ14" s="207">
        <v>222.57</v>
      </c>
      <c r="CA14" s="207">
        <v>-34768.76638072978</v>
      </c>
      <c r="CB14" s="207">
        <v>81621.99732938224</v>
      </c>
      <c r="CC14" s="207">
        <v>-219239.09150170733</v>
      </c>
      <c r="CD14" s="207">
        <v>0</v>
      </c>
      <c r="CE14" s="207">
        <v>179164.50400443864</v>
      </c>
      <c r="CF14" s="207">
        <v>0</v>
      </c>
      <c r="CG14" s="207">
        <v>2130903.305971167</v>
      </c>
      <c r="CH14" s="207">
        <v>222507</v>
      </c>
      <c r="CI14" s="207">
        <v>21885.7282</v>
      </c>
      <c r="CJ14" s="207">
        <v>42140.222</v>
      </c>
      <c r="CK14" s="207">
        <v>-20254.4938</v>
      </c>
      <c r="CL14" s="207">
        <v>7574512.12989505</v>
      </c>
      <c r="CM14" s="207">
        <v>8685831.12707498</v>
      </c>
      <c r="CN14" s="207">
        <v>2499</v>
      </c>
    </row>
    <row r="15" spans="1:92" ht="9.75">
      <c r="A15" s="207">
        <v>61</v>
      </c>
      <c r="B15" s="207" t="s">
        <v>72</v>
      </c>
      <c r="C15" s="207">
        <v>17028</v>
      </c>
      <c r="D15" s="207">
        <v>59597769.6</v>
      </c>
      <c r="E15" s="207">
        <v>25308565.276217178</v>
      </c>
      <c r="F15" s="207">
        <v>4314027.061264258</v>
      </c>
      <c r="G15" s="207">
        <v>89220361.93748145</v>
      </c>
      <c r="H15" s="207">
        <v>3654.72</v>
      </c>
      <c r="I15" s="207">
        <v>62232572.16</v>
      </c>
      <c r="J15" s="207">
        <v>26987789.77748145</v>
      </c>
      <c r="K15" s="207">
        <v>999120.5625397365</v>
      </c>
      <c r="L15" s="207">
        <v>-2140021.7830920108</v>
      </c>
      <c r="M15" s="207">
        <v>0</v>
      </c>
      <c r="N15" s="207">
        <v>25846888.55692918</v>
      </c>
      <c r="O15" s="207">
        <v>8988612.931484478</v>
      </c>
      <c r="P15" s="207">
        <v>34835501.488413654</v>
      </c>
      <c r="Q15" s="207">
        <v>740</v>
      </c>
      <c r="R15" s="207">
        <v>122</v>
      </c>
      <c r="S15" s="207">
        <v>949</v>
      </c>
      <c r="T15" s="207">
        <v>487</v>
      </c>
      <c r="U15" s="207">
        <v>529</v>
      </c>
      <c r="V15" s="207">
        <v>9093</v>
      </c>
      <c r="W15" s="207">
        <v>2881</v>
      </c>
      <c r="X15" s="207">
        <v>1586</v>
      </c>
      <c r="Y15" s="207">
        <v>641</v>
      </c>
      <c r="Z15" s="207">
        <v>41</v>
      </c>
      <c r="AA15" s="207">
        <v>1</v>
      </c>
      <c r="AB15" s="207">
        <v>16139</v>
      </c>
      <c r="AC15" s="207">
        <v>847</v>
      </c>
      <c r="AD15" s="207">
        <v>5108</v>
      </c>
      <c r="AE15" s="480">
        <v>1.2617072368280058</v>
      </c>
      <c r="AF15" s="207">
        <v>25308565.276217178</v>
      </c>
      <c r="AG15" s="175">
        <v>787</v>
      </c>
      <c r="AH15" s="175">
        <v>7636</v>
      </c>
      <c r="AI15" s="175">
        <v>1.0564113327894797</v>
      </c>
      <c r="AJ15" s="175">
        <v>847</v>
      </c>
      <c r="AK15" s="175">
        <v>0.04974160206718346</v>
      </c>
      <c r="AL15" s="175">
        <v>0.046460522956720464</v>
      </c>
      <c r="AM15" s="175">
        <v>0</v>
      </c>
      <c r="AN15" s="175">
        <v>41</v>
      </c>
      <c r="AO15" s="175">
        <v>1</v>
      </c>
      <c r="AP15" s="175">
        <v>0</v>
      </c>
      <c r="AQ15" s="175">
        <v>0</v>
      </c>
      <c r="AR15" s="175">
        <v>248.76</v>
      </c>
      <c r="AS15" s="175">
        <v>68.45151953690304</v>
      </c>
      <c r="AT15" s="175">
        <v>0.2651587906843764</v>
      </c>
      <c r="AU15" s="175">
        <v>880</v>
      </c>
      <c r="AV15" s="175">
        <v>4666</v>
      </c>
      <c r="AW15" s="175">
        <v>0.18859837119588513</v>
      </c>
      <c r="AX15" s="175">
        <v>0.13313713746640013</v>
      </c>
      <c r="AY15" s="175">
        <v>0</v>
      </c>
      <c r="AZ15" s="207">
        <v>8304</v>
      </c>
      <c r="BA15" s="175">
        <v>6457</v>
      </c>
      <c r="BB15" s="175">
        <v>1.286046151463528</v>
      </c>
      <c r="BC15" s="175">
        <v>0.8963513040398161</v>
      </c>
      <c r="BD15" s="175">
        <v>0</v>
      </c>
      <c r="BE15" s="175">
        <v>1</v>
      </c>
      <c r="BF15" s="207">
        <v>-108437.34999999999</v>
      </c>
      <c r="BG15" s="207">
        <v>-132668.19999999998</v>
      </c>
      <c r="BH15" s="207">
        <v>-69814.79999999999</v>
      </c>
      <c r="BI15" s="207">
        <v>-286989.5</v>
      </c>
      <c r="BJ15" s="207">
        <v>0</v>
      </c>
      <c r="BK15" s="207">
        <v>0</v>
      </c>
      <c r="BL15" s="207">
        <v>482824</v>
      </c>
      <c r="BM15" s="207">
        <v>-1040149.7410287309</v>
      </c>
      <c r="BN15" s="207">
        <v>-724711.68</v>
      </c>
      <c r="BO15" s="207">
        <v>86203.58749876171</v>
      </c>
      <c r="BP15" s="207">
        <v>1410670</v>
      </c>
      <c r="BQ15" s="207">
        <v>454609</v>
      </c>
      <c r="BR15" s="207">
        <v>1074037.505485831</v>
      </c>
      <c r="BS15" s="207">
        <v>51148.73329094706</v>
      </c>
      <c r="BT15" s="207">
        <v>150656.3595286791</v>
      </c>
      <c r="BU15" s="207">
        <v>556585.7054233298</v>
      </c>
      <c r="BV15" s="207">
        <v>915212.8959526116</v>
      </c>
      <c r="BW15" s="207">
        <v>1382738.1902656096</v>
      </c>
      <c r="BX15" s="207">
        <v>451111.4276717849</v>
      </c>
      <c r="BY15" s="207">
        <v>771945.669483833</v>
      </c>
      <c r="BZ15" s="207">
        <v>1532.52</v>
      </c>
      <c r="CA15" s="207">
        <v>174267.8604379583</v>
      </c>
      <c r="CB15" s="207">
        <v>744827.96793672</v>
      </c>
      <c r="CC15" s="207">
        <v>-2140021.7830920108</v>
      </c>
      <c r="CD15" s="207">
        <v>0</v>
      </c>
      <c r="CE15" s="207">
        <v>964068.3356861084</v>
      </c>
      <c r="CF15" s="207">
        <v>0</v>
      </c>
      <c r="CG15" s="207">
        <v>8988612.931484478</v>
      </c>
      <c r="CH15" s="207">
        <v>933750</v>
      </c>
      <c r="CI15" s="207">
        <v>670369.3703</v>
      </c>
      <c r="CJ15" s="207">
        <v>338793.79126</v>
      </c>
      <c r="CK15" s="207">
        <v>331575.5790399999</v>
      </c>
      <c r="CL15" s="207">
        <v>35769251.488413654</v>
      </c>
      <c r="CM15" s="207">
        <v>40258577.80860715</v>
      </c>
      <c r="CN15" s="207">
        <v>17185</v>
      </c>
    </row>
    <row r="16" spans="1:92" ht="9.75">
      <c r="A16" s="207">
        <v>69</v>
      </c>
      <c r="B16" s="207" t="s">
        <v>73</v>
      </c>
      <c r="C16" s="207">
        <v>7147</v>
      </c>
      <c r="D16" s="207">
        <v>26942678.399999995</v>
      </c>
      <c r="E16" s="207">
        <v>11938678.304551192</v>
      </c>
      <c r="F16" s="207">
        <v>1515304.992980998</v>
      </c>
      <c r="G16" s="207">
        <v>40396661.69753219</v>
      </c>
      <c r="H16" s="207">
        <v>3654.72</v>
      </c>
      <c r="I16" s="207">
        <v>26120283.84</v>
      </c>
      <c r="J16" s="207">
        <v>14276377.857532192</v>
      </c>
      <c r="K16" s="207">
        <v>565095.9438509707</v>
      </c>
      <c r="L16" s="207">
        <v>-1086273.2119110976</v>
      </c>
      <c r="M16" s="207">
        <v>0</v>
      </c>
      <c r="N16" s="207">
        <v>13755200.589472065</v>
      </c>
      <c r="O16" s="207">
        <v>6702918.135723311</v>
      </c>
      <c r="P16" s="207">
        <v>20458118.725195378</v>
      </c>
      <c r="Q16" s="207">
        <v>464</v>
      </c>
      <c r="R16" s="207">
        <v>89</v>
      </c>
      <c r="S16" s="207">
        <v>582</v>
      </c>
      <c r="T16" s="207">
        <v>312</v>
      </c>
      <c r="U16" s="207">
        <v>310</v>
      </c>
      <c r="V16" s="207">
        <v>3711</v>
      </c>
      <c r="W16" s="207">
        <v>978</v>
      </c>
      <c r="X16" s="207">
        <v>503</v>
      </c>
      <c r="Y16" s="207">
        <v>198</v>
      </c>
      <c r="Z16" s="207">
        <v>9</v>
      </c>
      <c r="AA16" s="207">
        <v>0</v>
      </c>
      <c r="AB16" s="207">
        <v>7017</v>
      </c>
      <c r="AC16" s="207">
        <v>121</v>
      </c>
      <c r="AD16" s="207">
        <v>1679</v>
      </c>
      <c r="AE16" s="480">
        <v>1.4180357418479683</v>
      </c>
      <c r="AF16" s="207">
        <v>11938678.304551192</v>
      </c>
      <c r="AG16" s="175">
        <v>229</v>
      </c>
      <c r="AH16" s="175">
        <v>3004</v>
      </c>
      <c r="AI16" s="175">
        <v>0.7813755055158673</v>
      </c>
      <c r="AJ16" s="175">
        <v>121</v>
      </c>
      <c r="AK16" s="175">
        <v>0.016930180495312717</v>
      </c>
      <c r="AL16" s="175">
        <v>0.013649101384849722</v>
      </c>
      <c r="AM16" s="175">
        <v>0</v>
      </c>
      <c r="AN16" s="175">
        <v>9</v>
      </c>
      <c r="AO16" s="175">
        <v>0</v>
      </c>
      <c r="AP16" s="175">
        <v>0</v>
      </c>
      <c r="AQ16" s="175">
        <v>0</v>
      </c>
      <c r="AR16" s="175">
        <v>766.18</v>
      </c>
      <c r="AS16" s="175">
        <v>9.328095225664988</v>
      </c>
      <c r="AT16" s="175">
        <v>1.9457908288687358</v>
      </c>
      <c r="AU16" s="175">
        <v>272</v>
      </c>
      <c r="AV16" s="175">
        <v>1890</v>
      </c>
      <c r="AW16" s="175">
        <v>0.1439153439153439</v>
      </c>
      <c r="AX16" s="175">
        <v>0.08845411018585891</v>
      </c>
      <c r="AY16" s="175">
        <v>0.1656</v>
      </c>
      <c r="AZ16" s="207">
        <v>2858</v>
      </c>
      <c r="BA16" s="175">
        <v>2717</v>
      </c>
      <c r="BB16" s="175">
        <v>1.0518954729481045</v>
      </c>
      <c r="BC16" s="175">
        <v>0.6622006255243926</v>
      </c>
      <c r="BD16" s="175">
        <v>0</v>
      </c>
      <c r="BE16" s="175">
        <v>0</v>
      </c>
      <c r="BF16" s="207">
        <v>-45753.81</v>
      </c>
      <c r="BG16" s="207">
        <v>-55977.72</v>
      </c>
      <c r="BH16" s="207">
        <v>-29302.699999999997</v>
      </c>
      <c r="BI16" s="207">
        <v>-121091.7</v>
      </c>
      <c r="BJ16" s="207">
        <v>0</v>
      </c>
      <c r="BK16" s="207">
        <v>0</v>
      </c>
      <c r="BL16" s="207">
        <v>4482</v>
      </c>
      <c r="BM16" s="207">
        <v>-207133.97192495762</v>
      </c>
      <c r="BN16" s="207">
        <v>-304176.32</v>
      </c>
      <c r="BO16" s="207">
        <v>-113460.30353241414</v>
      </c>
      <c r="BP16" s="207">
        <v>673244</v>
      </c>
      <c r="BQ16" s="207">
        <v>206380</v>
      </c>
      <c r="BR16" s="207">
        <v>508460.5721752701</v>
      </c>
      <c r="BS16" s="207">
        <v>25606.347000850088</v>
      </c>
      <c r="BT16" s="207">
        <v>17551.09041727703</v>
      </c>
      <c r="BU16" s="207">
        <v>266734.2517578432</v>
      </c>
      <c r="BV16" s="207">
        <v>405559.0589041466</v>
      </c>
      <c r="BW16" s="207">
        <v>652159.7036758711</v>
      </c>
      <c r="BX16" s="207">
        <v>173760.4940445491</v>
      </c>
      <c r="BY16" s="207">
        <v>335303.7363628708</v>
      </c>
      <c r="BZ16" s="207">
        <v>643.23</v>
      </c>
      <c r="CA16" s="207">
        <v>4625.103546274266</v>
      </c>
      <c r="CB16" s="207">
        <v>-103709.96998613988</v>
      </c>
      <c r="CC16" s="207">
        <v>-1086273.2119110976</v>
      </c>
      <c r="CD16" s="207">
        <v>0</v>
      </c>
      <c r="CE16" s="207">
        <v>468130.4467721238</v>
      </c>
      <c r="CF16" s="207">
        <v>0</v>
      </c>
      <c r="CG16" s="207">
        <v>6702918.135723311</v>
      </c>
      <c r="CH16" s="207">
        <v>538034</v>
      </c>
      <c r="CI16" s="207">
        <v>352142.7261000001</v>
      </c>
      <c r="CJ16" s="207">
        <v>66907.79764</v>
      </c>
      <c r="CK16" s="207">
        <v>285234.9284600001</v>
      </c>
      <c r="CL16" s="207">
        <v>20996152.725195378</v>
      </c>
      <c r="CM16" s="207">
        <v>23032800.62311954</v>
      </c>
      <c r="CN16" s="207">
        <v>7251</v>
      </c>
    </row>
    <row r="17" spans="1:92" ht="9.75">
      <c r="A17" s="207">
        <v>71</v>
      </c>
      <c r="B17" s="207" t="s">
        <v>74</v>
      </c>
      <c r="C17" s="207">
        <v>6854</v>
      </c>
      <c r="D17" s="207">
        <v>26581817.490000002</v>
      </c>
      <c r="E17" s="207">
        <v>11228299.92289022</v>
      </c>
      <c r="F17" s="207">
        <v>1658550.1372283965</v>
      </c>
      <c r="G17" s="207">
        <v>39468667.550118625</v>
      </c>
      <c r="H17" s="207">
        <v>3654.72</v>
      </c>
      <c r="I17" s="207">
        <v>25049450.88</v>
      </c>
      <c r="J17" s="207">
        <v>14419216.670118626</v>
      </c>
      <c r="K17" s="207">
        <v>697246.013299621</v>
      </c>
      <c r="L17" s="207">
        <v>-969140.4143016965</v>
      </c>
      <c r="M17" s="207">
        <v>0</v>
      </c>
      <c r="N17" s="207">
        <v>14147322.26911655</v>
      </c>
      <c r="O17" s="207">
        <v>6991045.427135898</v>
      </c>
      <c r="P17" s="207">
        <v>21138367.69625245</v>
      </c>
      <c r="Q17" s="207">
        <v>519</v>
      </c>
      <c r="R17" s="207">
        <v>101</v>
      </c>
      <c r="S17" s="207">
        <v>599</v>
      </c>
      <c r="T17" s="207">
        <v>302</v>
      </c>
      <c r="U17" s="207">
        <v>308</v>
      </c>
      <c r="V17" s="207">
        <v>3496</v>
      </c>
      <c r="W17" s="207">
        <v>883</v>
      </c>
      <c r="X17" s="207">
        <v>463</v>
      </c>
      <c r="Y17" s="207">
        <v>183</v>
      </c>
      <c r="Z17" s="207">
        <v>2</v>
      </c>
      <c r="AA17" s="207">
        <v>2</v>
      </c>
      <c r="AB17" s="207">
        <v>6757</v>
      </c>
      <c r="AC17" s="207">
        <v>93</v>
      </c>
      <c r="AD17" s="207">
        <v>1529</v>
      </c>
      <c r="AE17" s="480">
        <v>1.3906716912100476</v>
      </c>
      <c r="AF17" s="207">
        <v>11228299.92289022</v>
      </c>
      <c r="AG17" s="175">
        <v>272</v>
      </c>
      <c r="AH17" s="175">
        <v>2931</v>
      </c>
      <c r="AI17" s="175">
        <v>0.9512120087350384</v>
      </c>
      <c r="AJ17" s="175">
        <v>93</v>
      </c>
      <c r="AK17" s="175">
        <v>0.013568718996206595</v>
      </c>
      <c r="AL17" s="175">
        <v>0.010287639885743598</v>
      </c>
      <c r="AM17" s="175">
        <v>0</v>
      </c>
      <c r="AN17" s="175">
        <v>2</v>
      </c>
      <c r="AO17" s="175">
        <v>2</v>
      </c>
      <c r="AP17" s="175">
        <v>0</v>
      </c>
      <c r="AQ17" s="175">
        <v>0</v>
      </c>
      <c r="AR17" s="175">
        <v>1049.82</v>
      </c>
      <c r="AS17" s="175">
        <v>6.528738259892172</v>
      </c>
      <c r="AT17" s="175">
        <v>2.7800964624997766</v>
      </c>
      <c r="AU17" s="175">
        <v>208</v>
      </c>
      <c r="AV17" s="175">
        <v>1827</v>
      </c>
      <c r="AW17" s="175">
        <v>0.11384783798576902</v>
      </c>
      <c r="AX17" s="175">
        <v>0.05838660425628401</v>
      </c>
      <c r="AY17" s="175">
        <v>0.27553333333333335</v>
      </c>
      <c r="AZ17" s="207">
        <v>2631</v>
      </c>
      <c r="BA17" s="175">
        <v>2540</v>
      </c>
      <c r="BB17" s="175">
        <v>1.0358267716535432</v>
      </c>
      <c r="BC17" s="175">
        <v>0.6461319242298313</v>
      </c>
      <c r="BD17" s="175">
        <v>0</v>
      </c>
      <c r="BE17" s="175">
        <v>2</v>
      </c>
      <c r="BF17" s="207">
        <v>-43980.7</v>
      </c>
      <c r="BG17" s="207">
        <v>-53808.4</v>
      </c>
      <c r="BH17" s="207">
        <v>-28101.399999999998</v>
      </c>
      <c r="BI17" s="207">
        <v>-116399</v>
      </c>
      <c r="BJ17" s="207">
        <v>0</v>
      </c>
      <c r="BK17" s="207">
        <v>0</v>
      </c>
      <c r="BL17" s="207">
        <v>-163632</v>
      </c>
      <c r="BM17" s="207">
        <v>-69798.66716440424</v>
      </c>
      <c r="BN17" s="207">
        <v>-291706.24</v>
      </c>
      <c r="BO17" s="207">
        <v>-11546.944741975516</v>
      </c>
      <c r="BP17" s="207">
        <v>634501</v>
      </c>
      <c r="BQ17" s="207">
        <v>212191</v>
      </c>
      <c r="BR17" s="207">
        <v>544020.7642299961</v>
      </c>
      <c r="BS17" s="207">
        <v>27631.80870777018</v>
      </c>
      <c r="BT17" s="207">
        <v>55173.66513559559</v>
      </c>
      <c r="BU17" s="207">
        <v>266304.3682504167</v>
      </c>
      <c r="BV17" s="207">
        <v>385249.7227873716</v>
      </c>
      <c r="BW17" s="207">
        <v>604374.3985771033</v>
      </c>
      <c r="BX17" s="207">
        <v>179116.97758029238</v>
      </c>
      <c r="BY17" s="207">
        <v>325294.08349442657</v>
      </c>
      <c r="BZ17" s="207">
        <v>616.86</v>
      </c>
      <c r="CA17" s="207">
        <v>19359.71760468343</v>
      </c>
      <c r="CB17" s="207">
        <v>-155202.3671372921</v>
      </c>
      <c r="CC17" s="207">
        <v>-969140.4143016965</v>
      </c>
      <c r="CD17" s="207">
        <v>0</v>
      </c>
      <c r="CE17" s="207">
        <v>434772.68273360416</v>
      </c>
      <c r="CF17" s="207">
        <v>0</v>
      </c>
      <c r="CG17" s="207">
        <v>6991045.427135898</v>
      </c>
      <c r="CH17" s="207">
        <v>183552</v>
      </c>
      <c r="CI17" s="207">
        <v>201185.57600000003</v>
      </c>
      <c r="CJ17" s="207">
        <v>154967.268</v>
      </c>
      <c r="CK17" s="207">
        <v>46218.30800000002</v>
      </c>
      <c r="CL17" s="207">
        <v>21321919.69625245</v>
      </c>
      <c r="CM17" s="207">
        <v>24258113.040708676</v>
      </c>
      <c r="CN17" s="207">
        <v>6970</v>
      </c>
    </row>
    <row r="18" spans="1:92" ht="9.75">
      <c r="A18" s="207">
        <v>72</v>
      </c>
      <c r="B18" s="207" t="s">
        <v>75</v>
      </c>
      <c r="C18" s="207">
        <v>974</v>
      </c>
      <c r="D18" s="207">
        <v>3474342.39</v>
      </c>
      <c r="E18" s="207">
        <v>1394712.7767714842</v>
      </c>
      <c r="F18" s="207">
        <v>1387685.9359811137</v>
      </c>
      <c r="G18" s="207">
        <v>6256741.102752598</v>
      </c>
      <c r="H18" s="207">
        <v>3654.72</v>
      </c>
      <c r="I18" s="207">
        <v>3559697.28</v>
      </c>
      <c r="J18" s="207">
        <v>2697043.822752598</v>
      </c>
      <c r="K18" s="207">
        <v>195212.63566663564</v>
      </c>
      <c r="L18" s="207">
        <v>-54433.951604674265</v>
      </c>
      <c r="M18" s="207">
        <v>0</v>
      </c>
      <c r="N18" s="207">
        <v>2837822.50681456</v>
      </c>
      <c r="O18" s="207">
        <v>451961.67876172287</v>
      </c>
      <c r="P18" s="207">
        <v>3289784.185576283</v>
      </c>
      <c r="Q18" s="207">
        <v>55</v>
      </c>
      <c r="R18" s="207">
        <v>5</v>
      </c>
      <c r="S18" s="207">
        <v>59</v>
      </c>
      <c r="T18" s="207">
        <v>20</v>
      </c>
      <c r="U18" s="207">
        <v>18</v>
      </c>
      <c r="V18" s="207">
        <v>451</v>
      </c>
      <c r="W18" s="207">
        <v>213</v>
      </c>
      <c r="X18" s="207">
        <v>122</v>
      </c>
      <c r="Y18" s="207">
        <v>31</v>
      </c>
      <c r="Z18" s="207">
        <v>0</v>
      </c>
      <c r="AA18" s="207">
        <v>0</v>
      </c>
      <c r="AB18" s="207">
        <v>959</v>
      </c>
      <c r="AC18" s="207">
        <v>15</v>
      </c>
      <c r="AD18" s="207">
        <v>366</v>
      </c>
      <c r="AE18" s="480">
        <v>1.2155715642106346</v>
      </c>
      <c r="AF18" s="207">
        <v>1394712.7767714842</v>
      </c>
      <c r="AG18" s="175">
        <v>29</v>
      </c>
      <c r="AH18" s="175">
        <v>382</v>
      </c>
      <c r="AI18" s="175">
        <v>0.778142030436456</v>
      </c>
      <c r="AJ18" s="175">
        <v>15</v>
      </c>
      <c r="AK18" s="175">
        <v>0.015400410677618069</v>
      </c>
      <c r="AL18" s="175">
        <v>0.012119331567155073</v>
      </c>
      <c r="AM18" s="175">
        <v>0</v>
      </c>
      <c r="AN18" s="175">
        <v>0</v>
      </c>
      <c r="AO18" s="175">
        <v>0</v>
      </c>
      <c r="AP18" s="175">
        <v>2</v>
      </c>
      <c r="AQ18" s="175">
        <v>0</v>
      </c>
      <c r="AR18" s="175">
        <v>201.47</v>
      </c>
      <c r="AS18" s="175">
        <v>4.834466669975678</v>
      </c>
      <c r="AT18" s="175">
        <v>3.754400098285193</v>
      </c>
      <c r="AU18" s="175">
        <v>22</v>
      </c>
      <c r="AV18" s="175">
        <v>242</v>
      </c>
      <c r="AW18" s="175">
        <v>0.09090909090909091</v>
      </c>
      <c r="AX18" s="175">
        <v>0.035447857179605906</v>
      </c>
      <c r="AY18" s="175">
        <v>0.8278666666666666</v>
      </c>
      <c r="AZ18" s="207">
        <v>246</v>
      </c>
      <c r="BA18" s="175">
        <v>340</v>
      </c>
      <c r="BB18" s="175">
        <v>0.7235294117647059</v>
      </c>
      <c r="BC18" s="175">
        <v>0.333834564340994</v>
      </c>
      <c r="BD18" s="175">
        <v>0</v>
      </c>
      <c r="BE18" s="175">
        <v>0</v>
      </c>
      <c r="BF18" s="207">
        <v>-6101.7699999999995</v>
      </c>
      <c r="BG18" s="207">
        <v>-7465.24</v>
      </c>
      <c r="BH18" s="207">
        <v>-3993.3999999999996</v>
      </c>
      <c r="BI18" s="207">
        <v>-16148.9</v>
      </c>
      <c r="BJ18" s="207">
        <v>0</v>
      </c>
      <c r="BK18" s="207">
        <v>0</v>
      </c>
      <c r="BL18" s="207">
        <v>15733</v>
      </c>
      <c r="BM18" s="207">
        <v>-15013.089886326215</v>
      </c>
      <c r="BN18" s="207">
        <v>-41453.44</v>
      </c>
      <c r="BO18" s="207">
        <v>41680.04681260092</v>
      </c>
      <c r="BP18" s="207">
        <v>91944</v>
      </c>
      <c r="BQ18" s="207">
        <v>29110</v>
      </c>
      <c r="BR18" s="207">
        <v>64666.662457567494</v>
      </c>
      <c r="BS18" s="207">
        <v>2692.481337280261</v>
      </c>
      <c r="BT18" s="207">
        <v>2749.036578336676</v>
      </c>
      <c r="BU18" s="207">
        <v>30690.44953189687</v>
      </c>
      <c r="BV18" s="207">
        <v>42842.84598806375</v>
      </c>
      <c r="BW18" s="207">
        <v>82798.02735515137</v>
      </c>
      <c r="BX18" s="207">
        <v>22645.889351010537</v>
      </c>
      <c r="BY18" s="207">
        <v>41418.5949413645</v>
      </c>
      <c r="BZ18" s="207">
        <v>87.66</v>
      </c>
      <c r="CA18" s="207">
        <v>8104.021469051028</v>
      </c>
      <c r="CB18" s="207">
        <v>65604.72828165196</v>
      </c>
      <c r="CC18" s="207">
        <v>-54433.951604674265</v>
      </c>
      <c r="CD18" s="207">
        <v>0</v>
      </c>
      <c r="CE18" s="207">
        <v>52973.78568042439</v>
      </c>
      <c r="CF18" s="207">
        <v>0</v>
      </c>
      <c r="CG18" s="207">
        <v>451961.67876172287</v>
      </c>
      <c r="CH18" s="207">
        <v>-200663</v>
      </c>
      <c r="CI18" s="207">
        <v>0</v>
      </c>
      <c r="CJ18" s="207">
        <v>0</v>
      </c>
      <c r="CK18" s="207">
        <v>0</v>
      </c>
      <c r="CL18" s="207">
        <v>3089121.185576283</v>
      </c>
      <c r="CM18" s="207">
        <v>3383818.6813888038</v>
      </c>
      <c r="CN18" s="207">
        <v>967</v>
      </c>
    </row>
    <row r="19" spans="1:92" ht="9.75">
      <c r="A19" s="207">
        <v>74</v>
      </c>
      <c r="B19" s="207" t="s">
        <v>76</v>
      </c>
      <c r="C19" s="207">
        <v>1165</v>
      </c>
      <c r="D19" s="207">
        <v>4461093.93</v>
      </c>
      <c r="E19" s="207">
        <v>1952353.0241879458</v>
      </c>
      <c r="F19" s="207">
        <v>492493.27143321803</v>
      </c>
      <c r="G19" s="207">
        <v>6905940.225621164</v>
      </c>
      <c r="H19" s="207">
        <v>3654.72</v>
      </c>
      <c r="I19" s="207">
        <v>4257748.8</v>
      </c>
      <c r="J19" s="207">
        <v>2648191.425621164</v>
      </c>
      <c r="K19" s="207">
        <v>259960.0012955033</v>
      </c>
      <c r="L19" s="207">
        <v>-111895.75550775416</v>
      </c>
      <c r="M19" s="207">
        <v>0</v>
      </c>
      <c r="N19" s="207">
        <v>2796255.671408913</v>
      </c>
      <c r="O19" s="207">
        <v>1142943.812165653</v>
      </c>
      <c r="P19" s="207">
        <v>3939199.4835745664</v>
      </c>
      <c r="Q19" s="207">
        <v>51</v>
      </c>
      <c r="R19" s="207">
        <v>14</v>
      </c>
      <c r="S19" s="207">
        <v>64</v>
      </c>
      <c r="T19" s="207">
        <v>35</v>
      </c>
      <c r="U19" s="207">
        <v>42</v>
      </c>
      <c r="V19" s="207">
        <v>567</v>
      </c>
      <c r="W19" s="207">
        <v>210</v>
      </c>
      <c r="X19" s="207">
        <v>127</v>
      </c>
      <c r="Y19" s="207">
        <v>55</v>
      </c>
      <c r="Z19" s="207">
        <v>9</v>
      </c>
      <c r="AA19" s="207">
        <v>0</v>
      </c>
      <c r="AB19" s="207">
        <v>1115</v>
      </c>
      <c r="AC19" s="207">
        <v>41</v>
      </c>
      <c r="AD19" s="207">
        <v>392</v>
      </c>
      <c r="AE19" s="480">
        <v>1.4226141814437403</v>
      </c>
      <c r="AF19" s="207">
        <v>1952353.0241879458</v>
      </c>
      <c r="AG19" s="175">
        <v>31</v>
      </c>
      <c r="AH19" s="175">
        <v>493</v>
      </c>
      <c r="AI19" s="175">
        <v>0.644523880844129</v>
      </c>
      <c r="AJ19" s="175">
        <v>41</v>
      </c>
      <c r="AK19" s="175">
        <v>0.0351931330472103</v>
      </c>
      <c r="AL19" s="175">
        <v>0.0319120539367473</v>
      </c>
      <c r="AM19" s="175">
        <v>0</v>
      </c>
      <c r="AN19" s="175">
        <v>9</v>
      </c>
      <c r="AO19" s="175">
        <v>0</v>
      </c>
      <c r="AP19" s="175">
        <v>0</v>
      </c>
      <c r="AQ19" s="175">
        <v>0</v>
      </c>
      <c r="AR19" s="175">
        <v>413.02</v>
      </c>
      <c r="AS19" s="175">
        <v>2.8206866495569223</v>
      </c>
      <c r="AT19" s="175">
        <v>6.43478854475533</v>
      </c>
      <c r="AU19" s="175">
        <v>48</v>
      </c>
      <c r="AV19" s="175">
        <v>293</v>
      </c>
      <c r="AW19" s="175">
        <v>0.16382252559726962</v>
      </c>
      <c r="AX19" s="175">
        <v>0.10836129186778462</v>
      </c>
      <c r="AY19" s="175">
        <v>0.8701</v>
      </c>
      <c r="AZ19" s="207">
        <v>421</v>
      </c>
      <c r="BA19" s="175">
        <v>452</v>
      </c>
      <c r="BB19" s="175">
        <v>0.9314159292035398</v>
      </c>
      <c r="BC19" s="175">
        <v>0.5417210817798279</v>
      </c>
      <c r="BD19" s="175">
        <v>0</v>
      </c>
      <c r="BE19" s="175">
        <v>0</v>
      </c>
      <c r="BF19" s="207">
        <v>-7389.009999999999</v>
      </c>
      <c r="BG19" s="207">
        <v>-9040.119999999999</v>
      </c>
      <c r="BH19" s="207">
        <v>-4776.5</v>
      </c>
      <c r="BI19" s="207">
        <v>-19555.7</v>
      </c>
      <c r="BJ19" s="207">
        <v>0</v>
      </c>
      <c r="BK19" s="207">
        <v>0</v>
      </c>
      <c r="BL19" s="207">
        <v>-19165</v>
      </c>
      <c r="BM19" s="207">
        <v>-6686.180314629561</v>
      </c>
      <c r="BN19" s="207">
        <v>-49582.4</v>
      </c>
      <c r="BO19" s="207">
        <v>55446.229112515226</v>
      </c>
      <c r="BP19" s="207">
        <v>134532</v>
      </c>
      <c r="BQ19" s="207">
        <v>43901</v>
      </c>
      <c r="BR19" s="207">
        <v>113348.03837721006</v>
      </c>
      <c r="BS19" s="207">
        <v>6717.396987965677</v>
      </c>
      <c r="BT19" s="207">
        <v>-22207.792950525472</v>
      </c>
      <c r="BU19" s="207">
        <v>47988.048405878326</v>
      </c>
      <c r="BV19" s="207">
        <v>78960.37039101298</v>
      </c>
      <c r="BW19" s="207">
        <v>126139.30799040805</v>
      </c>
      <c r="BX19" s="207">
        <v>43112.16629393451</v>
      </c>
      <c r="BY19" s="207">
        <v>69397.4331890611</v>
      </c>
      <c r="BZ19" s="207">
        <v>104.85</v>
      </c>
      <c r="CA19" s="207">
        <v>-15533.024305639843</v>
      </c>
      <c r="CB19" s="207">
        <v>20853.05480687538</v>
      </c>
      <c r="CC19" s="207">
        <v>-111895.75550775416</v>
      </c>
      <c r="CD19" s="207">
        <v>0</v>
      </c>
      <c r="CE19" s="207">
        <v>98139.99478287334</v>
      </c>
      <c r="CF19" s="207">
        <v>0</v>
      </c>
      <c r="CG19" s="207">
        <v>1142943.812165653</v>
      </c>
      <c r="CH19" s="207">
        <v>-284851</v>
      </c>
      <c r="CI19" s="207">
        <v>6796.81</v>
      </c>
      <c r="CJ19" s="207">
        <v>6796.81</v>
      </c>
      <c r="CK19" s="207">
        <v>0</v>
      </c>
      <c r="CL19" s="207">
        <v>3654348.4835745664</v>
      </c>
      <c r="CM19" s="207">
        <v>4098372.595858327</v>
      </c>
      <c r="CN19" s="207">
        <v>1171</v>
      </c>
    </row>
    <row r="20" spans="1:92" ht="9.75">
      <c r="A20" s="207">
        <v>75</v>
      </c>
      <c r="B20" s="207" t="s">
        <v>77</v>
      </c>
      <c r="C20" s="207">
        <v>20286</v>
      </c>
      <c r="D20" s="207">
        <v>72047307.83</v>
      </c>
      <c r="E20" s="207">
        <v>28721558.08415028</v>
      </c>
      <c r="F20" s="207">
        <v>5499041.761691365</v>
      </c>
      <c r="G20" s="207">
        <v>106267907.67584164</v>
      </c>
      <c r="H20" s="207">
        <v>3654.72</v>
      </c>
      <c r="I20" s="207">
        <v>74139649.92</v>
      </c>
      <c r="J20" s="207">
        <v>32128257.755841643</v>
      </c>
      <c r="K20" s="207">
        <v>572520.2631473333</v>
      </c>
      <c r="L20" s="207">
        <v>-2602533.1863341224</v>
      </c>
      <c r="M20" s="207">
        <v>0</v>
      </c>
      <c r="N20" s="207">
        <v>30098244.832654852</v>
      </c>
      <c r="O20" s="207">
        <v>4243976.933262137</v>
      </c>
      <c r="P20" s="207">
        <v>34342221.76591699</v>
      </c>
      <c r="Q20" s="207">
        <v>888</v>
      </c>
      <c r="R20" s="207">
        <v>189</v>
      </c>
      <c r="S20" s="207">
        <v>1195</v>
      </c>
      <c r="T20" s="207">
        <v>623</v>
      </c>
      <c r="U20" s="207">
        <v>654</v>
      </c>
      <c r="V20" s="207">
        <v>10873</v>
      </c>
      <c r="W20" s="207">
        <v>3251</v>
      </c>
      <c r="X20" s="207">
        <v>1849</v>
      </c>
      <c r="Y20" s="207">
        <v>764</v>
      </c>
      <c r="Z20" s="207">
        <v>71</v>
      </c>
      <c r="AA20" s="207">
        <v>0</v>
      </c>
      <c r="AB20" s="207">
        <v>18994</v>
      </c>
      <c r="AC20" s="207">
        <v>1221</v>
      </c>
      <c r="AD20" s="207">
        <v>5864</v>
      </c>
      <c r="AE20" s="480">
        <v>1.2018943239079416</v>
      </c>
      <c r="AF20" s="207">
        <v>28721558.08415028</v>
      </c>
      <c r="AG20" s="175">
        <v>994</v>
      </c>
      <c r="AH20" s="175">
        <v>9035</v>
      </c>
      <c r="AI20" s="175">
        <v>1.127671141320023</v>
      </c>
      <c r="AJ20" s="175">
        <v>1221</v>
      </c>
      <c r="AK20" s="175">
        <v>0.060189293108547766</v>
      </c>
      <c r="AL20" s="175">
        <v>0.05690821399808477</v>
      </c>
      <c r="AM20" s="175">
        <v>0</v>
      </c>
      <c r="AN20" s="175">
        <v>71</v>
      </c>
      <c r="AO20" s="175">
        <v>0</v>
      </c>
      <c r="AP20" s="175">
        <v>0</v>
      </c>
      <c r="AQ20" s="175">
        <v>0</v>
      </c>
      <c r="AR20" s="175">
        <v>609.8</v>
      </c>
      <c r="AS20" s="175">
        <v>33.26664480157429</v>
      </c>
      <c r="AT20" s="175">
        <v>0.5456072365931605</v>
      </c>
      <c r="AU20" s="175">
        <v>817</v>
      </c>
      <c r="AV20" s="175">
        <v>5940</v>
      </c>
      <c r="AW20" s="175">
        <v>0.13754208754208755</v>
      </c>
      <c r="AX20" s="175">
        <v>0.08208085381260255</v>
      </c>
      <c r="AY20" s="175">
        <v>0</v>
      </c>
      <c r="AZ20" s="207">
        <v>6272</v>
      </c>
      <c r="BA20" s="175">
        <v>7641</v>
      </c>
      <c r="BB20" s="175">
        <v>0.8208349692448632</v>
      </c>
      <c r="BC20" s="175">
        <v>0.43114012182115136</v>
      </c>
      <c r="BD20" s="175">
        <v>0</v>
      </c>
      <c r="BE20" s="175">
        <v>0</v>
      </c>
      <c r="BF20" s="207">
        <v>-129310.82999999999</v>
      </c>
      <c r="BG20" s="207">
        <v>-158205.96</v>
      </c>
      <c r="BH20" s="207">
        <v>-83172.59999999999</v>
      </c>
      <c r="BI20" s="207">
        <v>-342233.1</v>
      </c>
      <c r="BJ20" s="207">
        <v>0</v>
      </c>
      <c r="BK20" s="207">
        <v>0</v>
      </c>
      <c r="BL20" s="207">
        <v>392114</v>
      </c>
      <c r="BM20" s="207">
        <v>-891907.7634230434</v>
      </c>
      <c r="BN20" s="207">
        <v>-863372.16</v>
      </c>
      <c r="BO20" s="207">
        <v>23925.74176903814</v>
      </c>
      <c r="BP20" s="207">
        <v>1568738</v>
      </c>
      <c r="BQ20" s="207">
        <v>487407</v>
      </c>
      <c r="BR20" s="207">
        <v>1128575.9968275034</v>
      </c>
      <c r="BS20" s="207">
        <v>45002.87181555037</v>
      </c>
      <c r="BT20" s="207">
        <v>86422.8722369255</v>
      </c>
      <c r="BU20" s="207">
        <v>566255.6106364303</v>
      </c>
      <c r="BV20" s="207">
        <v>942635.9640092317</v>
      </c>
      <c r="BW20" s="207">
        <v>1584026.0242622562</v>
      </c>
      <c r="BX20" s="207">
        <v>445115.1609238217</v>
      </c>
      <c r="BY20" s="207">
        <v>809673.0418329524</v>
      </c>
      <c r="BZ20" s="207">
        <v>1825.74</v>
      </c>
      <c r="CA20" s="207">
        <v>69772.50531988277</v>
      </c>
      <c r="CB20" s="207">
        <v>487637.9870889209</v>
      </c>
      <c r="CC20" s="207">
        <v>-2602533.1863341224</v>
      </c>
      <c r="CD20" s="207">
        <v>0</v>
      </c>
      <c r="CE20" s="207">
        <v>1070608.4244448629</v>
      </c>
      <c r="CF20" s="207">
        <v>0</v>
      </c>
      <c r="CG20" s="207">
        <v>4243976.933262137</v>
      </c>
      <c r="CH20" s="207">
        <v>-1641755</v>
      </c>
      <c r="CI20" s="207">
        <v>210701.11000000004</v>
      </c>
      <c r="CJ20" s="207">
        <v>244386.10036</v>
      </c>
      <c r="CK20" s="207">
        <v>-33684.99035999997</v>
      </c>
      <c r="CL20" s="207">
        <v>32700466.76591699</v>
      </c>
      <c r="CM20" s="207">
        <v>37314636.827580504</v>
      </c>
      <c r="CN20" s="207">
        <v>20493</v>
      </c>
    </row>
    <row r="21" spans="1:92" ht="9.75">
      <c r="A21" s="207">
        <v>77</v>
      </c>
      <c r="B21" s="207" t="s">
        <v>78</v>
      </c>
      <c r="C21" s="207">
        <v>4939</v>
      </c>
      <c r="D21" s="207">
        <v>18857917.96</v>
      </c>
      <c r="E21" s="207">
        <v>8672775.439812843</v>
      </c>
      <c r="F21" s="207">
        <v>1184947.906200421</v>
      </c>
      <c r="G21" s="207">
        <v>28715641.306013264</v>
      </c>
      <c r="H21" s="207">
        <v>3654.72</v>
      </c>
      <c r="I21" s="207">
        <v>18050662.08</v>
      </c>
      <c r="J21" s="207">
        <v>10664979.226013266</v>
      </c>
      <c r="K21" s="207">
        <v>260640.56449548417</v>
      </c>
      <c r="L21" s="207">
        <v>-376550.7798417995</v>
      </c>
      <c r="M21" s="207">
        <v>0</v>
      </c>
      <c r="N21" s="207">
        <v>10549069.01066695</v>
      </c>
      <c r="O21" s="207">
        <v>5131154.417682431</v>
      </c>
      <c r="P21" s="207">
        <v>15680223.42834938</v>
      </c>
      <c r="Q21" s="207">
        <v>237</v>
      </c>
      <c r="R21" s="207">
        <v>53</v>
      </c>
      <c r="S21" s="207">
        <v>348</v>
      </c>
      <c r="T21" s="207">
        <v>158</v>
      </c>
      <c r="U21" s="207">
        <v>141</v>
      </c>
      <c r="V21" s="207">
        <v>2518</v>
      </c>
      <c r="W21" s="207">
        <v>800</v>
      </c>
      <c r="X21" s="207">
        <v>463</v>
      </c>
      <c r="Y21" s="207">
        <v>221</v>
      </c>
      <c r="Z21" s="207">
        <v>10</v>
      </c>
      <c r="AA21" s="207">
        <v>0</v>
      </c>
      <c r="AB21" s="207">
        <v>4860</v>
      </c>
      <c r="AC21" s="207">
        <v>69</v>
      </c>
      <c r="AD21" s="207">
        <v>1484</v>
      </c>
      <c r="AE21" s="480">
        <v>1.4906434803091506</v>
      </c>
      <c r="AF21" s="207">
        <v>8672775.439812843</v>
      </c>
      <c r="AG21" s="175">
        <v>231</v>
      </c>
      <c r="AH21" s="175">
        <v>2072</v>
      </c>
      <c r="AI21" s="175">
        <v>1.1427374692080574</v>
      </c>
      <c r="AJ21" s="175">
        <v>69</v>
      </c>
      <c r="AK21" s="175">
        <v>0.013970439360194372</v>
      </c>
      <c r="AL21" s="175">
        <v>0.010689360249731376</v>
      </c>
      <c r="AM21" s="175">
        <v>0</v>
      </c>
      <c r="AN21" s="175">
        <v>10</v>
      </c>
      <c r="AO21" s="175">
        <v>0</v>
      </c>
      <c r="AP21" s="175">
        <v>0</v>
      </c>
      <c r="AQ21" s="175">
        <v>0</v>
      </c>
      <c r="AR21" s="175">
        <v>571.69</v>
      </c>
      <c r="AS21" s="175">
        <v>8.639297521383966</v>
      </c>
      <c r="AT21" s="175">
        <v>2.1009256940147103</v>
      </c>
      <c r="AU21" s="175">
        <v>171</v>
      </c>
      <c r="AV21" s="175">
        <v>1312</v>
      </c>
      <c r="AW21" s="175">
        <v>0.13033536585365854</v>
      </c>
      <c r="AX21" s="175">
        <v>0.07487413212417354</v>
      </c>
      <c r="AY21" s="175">
        <v>0.1226</v>
      </c>
      <c r="AZ21" s="207">
        <v>1385</v>
      </c>
      <c r="BA21" s="175">
        <v>1749</v>
      </c>
      <c r="BB21" s="175">
        <v>0.7918810748999429</v>
      </c>
      <c r="BC21" s="175">
        <v>0.402186227476231</v>
      </c>
      <c r="BD21" s="175">
        <v>0</v>
      </c>
      <c r="BE21" s="175">
        <v>0</v>
      </c>
      <c r="BF21" s="207">
        <v>-31669.89</v>
      </c>
      <c r="BG21" s="207">
        <v>-38746.68</v>
      </c>
      <c r="BH21" s="207">
        <v>-20249.899999999998</v>
      </c>
      <c r="BI21" s="207">
        <v>-83817.3</v>
      </c>
      <c r="BJ21" s="207">
        <v>0</v>
      </c>
      <c r="BK21" s="207">
        <v>0</v>
      </c>
      <c r="BL21" s="207">
        <v>96106</v>
      </c>
      <c r="BM21" s="207">
        <v>-140789.81947998883</v>
      </c>
      <c r="BN21" s="207">
        <v>-210203.84000000003</v>
      </c>
      <c r="BO21" s="207">
        <v>157787.49098494463</v>
      </c>
      <c r="BP21" s="207">
        <v>567639</v>
      </c>
      <c r="BQ21" s="207">
        <v>165760</v>
      </c>
      <c r="BR21" s="207">
        <v>418313.4407374764</v>
      </c>
      <c r="BS21" s="207">
        <v>22899.471769744072</v>
      </c>
      <c r="BT21" s="207">
        <v>68329.26429098393</v>
      </c>
      <c r="BU21" s="207">
        <v>205003.42725285116</v>
      </c>
      <c r="BV21" s="207">
        <v>305523.6082293353</v>
      </c>
      <c r="BW21" s="207">
        <v>467407.96175449586</v>
      </c>
      <c r="BX21" s="207">
        <v>130242.03157009084</v>
      </c>
      <c r="BY21" s="207">
        <v>244524.13581577002</v>
      </c>
      <c r="BZ21" s="207">
        <v>444.51</v>
      </c>
      <c r="CA21" s="207">
        <v>46018.38865324468</v>
      </c>
      <c r="CB21" s="207">
        <v>300356.38963818934</v>
      </c>
      <c r="CC21" s="207">
        <v>-376550.7798417995</v>
      </c>
      <c r="CD21" s="207">
        <v>0</v>
      </c>
      <c r="CE21" s="207">
        <v>341996.24236710666</v>
      </c>
      <c r="CF21" s="207">
        <v>0</v>
      </c>
      <c r="CG21" s="207">
        <v>5131154.417682431</v>
      </c>
      <c r="CH21" s="207">
        <v>-23058</v>
      </c>
      <c r="CI21" s="207">
        <v>140218.19030000002</v>
      </c>
      <c r="CJ21" s="207">
        <v>62652.99458</v>
      </c>
      <c r="CK21" s="207">
        <v>77565.19572000002</v>
      </c>
      <c r="CL21" s="207">
        <v>15657165.42834938</v>
      </c>
      <c r="CM21" s="207">
        <v>18267477.517214395</v>
      </c>
      <c r="CN21" s="207">
        <v>5019</v>
      </c>
    </row>
    <row r="22" spans="1:92" ht="9.75">
      <c r="A22" s="207">
        <v>78</v>
      </c>
      <c r="B22" s="207" t="s">
        <v>79</v>
      </c>
      <c r="C22" s="207">
        <v>8379</v>
      </c>
      <c r="D22" s="207">
        <v>28139831.4</v>
      </c>
      <c r="E22" s="207">
        <v>9614986.828792274</v>
      </c>
      <c r="F22" s="207">
        <v>3279018.3717784896</v>
      </c>
      <c r="G22" s="207">
        <v>41033836.60057076</v>
      </c>
      <c r="H22" s="207">
        <v>3654.72</v>
      </c>
      <c r="I22" s="207">
        <v>30622898.88</v>
      </c>
      <c r="J22" s="207">
        <v>10410937.720570762</v>
      </c>
      <c r="K22" s="207">
        <v>1274456.03888868</v>
      </c>
      <c r="L22" s="207">
        <v>-1023463.9674083763</v>
      </c>
      <c r="M22" s="207">
        <v>0</v>
      </c>
      <c r="N22" s="207">
        <v>10661929.792051066</v>
      </c>
      <c r="O22" s="207">
        <v>-404966.9290472667</v>
      </c>
      <c r="P22" s="207">
        <v>10256962.8630038</v>
      </c>
      <c r="Q22" s="207">
        <v>328</v>
      </c>
      <c r="R22" s="207">
        <v>73</v>
      </c>
      <c r="S22" s="207">
        <v>494</v>
      </c>
      <c r="T22" s="207">
        <v>255</v>
      </c>
      <c r="U22" s="207">
        <v>260</v>
      </c>
      <c r="V22" s="207">
        <v>4344</v>
      </c>
      <c r="W22" s="207">
        <v>1592</v>
      </c>
      <c r="X22" s="207">
        <v>809</v>
      </c>
      <c r="Y22" s="207">
        <v>224</v>
      </c>
      <c r="Z22" s="207">
        <v>3575</v>
      </c>
      <c r="AA22" s="207">
        <v>1</v>
      </c>
      <c r="AB22" s="207">
        <v>4417</v>
      </c>
      <c r="AC22" s="207">
        <v>386</v>
      </c>
      <c r="AD22" s="207">
        <v>2625</v>
      </c>
      <c r="AE22" s="480">
        <v>0.9741172022943074</v>
      </c>
      <c r="AF22" s="207">
        <v>9614986.828792274</v>
      </c>
      <c r="AG22" s="175">
        <v>361</v>
      </c>
      <c r="AH22" s="175">
        <v>3734</v>
      </c>
      <c r="AI22" s="175">
        <v>0.9909622876572056</v>
      </c>
      <c r="AJ22" s="175">
        <v>386</v>
      </c>
      <c r="AK22" s="175">
        <v>0.04606754982694832</v>
      </c>
      <c r="AL22" s="175">
        <v>0.04278647071648532</v>
      </c>
      <c r="AM22" s="175">
        <v>1</v>
      </c>
      <c r="AN22" s="175">
        <v>3575</v>
      </c>
      <c r="AO22" s="175">
        <v>1</v>
      </c>
      <c r="AP22" s="175">
        <v>0</v>
      </c>
      <c r="AQ22" s="175">
        <v>0</v>
      </c>
      <c r="AR22" s="175">
        <v>117.41</v>
      </c>
      <c r="AS22" s="175">
        <v>71.36530108167959</v>
      </c>
      <c r="AT22" s="175">
        <v>0.25433259393300106</v>
      </c>
      <c r="AU22" s="175">
        <v>576</v>
      </c>
      <c r="AV22" s="175">
        <v>2422</v>
      </c>
      <c r="AW22" s="175">
        <v>0.23781998348472336</v>
      </c>
      <c r="AX22" s="175">
        <v>0.18235874975523836</v>
      </c>
      <c r="AY22" s="175">
        <v>0.4953166666666666</v>
      </c>
      <c r="AZ22" s="207">
        <v>3518</v>
      </c>
      <c r="BA22" s="175">
        <v>3254</v>
      </c>
      <c r="BB22" s="175">
        <v>1.0811309157959434</v>
      </c>
      <c r="BC22" s="175">
        <v>0.6914360683722316</v>
      </c>
      <c r="BD22" s="175">
        <v>0</v>
      </c>
      <c r="BE22" s="175">
        <v>1</v>
      </c>
      <c r="BF22" s="207">
        <v>-53742.27</v>
      </c>
      <c r="BG22" s="207">
        <v>-65751.23999999999</v>
      </c>
      <c r="BH22" s="207">
        <v>-34353.899999999994</v>
      </c>
      <c r="BI22" s="207">
        <v>-142233.9</v>
      </c>
      <c r="BJ22" s="207">
        <v>0</v>
      </c>
      <c r="BK22" s="207">
        <v>0</v>
      </c>
      <c r="BL22" s="207">
        <v>286074</v>
      </c>
      <c r="BM22" s="207">
        <v>-445362.35036709486</v>
      </c>
      <c r="BN22" s="207">
        <v>-356610.24</v>
      </c>
      <c r="BO22" s="207">
        <v>82923.98256242089</v>
      </c>
      <c r="BP22" s="207">
        <v>656636</v>
      </c>
      <c r="BQ22" s="207">
        <v>215300</v>
      </c>
      <c r="BR22" s="207">
        <v>400984.0691540849</v>
      </c>
      <c r="BS22" s="207">
        <v>7536.817691286501</v>
      </c>
      <c r="BT22" s="207">
        <v>13723.005639968009</v>
      </c>
      <c r="BU22" s="207">
        <v>240221.42672180056</v>
      </c>
      <c r="BV22" s="207">
        <v>317595.93887166877</v>
      </c>
      <c r="BW22" s="207">
        <v>682918.9141502562</v>
      </c>
      <c r="BX22" s="207">
        <v>171481.5886962977</v>
      </c>
      <c r="BY22" s="207">
        <v>327290.6439745335</v>
      </c>
      <c r="BZ22" s="207">
        <v>754.11</v>
      </c>
      <c r="CA22" s="207">
        <v>-38262.019603702414</v>
      </c>
      <c r="CB22" s="207">
        <v>331490.07295871846</v>
      </c>
      <c r="CC22" s="207">
        <v>-1023463.9674083763</v>
      </c>
      <c r="CD22" s="207">
        <v>0</v>
      </c>
      <c r="CE22" s="207">
        <v>366094.6991185814</v>
      </c>
      <c r="CF22" s="207">
        <v>0</v>
      </c>
      <c r="CG22" s="207">
        <v>-404966.9290472667</v>
      </c>
      <c r="CH22" s="207">
        <v>-541250</v>
      </c>
      <c r="CI22" s="207">
        <v>300690.87440000003</v>
      </c>
      <c r="CJ22" s="207">
        <v>198466.852</v>
      </c>
      <c r="CK22" s="207">
        <v>102224.02240000002</v>
      </c>
      <c r="CL22" s="207">
        <v>9715712.8630038</v>
      </c>
      <c r="CM22" s="207">
        <v>12097481.631653577</v>
      </c>
      <c r="CN22" s="207">
        <v>8517</v>
      </c>
    </row>
    <row r="23" spans="1:92" ht="9.75">
      <c r="A23" s="207">
        <v>79</v>
      </c>
      <c r="B23" s="207" t="s">
        <v>80</v>
      </c>
      <c r="C23" s="207">
        <v>7018</v>
      </c>
      <c r="D23" s="207">
        <v>25776114.630000003</v>
      </c>
      <c r="E23" s="207">
        <v>9189470.571728392</v>
      </c>
      <c r="F23" s="207">
        <v>1491629.8553447719</v>
      </c>
      <c r="G23" s="207">
        <v>36457215.05707317</v>
      </c>
      <c r="H23" s="207">
        <v>3654.72</v>
      </c>
      <c r="I23" s="207">
        <v>25648824.959999997</v>
      </c>
      <c r="J23" s="207">
        <v>10808390.097073171</v>
      </c>
      <c r="K23" s="207">
        <v>498151.40798061306</v>
      </c>
      <c r="L23" s="207">
        <v>-1091995.576918743</v>
      </c>
      <c r="M23" s="207">
        <v>0</v>
      </c>
      <c r="N23" s="207">
        <v>10214545.928135041</v>
      </c>
      <c r="O23" s="207">
        <v>-1428769.0499929716</v>
      </c>
      <c r="P23" s="207">
        <v>8785776.87814207</v>
      </c>
      <c r="Q23" s="207">
        <v>373</v>
      </c>
      <c r="R23" s="207">
        <v>61</v>
      </c>
      <c r="S23" s="207">
        <v>408</v>
      </c>
      <c r="T23" s="207">
        <v>222</v>
      </c>
      <c r="U23" s="207">
        <v>219</v>
      </c>
      <c r="V23" s="207">
        <v>3569</v>
      </c>
      <c r="W23" s="207">
        <v>1218</v>
      </c>
      <c r="X23" s="207">
        <v>678</v>
      </c>
      <c r="Y23" s="207">
        <v>270</v>
      </c>
      <c r="Z23" s="207">
        <v>12</v>
      </c>
      <c r="AA23" s="207">
        <v>0</v>
      </c>
      <c r="AB23" s="207">
        <v>6780</v>
      </c>
      <c r="AC23" s="207">
        <v>226</v>
      </c>
      <c r="AD23" s="207">
        <v>2166</v>
      </c>
      <c r="AE23" s="480">
        <v>1.111557253423091</v>
      </c>
      <c r="AF23" s="207">
        <v>9189470.571728392</v>
      </c>
      <c r="AG23" s="175">
        <v>322</v>
      </c>
      <c r="AH23" s="175">
        <v>2985</v>
      </c>
      <c r="AI23" s="175">
        <v>1.1056960932456057</v>
      </c>
      <c r="AJ23" s="175">
        <v>226</v>
      </c>
      <c r="AK23" s="175">
        <v>0.03220290681105728</v>
      </c>
      <c r="AL23" s="175">
        <v>0.028921827700594285</v>
      </c>
      <c r="AM23" s="175">
        <v>0</v>
      </c>
      <c r="AN23" s="175">
        <v>12</v>
      </c>
      <c r="AO23" s="175">
        <v>0</v>
      </c>
      <c r="AP23" s="175">
        <v>0</v>
      </c>
      <c r="AQ23" s="175">
        <v>0</v>
      </c>
      <c r="AR23" s="175">
        <v>123.46</v>
      </c>
      <c r="AS23" s="175">
        <v>56.84432204762676</v>
      </c>
      <c r="AT23" s="175">
        <v>0.31930228890241386</v>
      </c>
      <c r="AU23" s="175">
        <v>306</v>
      </c>
      <c r="AV23" s="175">
        <v>1946</v>
      </c>
      <c r="AW23" s="175">
        <v>0.15724563206577596</v>
      </c>
      <c r="AX23" s="175">
        <v>0.10178439833629097</v>
      </c>
      <c r="AY23" s="175">
        <v>0</v>
      </c>
      <c r="AZ23" s="207">
        <v>3806</v>
      </c>
      <c r="BA23" s="175">
        <v>2582</v>
      </c>
      <c r="BB23" s="175">
        <v>1.4740511231603408</v>
      </c>
      <c r="BC23" s="175">
        <v>1.084356275736629</v>
      </c>
      <c r="BD23" s="175">
        <v>0</v>
      </c>
      <c r="BE23" s="175">
        <v>0</v>
      </c>
      <c r="BF23" s="207">
        <v>-45122.81</v>
      </c>
      <c r="BG23" s="207">
        <v>-55205.72</v>
      </c>
      <c r="BH23" s="207">
        <v>-28773.8</v>
      </c>
      <c r="BI23" s="207">
        <v>-119421.7</v>
      </c>
      <c r="BJ23" s="207">
        <v>0</v>
      </c>
      <c r="BK23" s="207">
        <v>0</v>
      </c>
      <c r="BL23" s="207">
        <v>199711</v>
      </c>
      <c r="BM23" s="207">
        <v>-435115.63102634845</v>
      </c>
      <c r="BN23" s="207">
        <v>-298686.08</v>
      </c>
      <c r="BO23" s="207">
        <v>93941.89818028547</v>
      </c>
      <c r="BP23" s="207">
        <v>489725</v>
      </c>
      <c r="BQ23" s="207">
        <v>169748</v>
      </c>
      <c r="BR23" s="207">
        <v>361767.9968837349</v>
      </c>
      <c r="BS23" s="207">
        <v>17405.703014667208</v>
      </c>
      <c r="BT23" s="207">
        <v>72742.07318975206</v>
      </c>
      <c r="BU23" s="207">
        <v>207561.9031788306</v>
      </c>
      <c r="BV23" s="207">
        <v>316837.43389339</v>
      </c>
      <c r="BW23" s="207">
        <v>564778.0514717557</v>
      </c>
      <c r="BX23" s="207">
        <v>146060.94627804705</v>
      </c>
      <c r="BY23" s="207">
        <v>278126.9222357134</v>
      </c>
      <c r="BZ23" s="207">
        <v>631.62</v>
      </c>
      <c r="CA23" s="207">
        <v>-188782.4740726802</v>
      </c>
      <c r="CB23" s="207">
        <v>105502.04410760527</v>
      </c>
      <c r="CC23" s="207">
        <v>-1091995.576918743</v>
      </c>
      <c r="CD23" s="207">
        <v>0</v>
      </c>
      <c r="CE23" s="207">
        <v>339018.68401967443</v>
      </c>
      <c r="CF23" s="207">
        <v>0</v>
      </c>
      <c r="CG23" s="207">
        <v>-1428769.0499929716</v>
      </c>
      <c r="CH23" s="207">
        <v>-485595</v>
      </c>
      <c r="CI23" s="207">
        <v>241966.43600000005</v>
      </c>
      <c r="CJ23" s="207">
        <v>207628.95188000004</v>
      </c>
      <c r="CK23" s="207">
        <v>34337.48412000001</v>
      </c>
      <c r="CL23" s="207">
        <v>8300181.87814207</v>
      </c>
      <c r="CM23" s="207">
        <v>10019058.780014474</v>
      </c>
      <c r="CN23" s="207">
        <v>7151</v>
      </c>
    </row>
    <row r="24" spans="1:92" ht="9.75">
      <c r="A24" s="207">
        <v>81</v>
      </c>
      <c r="B24" s="207" t="s">
        <v>81</v>
      </c>
      <c r="C24" s="207">
        <v>2780</v>
      </c>
      <c r="D24" s="207">
        <v>10199833.850000001</v>
      </c>
      <c r="E24" s="207">
        <v>4704505.320300642</v>
      </c>
      <c r="F24" s="207">
        <v>1009452.6702381884</v>
      </c>
      <c r="G24" s="207">
        <v>15913791.840538831</v>
      </c>
      <c r="H24" s="207">
        <v>3654.72</v>
      </c>
      <c r="I24" s="207">
        <v>10160121.6</v>
      </c>
      <c r="J24" s="207">
        <v>5753670.240538832</v>
      </c>
      <c r="K24" s="207">
        <v>408517.272343794</v>
      </c>
      <c r="L24" s="207">
        <v>-475034.2433349234</v>
      </c>
      <c r="M24" s="207">
        <v>0</v>
      </c>
      <c r="N24" s="207">
        <v>5687153.269547703</v>
      </c>
      <c r="O24" s="207">
        <v>2512139.8686031345</v>
      </c>
      <c r="P24" s="207">
        <v>8199293.138150837</v>
      </c>
      <c r="Q24" s="207">
        <v>97</v>
      </c>
      <c r="R24" s="207">
        <v>13</v>
      </c>
      <c r="S24" s="207">
        <v>110</v>
      </c>
      <c r="T24" s="207">
        <v>69</v>
      </c>
      <c r="U24" s="207">
        <v>81</v>
      </c>
      <c r="V24" s="207">
        <v>1368</v>
      </c>
      <c r="W24" s="207">
        <v>582</v>
      </c>
      <c r="X24" s="207">
        <v>313</v>
      </c>
      <c r="Y24" s="207">
        <v>147</v>
      </c>
      <c r="Z24" s="207">
        <v>1</v>
      </c>
      <c r="AA24" s="207">
        <v>0</v>
      </c>
      <c r="AB24" s="207">
        <v>2687</v>
      </c>
      <c r="AC24" s="207">
        <v>92</v>
      </c>
      <c r="AD24" s="207">
        <v>1042</v>
      </c>
      <c r="AE24" s="480">
        <v>1.436560357239023</v>
      </c>
      <c r="AF24" s="207">
        <v>4704505.320300642</v>
      </c>
      <c r="AG24" s="175">
        <v>122</v>
      </c>
      <c r="AH24" s="175">
        <v>1187</v>
      </c>
      <c r="AI24" s="175">
        <v>1.053497114907492</v>
      </c>
      <c r="AJ24" s="175">
        <v>92</v>
      </c>
      <c r="AK24" s="175">
        <v>0.033093525179856115</v>
      </c>
      <c r="AL24" s="175">
        <v>0.02981244606939312</v>
      </c>
      <c r="AM24" s="175">
        <v>0</v>
      </c>
      <c r="AN24" s="175">
        <v>1</v>
      </c>
      <c r="AO24" s="175">
        <v>0</v>
      </c>
      <c r="AP24" s="175">
        <v>0</v>
      </c>
      <c r="AQ24" s="175">
        <v>0</v>
      </c>
      <c r="AR24" s="175">
        <v>542.71</v>
      </c>
      <c r="AS24" s="175">
        <v>5.122441082714525</v>
      </c>
      <c r="AT24" s="175">
        <v>3.5433344860053917</v>
      </c>
      <c r="AU24" s="175">
        <v>145</v>
      </c>
      <c r="AV24" s="175">
        <v>662</v>
      </c>
      <c r="AW24" s="175">
        <v>0.2190332326283988</v>
      </c>
      <c r="AX24" s="175">
        <v>0.1635719988989138</v>
      </c>
      <c r="AY24" s="175">
        <v>0.45048333333333335</v>
      </c>
      <c r="AZ24" s="207">
        <v>1149</v>
      </c>
      <c r="BA24" s="175">
        <v>999</v>
      </c>
      <c r="BB24" s="175">
        <v>1.15015015015015</v>
      </c>
      <c r="BC24" s="175">
        <v>0.7604553027264382</v>
      </c>
      <c r="BD24" s="175">
        <v>0</v>
      </c>
      <c r="BE24" s="175">
        <v>0</v>
      </c>
      <c r="BF24" s="207">
        <v>-18185.42</v>
      </c>
      <c r="BG24" s="207">
        <v>-22249.04</v>
      </c>
      <c r="BH24" s="207">
        <v>-11397.999999999998</v>
      </c>
      <c r="BI24" s="207">
        <v>-48129.4</v>
      </c>
      <c r="BJ24" s="207">
        <v>0</v>
      </c>
      <c r="BK24" s="207">
        <v>0</v>
      </c>
      <c r="BL24" s="207">
        <v>6856</v>
      </c>
      <c r="BM24" s="207">
        <v>-104760.54486319666</v>
      </c>
      <c r="BN24" s="207">
        <v>-118316.8</v>
      </c>
      <c r="BO24" s="207">
        <v>-49133.1341699101</v>
      </c>
      <c r="BP24" s="207">
        <v>382259</v>
      </c>
      <c r="BQ24" s="207">
        <v>112706</v>
      </c>
      <c r="BR24" s="207">
        <v>280753.0252410473</v>
      </c>
      <c r="BS24" s="207">
        <v>16551.202542072944</v>
      </c>
      <c r="BT24" s="207">
        <v>-34065.64087492219</v>
      </c>
      <c r="BU24" s="207">
        <v>133220.72793783026</v>
      </c>
      <c r="BV24" s="207">
        <v>183270.36904974162</v>
      </c>
      <c r="BW24" s="207">
        <v>273566.22968570556</v>
      </c>
      <c r="BX24" s="207">
        <v>94944.14539466533</v>
      </c>
      <c r="BY24" s="207">
        <v>153973.46332418438</v>
      </c>
      <c r="BZ24" s="207">
        <v>250.2</v>
      </c>
      <c r="CA24" s="207">
        <v>-24733.304301816635</v>
      </c>
      <c r="CB24" s="207">
        <v>-66760.23847172674</v>
      </c>
      <c r="CC24" s="207">
        <v>-475034.2433349234</v>
      </c>
      <c r="CD24" s="207">
        <v>0</v>
      </c>
      <c r="CE24" s="207">
        <v>215793.14930477855</v>
      </c>
      <c r="CF24" s="207">
        <v>0</v>
      </c>
      <c r="CG24" s="207">
        <v>2512139.8686031345</v>
      </c>
      <c r="CH24" s="207">
        <v>-387430</v>
      </c>
      <c r="CI24" s="207">
        <v>96514.70199999999</v>
      </c>
      <c r="CJ24" s="207">
        <v>164605.14458000002</v>
      </c>
      <c r="CK24" s="207">
        <v>-68090.44258000003</v>
      </c>
      <c r="CL24" s="207">
        <v>7811863.138150837</v>
      </c>
      <c r="CM24" s="207">
        <v>8498150.89053642</v>
      </c>
      <c r="CN24" s="207">
        <v>2882</v>
      </c>
    </row>
    <row r="25" spans="1:92" ht="9.75">
      <c r="A25" s="207">
        <v>82</v>
      </c>
      <c r="B25" s="207" t="s">
        <v>82</v>
      </c>
      <c r="C25" s="207">
        <v>9475</v>
      </c>
      <c r="D25" s="207">
        <v>33370729.23</v>
      </c>
      <c r="E25" s="207">
        <v>8712842.386061436</v>
      </c>
      <c r="F25" s="207">
        <v>1300226.9105202588</v>
      </c>
      <c r="G25" s="207">
        <v>43383798.52658169</v>
      </c>
      <c r="H25" s="207">
        <v>3654.72</v>
      </c>
      <c r="I25" s="207">
        <v>34628472</v>
      </c>
      <c r="J25" s="207">
        <v>8755326.52658169</v>
      </c>
      <c r="K25" s="207">
        <v>162391.97124028407</v>
      </c>
      <c r="L25" s="207">
        <v>-1253132.9774494206</v>
      </c>
      <c r="M25" s="207">
        <v>0</v>
      </c>
      <c r="N25" s="207">
        <v>7664585.520372553</v>
      </c>
      <c r="O25" s="207">
        <v>1831107.8105153702</v>
      </c>
      <c r="P25" s="207">
        <v>9495693.330887923</v>
      </c>
      <c r="Q25" s="207">
        <v>580</v>
      </c>
      <c r="R25" s="207">
        <v>116</v>
      </c>
      <c r="S25" s="207">
        <v>746</v>
      </c>
      <c r="T25" s="207">
        <v>363</v>
      </c>
      <c r="U25" s="207">
        <v>355</v>
      </c>
      <c r="V25" s="207">
        <v>5214</v>
      </c>
      <c r="W25" s="207">
        <v>1266</v>
      </c>
      <c r="X25" s="207">
        <v>620</v>
      </c>
      <c r="Y25" s="207">
        <v>215</v>
      </c>
      <c r="Z25" s="207">
        <v>32</v>
      </c>
      <c r="AA25" s="207">
        <v>0</v>
      </c>
      <c r="AB25" s="207">
        <v>9272</v>
      </c>
      <c r="AC25" s="207">
        <v>171</v>
      </c>
      <c r="AD25" s="207">
        <v>2101</v>
      </c>
      <c r="AE25" s="480">
        <v>0.7806122255476556</v>
      </c>
      <c r="AF25" s="207">
        <v>8712842.386061436</v>
      </c>
      <c r="AG25" s="175">
        <v>295</v>
      </c>
      <c r="AH25" s="175">
        <v>4631</v>
      </c>
      <c r="AI25" s="175">
        <v>0.652937292235119</v>
      </c>
      <c r="AJ25" s="175">
        <v>171</v>
      </c>
      <c r="AK25" s="175">
        <v>0.01804749340369393</v>
      </c>
      <c r="AL25" s="175">
        <v>0.014766414293230935</v>
      </c>
      <c r="AM25" s="175">
        <v>0</v>
      </c>
      <c r="AN25" s="175">
        <v>32</v>
      </c>
      <c r="AO25" s="175">
        <v>0</v>
      </c>
      <c r="AP25" s="175">
        <v>0</v>
      </c>
      <c r="AQ25" s="175">
        <v>0</v>
      </c>
      <c r="AR25" s="175">
        <v>357.81</v>
      </c>
      <c r="AS25" s="175">
        <v>26.480534361812136</v>
      </c>
      <c r="AT25" s="175">
        <v>0.6854288472021259</v>
      </c>
      <c r="AU25" s="175">
        <v>322</v>
      </c>
      <c r="AV25" s="175">
        <v>3012</v>
      </c>
      <c r="AW25" s="175">
        <v>0.10690571049136786</v>
      </c>
      <c r="AX25" s="175">
        <v>0.05144447676188286</v>
      </c>
      <c r="AY25" s="175">
        <v>0</v>
      </c>
      <c r="AZ25" s="207">
        <v>2724</v>
      </c>
      <c r="BA25" s="175">
        <v>4181</v>
      </c>
      <c r="BB25" s="175">
        <v>0.6515187754125807</v>
      </c>
      <c r="BC25" s="175">
        <v>0.2618239279888689</v>
      </c>
      <c r="BD25" s="175">
        <v>0</v>
      </c>
      <c r="BE25" s="175">
        <v>0</v>
      </c>
      <c r="BF25" s="207">
        <v>-60639.1</v>
      </c>
      <c r="BG25" s="207">
        <v>-74189.2</v>
      </c>
      <c r="BH25" s="207">
        <v>-38847.5</v>
      </c>
      <c r="BI25" s="207">
        <v>-160487</v>
      </c>
      <c r="BJ25" s="207">
        <v>0</v>
      </c>
      <c r="BK25" s="207">
        <v>0</v>
      </c>
      <c r="BL25" s="207">
        <v>88078</v>
      </c>
      <c r="BM25" s="207">
        <v>-207708.5809429379</v>
      </c>
      <c r="BN25" s="207">
        <v>-403256</v>
      </c>
      <c r="BO25" s="207">
        <v>-115651.5479556378</v>
      </c>
      <c r="BP25" s="207">
        <v>676314</v>
      </c>
      <c r="BQ25" s="207">
        <v>221366</v>
      </c>
      <c r="BR25" s="207">
        <v>445055.0591263313</v>
      </c>
      <c r="BS25" s="207">
        <v>6932.215931270755</v>
      </c>
      <c r="BT25" s="207">
        <v>58409.76069782427</v>
      </c>
      <c r="BU25" s="207">
        <v>192372.5287367456</v>
      </c>
      <c r="BV25" s="207">
        <v>439754.50773878576</v>
      </c>
      <c r="BW25" s="207">
        <v>739872.3813262391</v>
      </c>
      <c r="BX25" s="207">
        <v>197045.6477393645</v>
      </c>
      <c r="BY25" s="207">
        <v>346997.4878271195</v>
      </c>
      <c r="BZ25" s="207">
        <v>852.75</v>
      </c>
      <c r="CA25" s="207">
        <v>9218.701449155189</v>
      </c>
      <c r="CB25" s="207">
        <v>-17502.09650648261</v>
      </c>
      <c r="CC25" s="207">
        <v>-1253132.9774494206</v>
      </c>
      <c r="CD25" s="207">
        <v>0</v>
      </c>
      <c r="CE25" s="207">
        <v>452002.21428467357</v>
      </c>
      <c r="CF25" s="207">
        <v>0</v>
      </c>
      <c r="CG25" s="207">
        <v>1831107.8105153702</v>
      </c>
      <c r="CH25" s="207">
        <v>-1933079</v>
      </c>
      <c r="CI25" s="207">
        <v>160472.6841</v>
      </c>
      <c r="CJ25" s="207">
        <v>207384.26672</v>
      </c>
      <c r="CK25" s="207">
        <v>-46911.58262</v>
      </c>
      <c r="CL25" s="207">
        <v>7562614.330887923</v>
      </c>
      <c r="CM25" s="207">
        <v>9306758.692991065</v>
      </c>
      <c r="CN25" s="207">
        <v>9610</v>
      </c>
    </row>
    <row r="26" spans="1:92" ht="9.75">
      <c r="A26" s="207">
        <v>86</v>
      </c>
      <c r="B26" s="207" t="s">
        <v>83</v>
      </c>
      <c r="C26" s="207">
        <v>8417</v>
      </c>
      <c r="D26" s="207">
        <v>29902878.41</v>
      </c>
      <c r="E26" s="207">
        <v>9089958.224725386</v>
      </c>
      <c r="F26" s="207">
        <v>1468816.2649918883</v>
      </c>
      <c r="G26" s="207">
        <v>40461652.89971727</v>
      </c>
      <c r="H26" s="207">
        <v>3654.72</v>
      </c>
      <c r="I26" s="207">
        <v>30761778.24</v>
      </c>
      <c r="J26" s="207">
        <v>9699874.659717273</v>
      </c>
      <c r="K26" s="207">
        <v>100831.76050470339</v>
      </c>
      <c r="L26" s="207">
        <v>-1064403.922500706</v>
      </c>
      <c r="M26" s="207">
        <v>0</v>
      </c>
      <c r="N26" s="207">
        <v>8736302.497721272</v>
      </c>
      <c r="O26" s="207">
        <v>3073926.7028098386</v>
      </c>
      <c r="P26" s="207">
        <v>11810229.20053111</v>
      </c>
      <c r="Q26" s="207">
        <v>506</v>
      </c>
      <c r="R26" s="207">
        <v>121</v>
      </c>
      <c r="S26" s="207">
        <v>709</v>
      </c>
      <c r="T26" s="207">
        <v>337</v>
      </c>
      <c r="U26" s="207">
        <v>292</v>
      </c>
      <c r="V26" s="207">
        <v>4714</v>
      </c>
      <c r="W26" s="207">
        <v>1068</v>
      </c>
      <c r="X26" s="207">
        <v>467</v>
      </c>
      <c r="Y26" s="207">
        <v>203</v>
      </c>
      <c r="Z26" s="207">
        <v>32</v>
      </c>
      <c r="AA26" s="207">
        <v>2</v>
      </c>
      <c r="AB26" s="207">
        <v>8138</v>
      </c>
      <c r="AC26" s="207">
        <v>245</v>
      </c>
      <c r="AD26" s="207">
        <v>1738</v>
      </c>
      <c r="AE26" s="480">
        <v>0.9167676283652422</v>
      </c>
      <c r="AF26" s="207">
        <v>9089958.224725386</v>
      </c>
      <c r="AG26" s="175">
        <v>246</v>
      </c>
      <c r="AH26" s="175">
        <v>4086</v>
      </c>
      <c r="AI26" s="175">
        <v>0.617107725996039</v>
      </c>
      <c r="AJ26" s="175">
        <v>245</v>
      </c>
      <c r="AK26" s="175">
        <v>0.02910775810858976</v>
      </c>
      <c r="AL26" s="175">
        <v>0.025826678998126764</v>
      </c>
      <c r="AM26" s="175">
        <v>0</v>
      </c>
      <c r="AN26" s="175">
        <v>32</v>
      </c>
      <c r="AO26" s="175">
        <v>2</v>
      </c>
      <c r="AP26" s="175">
        <v>0</v>
      </c>
      <c r="AQ26" s="175">
        <v>0</v>
      </c>
      <c r="AR26" s="175">
        <v>389.36</v>
      </c>
      <c r="AS26" s="175">
        <v>21.617526196835833</v>
      </c>
      <c r="AT26" s="175">
        <v>0.8396206844227104</v>
      </c>
      <c r="AU26" s="175">
        <v>390</v>
      </c>
      <c r="AV26" s="175">
        <v>2832</v>
      </c>
      <c r="AW26" s="175">
        <v>0.13771186440677965</v>
      </c>
      <c r="AX26" s="175">
        <v>0.08225063067729466</v>
      </c>
      <c r="AY26" s="175">
        <v>0</v>
      </c>
      <c r="AZ26" s="207">
        <v>2123</v>
      </c>
      <c r="BA26" s="175">
        <v>3707</v>
      </c>
      <c r="BB26" s="175">
        <v>0.5727002967359051</v>
      </c>
      <c r="BC26" s="175">
        <v>0.1830054493121932</v>
      </c>
      <c r="BD26" s="175">
        <v>0</v>
      </c>
      <c r="BE26" s="175">
        <v>2</v>
      </c>
      <c r="BF26" s="207">
        <v>-53660.24</v>
      </c>
      <c r="BG26" s="207">
        <v>-65650.88</v>
      </c>
      <c r="BH26" s="207">
        <v>-34509.7</v>
      </c>
      <c r="BI26" s="207">
        <v>-142016.8</v>
      </c>
      <c r="BJ26" s="207">
        <v>0</v>
      </c>
      <c r="BK26" s="207">
        <v>0</v>
      </c>
      <c r="BL26" s="207">
        <v>50241</v>
      </c>
      <c r="BM26" s="207">
        <v>-259238.36439653637</v>
      </c>
      <c r="BN26" s="207">
        <v>-358227.52</v>
      </c>
      <c r="BO26" s="207">
        <v>26314.203572351485</v>
      </c>
      <c r="BP26" s="207">
        <v>684929</v>
      </c>
      <c r="BQ26" s="207">
        <v>219405</v>
      </c>
      <c r="BR26" s="207">
        <v>453618.33415046043</v>
      </c>
      <c r="BS26" s="207">
        <v>11746.726739898262</v>
      </c>
      <c r="BT26" s="207">
        <v>84479.08494531004</v>
      </c>
      <c r="BU26" s="207">
        <v>176088.1724966164</v>
      </c>
      <c r="BV26" s="207">
        <v>436966.1327736365</v>
      </c>
      <c r="BW26" s="207">
        <v>725646.8696418864</v>
      </c>
      <c r="BX26" s="207">
        <v>189210.61735064804</v>
      </c>
      <c r="BY26" s="207">
        <v>336533.31482467405</v>
      </c>
      <c r="BZ26" s="207">
        <v>757.53</v>
      </c>
      <c r="CA26" s="207">
        <v>29652.068323478816</v>
      </c>
      <c r="CB26" s="207">
        <v>106964.8018958303</v>
      </c>
      <c r="CC26" s="207">
        <v>-1064403.922500706</v>
      </c>
      <c r="CD26" s="207">
        <v>0</v>
      </c>
      <c r="CE26" s="207">
        <v>442703.5698632026</v>
      </c>
      <c r="CF26" s="207">
        <v>0</v>
      </c>
      <c r="CG26" s="207">
        <v>3073926.7028098386</v>
      </c>
      <c r="CH26" s="207">
        <v>-1206381</v>
      </c>
      <c r="CI26" s="207">
        <v>329237.4764</v>
      </c>
      <c r="CJ26" s="207">
        <v>1507070.2749199998</v>
      </c>
      <c r="CK26" s="207">
        <v>-1177832.7985199997</v>
      </c>
      <c r="CL26" s="207">
        <v>10603848.20053111</v>
      </c>
      <c r="CM26" s="207">
        <v>13168725.450897368</v>
      </c>
      <c r="CN26" s="207">
        <v>8504</v>
      </c>
    </row>
    <row r="27" spans="1:92" ht="9.75">
      <c r="A27" s="207">
        <v>111</v>
      </c>
      <c r="B27" s="207" t="s">
        <v>84</v>
      </c>
      <c r="C27" s="207">
        <v>18889</v>
      </c>
      <c r="D27" s="207">
        <v>66502679.13</v>
      </c>
      <c r="E27" s="207">
        <v>30448378.380584907</v>
      </c>
      <c r="F27" s="207">
        <v>4964167.563680813</v>
      </c>
      <c r="G27" s="207">
        <v>101915225.07426572</v>
      </c>
      <c r="H27" s="207">
        <v>3654.72</v>
      </c>
      <c r="I27" s="207">
        <v>69034006.08</v>
      </c>
      <c r="J27" s="207">
        <v>32881218.99426572</v>
      </c>
      <c r="K27" s="207">
        <v>706648.1370006889</v>
      </c>
      <c r="L27" s="207">
        <v>-2495836.2350639207</v>
      </c>
      <c r="M27" s="207">
        <v>0</v>
      </c>
      <c r="N27" s="207">
        <v>31092030.896202486</v>
      </c>
      <c r="O27" s="207">
        <v>9349513.668872518</v>
      </c>
      <c r="P27" s="207">
        <v>40441544.565075</v>
      </c>
      <c r="Q27" s="207">
        <v>725</v>
      </c>
      <c r="R27" s="207">
        <v>145</v>
      </c>
      <c r="S27" s="207">
        <v>948</v>
      </c>
      <c r="T27" s="207">
        <v>571</v>
      </c>
      <c r="U27" s="207">
        <v>532</v>
      </c>
      <c r="V27" s="207">
        <v>9772</v>
      </c>
      <c r="W27" s="207">
        <v>3519</v>
      </c>
      <c r="X27" s="207">
        <v>1948</v>
      </c>
      <c r="Y27" s="207">
        <v>729</v>
      </c>
      <c r="Z27" s="207">
        <v>38</v>
      </c>
      <c r="AA27" s="207">
        <v>2</v>
      </c>
      <c r="AB27" s="207">
        <v>18189</v>
      </c>
      <c r="AC27" s="207">
        <v>660</v>
      </c>
      <c r="AD27" s="207">
        <v>6196</v>
      </c>
      <c r="AE27" s="480">
        <v>1.3683900602305663</v>
      </c>
      <c r="AF27" s="207">
        <v>30448378.380584907</v>
      </c>
      <c r="AG27" s="175">
        <v>1086</v>
      </c>
      <c r="AH27" s="175">
        <v>8278</v>
      </c>
      <c r="AI27" s="175">
        <v>1.3447100232882534</v>
      </c>
      <c r="AJ27" s="175">
        <v>660</v>
      </c>
      <c r="AK27" s="175">
        <v>0.03494097093546508</v>
      </c>
      <c r="AL27" s="175">
        <v>0.03165989182500208</v>
      </c>
      <c r="AM27" s="175">
        <v>0</v>
      </c>
      <c r="AN27" s="175">
        <v>38</v>
      </c>
      <c r="AO27" s="175">
        <v>2</v>
      </c>
      <c r="AP27" s="175">
        <v>0</v>
      </c>
      <c r="AQ27" s="175">
        <v>0</v>
      </c>
      <c r="AR27" s="175">
        <v>675.99</v>
      </c>
      <c r="AS27" s="175">
        <v>27.94272104616932</v>
      </c>
      <c r="AT27" s="175">
        <v>0.6495617270388002</v>
      </c>
      <c r="AU27" s="175">
        <v>895</v>
      </c>
      <c r="AV27" s="175">
        <v>4934</v>
      </c>
      <c r="AW27" s="175">
        <v>0.18139440616132954</v>
      </c>
      <c r="AX27" s="175">
        <v>0.12593317243184454</v>
      </c>
      <c r="AY27" s="175">
        <v>0</v>
      </c>
      <c r="AZ27" s="207">
        <v>6614</v>
      </c>
      <c r="BA27" s="175">
        <v>6881</v>
      </c>
      <c r="BB27" s="175">
        <v>0.9611975003633193</v>
      </c>
      <c r="BC27" s="175">
        <v>0.5715026529396074</v>
      </c>
      <c r="BD27" s="175">
        <v>0</v>
      </c>
      <c r="BE27" s="175">
        <v>2</v>
      </c>
      <c r="BF27" s="207">
        <v>-120697.68</v>
      </c>
      <c r="BG27" s="207">
        <v>-147668.16</v>
      </c>
      <c r="BH27" s="207">
        <v>-77444.9</v>
      </c>
      <c r="BI27" s="207">
        <v>-319437.6</v>
      </c>
      <c r="BJ27" s="207">
        <v>0</v>
      </c>
      <c r="BK27" s="207">
        <v>0</v>
      </c>
      <c r="BL27" s="207">
        <v>751929</v>
      </c>
      <c r="BM27" s="207">
        <v>-1189682.8744997652</v>
      </c>
      <c r="BN27" s="207">
        <v>-803915.8400000001</v>
      </c>
      <c r="BO27" s="207">
        <v>-211195.58279307187</v>
      </c>
      <c r="BP27" s="207">
        <v>1456682</v>
      </c>
      <c r="BQ27" s="207">
        <v>464204</v>
      </c>
      <c r="BR27" s="207">
        <v>1094866.502573506</v>
      </c>
      <c r="BS27" s="207">
        <v>51131.63424286549</v>
      </c>
      <c r="BT27" s="207">
        <v>176358.02767384014</v>
      </c>
      <c r="BU27" s="207">
        <v>602628.2312042551</v>
      </c>
      <c r="BV27" s="207">
        <v>940187.9911416231</v>
      </c>
      <c r="BW27" s="207">
        <v>1578097.1405111526</v>
      </c>
      <c r="BX27" s="207">
        <v>472697.7859773661</v>
      </c>
      <c r="BY27" s="207">
        <v>815657.8724326619</v>
      </c>
      <c r="BZ27" s="207">
        <v>1700.01</v>
      </c>
      <c r="CA27" s="207">
        <v>199714.13222891683</v>
      </c>
      <c r="CB27" s="207">
        <v>742147.559435845</v>
      </c>
      <c r="CC27" s="207">
        <v>-2495836.2350639207</v>
      </c>
      <c r="CD27" s="207">
        <v>0</v>
      </c>
      <c r="CE27" s="207">
        <v>1054434.0779268781</v>
      </c>
      <c r="CF27" s="207">
        <v>0</v>
      </c>
      <c r="CG27" s="207">
        <v>9349513.668872518</v>
      </c>
      <c r="CH27" s="207">
        <v>-2273216</v>
      </c>
      <c r="CI27" s="207">
        <v>581806.936</v>
      </c>
      <c r="CJ27" s="207">
        <v>404736.44188000006</v>
      </c>
      <c r="CK27" s="207">
        <v>177070.49411999993</v>
      </c>
      <c r="CL27" s="207">
        <v>38168328.565075</v>
      </c>
      <c r="CM27" s="207">
        <v>42717295.68625277</v>
      </c>
      <c r="CN27" s="207">
        <v>19128</v>
      </c>
    </row>
    <row r="28" spans="1:92" ht="9.75">
      <c r="A28" s="207">
        <v>90</v>
      </c>
      <c r="B28" s="207" t="s">
        <v>85</v>
      </c>
      <c r="C28" s="207">
        <v>3329</v>
      </c>
      <c r="D28" s="207">
        <v>12747925.86</v>
      </c>
      <c r="E28" s="207">
        <v>7143058.242531781</v>
      </c>
      <c r="F28" s="207">
        <v>1433201.4503148363</v>
      </c>
      <c r="G28" s="207">
        <v>21324185.552846614</v>
      </c>
      <c r="H28" s="207">
        <v>3654.72</v>
      </c>
      <c r="I28" s="207">
        <v>12166562.879999999</v>
      </c>
      <c r="J28" s="207">
        <v>9157622.672846615</v>
      </c>
      <c r="K28" s="207">
        <v>641808.244894594</v>
      </c>
      <c r="L28" s="207">
        <v>-509804.86377679976</v>
      </c>
      <c r="M28" s="207">
        <v>0</v>
      </c>
      <c r="N28" s="207">
        <v>9289626.05396441</v>
      </c>
      <c r="O28" s="207">
        <v>2416785.0004547276</v>
      </c>
      <c r="P28" s="207">
        <v>11706411.054419138</v>
      </c>
      <c r="Q28" s="207">
        <v>100</v>
      </c>
      <c r="R28" s="207">
        <v>19</v>
      </c>
      <c r="S28" s="207">
        <v>168</v>
      </c>
      <c r="T28" s="207">
        <v>103</v>
      </c>
      <c r="U28" s="207">
        <v>85</v>
      </c>
      <c r="V28" s="207">
        <v>1598</v>
      </c>
      <c r="W28" s="207">
        <v>668</v>
      </c>
      <c r="X28" s="207">
        <v>409</v>
      </c>
      <c r="Y28" s="207">
        <v>179</v>
      </c>
      <c r="Z28" s="207">
        <v>8</v>
      </c>
      <c r="AA28" s="207">
        <v>0</v>
      </c>
      <c r="AB28" s="207">
        <v>3241</v>
      </c>
      <c r="AC28" s="207">
        <v>80</v>
      </c>
      <c r="AD28" s="207">
        <v>1256</v>
      </c>
      <c r="AE28" s="480">
        <v>1.821482930151756</v>
      </c>
      <c r="AF28" s="207">
        <v>7143058.242531781</v>
      </c>
      <c r="AG28" s="175">
        <v>160</v>
      </c>
      <c r="AH28" s="175">
        <v>1326</v>
      </c>
      <c r="AI28" s="175">
        <v>1.2368034768886513</v>
      </c>
      <c r="AJ28" s="175">
        <v>80</v>
      </c>
      <c r="AK28" s="175">
        <v>0.024031240612796635</v>
      </c>
      <c r="AL28" s="175">
        <v>0.02075016150233364</v>
      </c>
      <c r="AM28" s="175">
        <v>0</v>
      </c>
      <c r="AN28" s="175">
        <v>8</v>
      </c>
      <c r="AO28" s="175">
        <v>0</v>
      </c>
      <c r="AP28" s="175">
        <v>0</v>
      </c>
      <c r="AQ28" s="175">
        <v>0</v>
      </c>
      <c r="AR28" s="175">
        <v>1029.96</v>
      </c>
      <c r="AS28" s="175">
        <v>3.232164355897316</v>
      </c>
      <c r="AT28" s="175">
        <v>5.615593807225874</v>
      </c>
      <c r="AU28" s="175">
        <v>142</v>
      </c>
      <c r="AV28" s="175">
        <v>770</v>
      </c>
      <c r="AW28" s="175">
        <v>0.18441558441558442</v>
      </c>
      <c r="AX28" s="175">
        <v>0.12895435068609942</v>
      </c>
      <c r="AY28" s="175">
        <v>0.7102666666666667</v>
      </c>
      <c r="AZ28" s="207">
        <v>1079</v>
      </c>
      <c r="BA28" s="175">
        <v>1085</v>
      </c>
      <c r="BB28" s="175">
        <v>0.9944700460829493</v>
      </c>
      <c r="BC28" s="175">
        <v>0.6047751986592375</v>
      </c>
      <c r="BD28" s="175">
        <v>0</v>
      </c>
      <c r="BE28" s="175">
        <v>0</v>
      </c>
      <c r="BF28" s="207">
        <v>-21801.05</v>
      </c>
      <c r="BG28" s="207">
        <v>-26672.6</v>
      </c>
      <c r="BH28" s="207">
        <v>-13648.9</v>
      </c>
      <c r="BI28" s="207">
        <v>-57698.5</v>
      </c>
      <c r="BJ28" s="207">
        <v>0</v>
      </c>
      <c r="BK28" s="207">
        <v>0</v>
      </c>
      <c r="BL28" s="207">
        <v>-138429</v>
      </c>
      <c r="BM28" s="207">
        <v>1987.529108586241</v>
      </c>
      <c r="BN28" s="207">
        <v>-141682.24000000002</v>
      </c>
      <c r="BO28" s="207">
        <v>50519.79779796116</v>
      </c>
      <c r="BP28" s="207">
        <v>414960</v>
      </c>
      <c r="BQ28" s="207">
        <v>115556</v>
      </c>
      <c r="BR28" s="207">
        <v>307791.1445000703</v>
      </c>
      <c r="BS28" s="207">
        <v>16925.36445599054</v>
      </c>
      <c r="BT28" s="207">
        <v>55473.379691860675</v>
      </c>
      <c r="BU28" s="207">
        <v>155595.83504072958</v>
      </c>
      <c r="BV28" s="207">
        <v>191991.19827667397</v>
      </c>
      <c r="BW28" s="207">
        <v>291574.7104154343</v>
      </c>
      <c r="BX28" s="207">
        <v>90136.82512467867</v>
      </c>
      <c r="BY28" s="207">
        <v>169233.90248930658</v>
      </c>
      <c r="BZ28" s="207">
        <v>299.61</v>
      </c>
      <c r="CA28" s="207">
        <v>-60612.37068334714</v>
      </c>
      <c r="CB28" s="207">
        <v>-148221.96288538596</v>
      </c>
      <c r="CC28" s="207">
        <v>-509804.86377679976</v>
      </c>
      <c r="CD28" s="207">
        <v>0</v>
      </c>
      <c r="CE28" s="207">
        <v>235908.47120660375</v>
      </c>
      <c r="CF28" s="207">
        <v>0</v>
      </c>
      <c r="CG28" s="207">
        <v>2416785.0004547276</v>
      </c>
      <c r="CH28" s="207">
        <v>-52369</v>
      </c>
      <c r="CI28" s="207">
        <v>31265.326000000005</v>
      </c>
      <c r="CJ28" s="207">
        <v>35411.3801</v>
      </c>
      <c r="CK28" s="207">
        <v>-4146.054099999998</v>
      </c>
      <c r="CL28" s="207">
        <v>11654042.054419138</v>
      </c>
      <c r="CM28" s="207">
        <v>13300580.893156096</v>
      </c>
      <c r="CN28" s="207">
        <v>3455</v>
      </c>
    </row>
    <row r="29" spans="1:92" ht="9.75">
      <c r="A29" s="207">
        <v>91</v>
      </c>
      <c r="B29" s="207" t="s">
        <v>86</v>
      </c>
      <c r="C29" s="207">
        <v>648042</v>
      </c>
      <c r="D29" s="207">
        <v>1955475036.9200003</v>
      </c>
      <c r="E29" s="207">
        <v>586464327.9868814</v>
      </c>
      <c r="F29" s="207">
        <v>307200292.939614</v>
      </c>
      <c r="G29" s="207">
        <v>2849139657.8464956</v>
      </c>
      <c r="H29" s="207">
        <v>3654.72</v>
      </c>
      <c r="I29" s="207">
        <v>2368412058.24</v>
      </c>
      <c r="J29" s="207">
        <v>480727599.60649586</v>
      </c>
      <c r="K29" s="207">
        <v>37897504.88179547</v>
      </c>
      <c r="L29" s="207">
        <v>-145688751.28879526</v>
      </c>
      <c r="M29" s="207">
        <v>0</v>
      </c>
      <c r="N29" s="207">
        <v>372936353.19949603</v>
      </c>
      <c r="O29" s="207">
        <v>-373644673.9573637</v>
      </c>
      <c r="P29" s="207">
        <v>-708320.7578676939</v>
      </c>
      <c r="Q29" s="207">
        <v>39331</v>
      </c>
      <c r="R29" s="207">
        <v>6468</v>
      </c>
      <c r="S29" s="207">
        <v>36113</v>
      </c>
      <c r="T29" s="207">
        <v>16140</v>
      </c>
      <c r="U29" s="207">
        <v>16097</v>
      </c>
      <c r="V29" s="207">
        <v>423590</v>
      </c>
      <c r="W29" s="207">
        <v>63695</v>
      </c>
      <c r="X29" s="207">
        <v>32946</v>
      </c>
      <c r="Y29" s="207">
        <v>13662</v>
      </c>
      <c r="Z29" s="207">
        <v>36533</v>
      </c>
      <c r="AA29" s="207">
        <v>67</v>
      </c>
      <c r="AB29" s="207">
        <v>509617</v>
      </c>
      <c r="AC29" s="207">
        <v>101825</v>
      </c>
      <c r="AD29" s="207">
        <v>110303</v>
      </c>
      <c r="AE29" s="480">
        <v>0.7682333507221136</v>
      </c>
      <c r="AF29" s="207">
        <v>586464327.9868814</v>
      </c>
      <c r="AG29" s="175">
        <v>32857</v>
      </c>
      <c r="AH29" s="175">
        <v>341043</v>
      </c>
      <c r="AI29" s="175">
        <v>0.9875134209618166</v>
      </c>
      <c r="AJ29" s="175">
        <v>101825</v>
      </c>
      <c r="AK29" s="175">
        <v>0.15712716151113662</v>
      </c>
      <c r="AL29" s="175">
        <v>0.15384608240067363</v>
      </c>
      <c r="AM29" s="175">
        <v>1</v>
      </c>
      <c r="AN29" s="175">
        <v>36533</v>
      </c>
      <c r="AO29" s="175">
        <v>67</v>
      </c>
      <c r="AP29" s="175">
        <v>3</v>
      </c>
      <c r="AQ29" s="175">
        <v>1121</v>
      </c>
      <c r="AR29" s="175">
        <v>214.25</v>
      </c>
      <c r="AS29" s="175">
        <v>3024.700116686114</v>
      </c>
      <c r="AT29" s="175">
        <v>0.006000767494530676</v>
      </c>
      <c r="AU29" s="175">
        <v>38304</v>
      </c>
      <c r="AV29" s="175">
        <v>235806</v>
      </c>
      <c r="AW29" s="175">
        <v>0.1624386147935167</v>
      </c>
      <c r="AX29" s="175">
        <v>0.1069773810640317</v>
      </c>
      <c r="AY29" s="175">
        <v>0</v>
      </c>
      <c r="AZ29" s="207">
        <v>397346</v>
      </c>
      <c r="BA29" s="175">
        <v>309685</v>
      </c>
      <c r="BB29" s="175">
        <v>1.283065049970131</v>
      </c>
      <c r="BC29" s="175">
        <v>0.8933702025464192</v>
      </c>
      <c r="BD29" s="175">
        <v>0</v>
      </c>
      <c r="BE29" s="175">
        <v>67</v>
      </c>
      <c r="BF29" s="207">
        <v>-4059046.32</v>
      </c>
      <c r="BG29" s="207">
        <v>-4966059.84</v>
      </c>
      <c r="BH29" s="207">
        <v>-2656972.1999999997</v>
      </c>
      <c r="BI29" s="207">
        <v>-10742642.4</v>
      </c>
      <c r="BJ29" s="207">
        <v>0</v>
      </c>
      <c r="BK29" s="207">
        <v>0</v>
      </c>
      <c r="BL29" s="207">
        <v>-6090483</v>
      </c>
      <c r="BM29" s="207">
        <v>-57153769.50932944</v>
      </c>
      <c r="BN29" s="207">
        <v>-27580667.520000003</v>
      </c>
      <c r="BO29" s="207">
        <v>-5538615.30365333</v>
      </c>
      <c r="BP29" s="207">
        <v>33023199</v>
      </c>
      <c r="BQ29" s="207">
        <v>13663332</v>
      </c>
      <c r="BR29" s="207">
        <v>32140867.169646222</v>
      </c>
      <c r="BS29" s="207">
        <v>1308957.284300828</v>
      </c>
      <c r="BT29" s="207">
        <v>-4477969.055873193</v>
      </c>
      <c r="BU29" s="207">
        <v>10724768.73021238</v>
      </c>
      <c r="BV29" s="207">
        <v>29262801.231433734</v>
      </c>
      <c r="BW29" s="207">
        <v>38415270.92514888</v>
      </c>
      <c r="BX29" s="207">
        <v>16686708.26220784</v>
      </c>
      <c r="BY29" s="207">
        <v>24888950.39224589</v>
      </c>
      <c r="BZ29" s="207">
        <v>58323.78</v>
      </c>
      <c r="CA29" s="207">
        <v>-7089851.25581247</v>
      </c>
      <c r="CB29" s="207">
        <v>-18660625.779465802</v>
      </c>
      <c r="CC29" s="207">
        <v>-145688751.28879526</v>
      </c>
      <c r="CD29" s="207">
        <v>0</v>
      </c>
      <c r="CE29" s="207">
        <v>40187533.04303831</v>
      </c>
      <c r="CF29" s="207">
        <v>0</v>
      </c>
      <c r="CG29" s="207">
        <v>-373644673.9573637</v>
      </c>
      <c r="CH29" s="207">
        <v>19805670</v>
      </c>
      <c r="CI29" s="207">
        <v>3807776.866300001</v>
      </c>
      <c r="CJ29" s="207">
        <v>82888450.51518995</v>
      </c>
      <c r="CK29" s="207">
        <v>-79080673.64888994</v>
      </c>
      <c r="CL29" s="207">
        <v>19097349.242132306</v>
      </c>
      <c r="CM29" s="207">
        <v>202178434.3339942</v>
      </c>
      <c r="CN29" s="207">
        <v>643272</v>
      </c>
    </row>
    <row r="30" spans="1:92" ht="9.75">
      <c r="A30" s="207">
        <v>97</v>
      </c>
      <c r="B30" s="207" t="s">
        <v>87</v>
      </c>
      <c r="C30" s="207">
        <v>2152</v>
      </c>
      <c r="D30" s="207">
        <v>7843359.51</v>
      </c>
      <c r="E30" s="207">
        <v>3524440.5474222745</v>
      </c>
      <c r="F30" s="207">
        <v>1195726.9730076839</v>
      </c>
      <c r="G30" s="207">
        <v>12563527.03042996</v>
      </c>
      <c r="H30" s="207">
        <v>3654.72</v>
      </c>
      <c r="I30" s="207">
        <v>7864957.4399999995</v>
      </c>
      <c r="J30" s="207">
        <v>4698569.59042996</v>
      </c>
      <c r="K30" s="207">
        <v>56999.04012997025</v>
      </c>
      <c r="L30" s="207">
        <v>-194095.15312118104</v>
      </c>
      <c r="M30" s="207">
        <v>0</v>
      </c>
      <c r="N30" s="207">
        <v>4561473.477438749</v>
      </c>
      <c r="O30" s="207">
        <v>1618387.6908562146</v>
      </c>
      <c r="P30" s="207">
        <v>6179861.168294963</v>
      </c>
      <c r="Q30" s="207">
        <v>88</v>
      </c>
      <c r="R30" s="207">
        <v>12</v>
      </c>
      <c r="S30" s="207">
        <v>99</v>
      </c>
      <c r="T30" s="207">
        <v>44</v>
      </c>
      <c r="U30" s="207">
        <v>63</v>
      </c>
      <c r="V30" s="207">
        <v>1083</v>
      </c>
      <c r="W30" s="207">
        <v>424</v>
      </c>
      <c r="X30" s="207">
        <v>228</v>
      </c>
      <c r="Y30" s="207">
        <v>111</v>
      </c>
      <c r="Z30" s="207">
        <v>8</v>
      </c>
      <c r="AA30" s="207">
        <v>0</v>
      </c>
      <c r="AB30" s="207">
        <v>2109</v>
      </c>
      <c r="AC30" s="207">
        <v>35</v>
      </c>
      <c r="AD30" s="207">
        <v>763</v>
      </c>
      <c r="AE30" s="480">
        <v>1.3902811407015365</v>
      </c>
      <c r="AF30" s="207">
        <v>3524440.5474222745</v>
      </c>
      <c r="AG30" s="175">
        <v>108</v>
      </c>
      <c r="AH30" s="175">
        <v>913</v>
      </c>
      <c r="AI30" s="175">
        <v>1.212487351576328</v>
      </c>
      <c r="AJ30" s="175">
        <v>35</v>
      </c>
      <c r="AK30" s="175">
        <v>0.016263940520446097</v>
      </c>
      <c r="AL30" s="175">
        <v>0.012982861409983101</v>
      </c>
      <c r="AM30" s="175">
        <v>0</v>
      </c>
      <c r="AN30" s="175">
        <v>8</v>
      </c>
      <c r="AO30" s="175">
        <v>0</v>
      </c>
      <c r="AP30" s="175">
        <v>3</v>
      </c>
      <c r="AQ30" s="175">
        <v>1678</v>
      </c>
      <c r="AR30" s="175">
        <v>465.28</v>
      </c>
      <c r="AS30" s="175">
        <v>4.625171939477304</v>
      </c>
      <c r="AT30" s="175">
        <v>3.924291329797436</v>
      </c>
      <c r="AU30" s="175">
        <v>80</v>
      </c>
      <c r="AV30" s="175">
        <v>512</v>
      </c>
      <c r="AW30" s="175">
        <v>0.15625</v>
      </c>
      <c r="AX30" s="175">
        <v>0.100788766270515</v>
      </c>
      <c r="AY30" s="175">
        <v>0</v>
      </c>
      <c r="AZ30" s="207">
        <v>587</v>
      </c>
      <c r="BA30" s="175">
        <v>739</v>
      </c>
      <c r="BB30" s="175">
        <v>0.7943166441136671</v>
      </c>
      <c r="BC30" s="175">
        <v>0.40462179668995524</v>
      </c>
      <c r="BD30" s="175">
        <v>0</v>
      </c>
      <c r="BE30" s="175">
        <v>0</v>
      </c>
      <c r="BF30" s="207">
        <v>-14109.16</v>
      </c>
      <c r="BG30" s="207">
        <v>-17261.92</v>
      </c>
      <c r="BH30" s="207">
        <v>-8823.199999999999</v>
      </c>
      <c r="BI30" s="207">
        <v>-37341.2</v>
      </c>
      <c r="BJ30" s="207">
        <v>0</v>
      </c>
      <c r="BK30" s="207">
        <v>0</v>
      </c>
      <c r="BL30" s="207">
        <v>79164</v>
      </c>
      <c r="BM30" s="207">
        <v>-125603.07111037521</v>
      </c>
      <c r="BN30" s="207">
        <v>-91589.12000000001</v>
      </c>
      <c r="BO30" s="207">
        <v>86034.37929508742</v>
      </c>
      <c r="BP30" s="207">
        <v>269011</v>
      </c>
      <c r="BQ30" s="207">
        <v>77732</v>
      </c>
      <c r="BR30" s="207">
        <v>190041.25671568306</v>
      </c>
      <c r="BS30" s="207">
        <v>10897.25655848356</v>
      </c>
      <c r="BT30" s="207">
        <v>25535.254371790128</v>
      </c>
      <c r="BU30" s="207">
        <v>85775.7317094981</v>
      </c>
      <c r="BV30" s="207">
        <v>128813.02749965513</v>
      </c>
      <c r="BW30" s="207">
        <v>190256.9129628398</v>
      </c>
      <c r="BX30" s="207">
        <v>60157.40708463334</v>
      </c>
      <c r="BY30" s="207">
        <v>104659.8190082085</v>
      </c>
      <c r="BZ30" s="207">
        <v>193.68</v>
      </c>
      <c r="CA30" s="207">
        <v>1220.7786941067607</v>
      </c>
      <c r="CB30" s="207">
        <v>166612.83798919417</v>
      </c>
      <c r="CC30" s="207">
        <v>-194095.15312118104</v>
      </c>
      <c r="CD30" s="207">
        <v>0</v>
      </c>
      <c r="CE30" s="207">
        <v>146024.33641927896</v>
      </c>
      <c r="CF30" s="207">
        <v>0</v>
      </c>
      <c r="CG30" s="207">
        <v>1618387.6908562146</v>
      </c>
      <c r="CH30" s="207">
        <v>-545571</v>
      </c>
      <c r="CI30" s="207">
        <v>104670.874</v>
      </c>
      <c r="CJ30" s="207">
        <v>95413.61878</v>
      </c>
      <c r="CK30" s="207">
        <v>9257.255219999992</v>
      </c>
      <c r="CL30" s="207">
        <v>5634290.168294963</v>
      </c>
      <c r="CM30" s="207">
        <v>6769178.622782105</v>
      </c>
      <c r="CN30" s="207">
        <v>2236</v>
      </c>
    </row>
    <row r="31" spans="1:92" ht="9.75">
      <c r="A31" s="207">
        <v>98</v>
      </c>
      <c r="B31" s="207" t="s">
        <v>88</v>
      </c>
      <c r="C31" s="207">
        <v>23602</v>
      </c>
      <c r="D31" s="207">
        <v>85909123.29</v>
      </c>
      <c r="E31" s="207">
        <v>28239466.57803512</v>
      </c>
      <c r="F31" s="207">
        <v>4263290.141301064</v>
      </c>
      <c r="G31" s="207">
        <v>118411880.00933619</v>
      </c>
      <c r="H31" s="207">
        <v>3654.72</v>
      </c>
      <c r="I31" s="207">
        <v>86258701.44</v>
      </c>
      <c r="J31" s="207">
        <v>32153178.56933619</v>
      </c>
      <c r="K31" s="207">
        <v>356753.27280405536</v>
      </c>
      <c r="L31" s="207">
        <v>-2772398.926250199</v>
      </c>
      <c r="M31" s="207">
        <v>0</v>
      </c>
      <c r="N31" s="207">
        <v>29737532.915890045</v>
      </c>
      <c r="O31" s="207">
        <v>6796347.8278287165</v>
      </c>
      <c r="P31" s="207">
        <v>36533880.74371876</v>
      </c>
      <c r="Q31" s="207">
        <v>1389</v>
      </c>
      <c r="R31" s="207">
        <v>307</v>
      </c>
      <c r="S31" s="207">
        <v>1852</v>
      </c>
      <c r="T31" s="207">
        <v>1034</v>
      </c>
      <c r="U31" s="207">
        <v>866</v>
      </c>
      <c r="V31" s="207">
        <v>12540</v>
      </c>
      <c r="W31" s="207">
        <v>3346</v>
      </c>
      <c r="X31" s="207">
        <v>1693</v>
      </c>
      <c r="Y31" s="207">
        <v>575</v>
      </c>
      <c r="Z31" s="207">
        <v>73</v>
      </c>
      <c r="AA31" s="207">
        <v>0</v>
      </c>
      <c r="AB31" s="207">
        <v>22893</v>
      </c>
      <c r="AC31" s="207">
        <v>636</v>
      </c>
      <c r="AD31" s="207">
        <v>5614</v>
      </c>
      <c r="AE31" s="480">
        <v>1.0156928435762875</v>
      </c>
      <c r="AF31" s="207">
        <v>28239466.57803512</v>
      </c>
      <c r="AG31" s="175">
        <v>973</v>
      </c>
      <c r="AH31" s="175">
        <v>11026</v>
      </c>
      <c r="AI31" s="175">
        <v>0.9045219097331217</v>
      </c>
      <c r="AJ31" s="175">
        <v>636</v>
      </c>
      <c r="AK31" s="175">
        <v>0.026946868909414456</v>
      </c>
      <c r="AL31" s="175">
        <v>0.02366578979895146</v>
      </c>
      <c r="AM31" s="175">
        <v>0</v>
      </c>
      <c r="AN31" s="175">
        <v>73</v>
      </c>
      <c r="AO31" s="175">
        <v>0</v>
      </c>
      <c r="AP31" s="175">
        <v>0</v>
      </c>
      <c r="AQ31" s="175">
        <v>0</v>
      </c>
      <c r="AR31" s="175">
        <v>651.16</v>
      </c>
      <c r="AS31" s="175">
        <v>36.2460839117882</v>
      </c>
      <c r="AT31" s="175">
        <v>0.5007581559730964</v>
      </c>
      <c r="AU31" s="175">
        <v>975</v>
      </c>
      <c r="AV31" s="175">
        <v>7397</v>
      </c>
      <c r="AW31" s="175">
        <v>0.13181019332161686</v>
      </c>
      <c r="AX31" s="175">
        <v>0.07634895959213187</v>
      </c>
      <c r="AY31" s="175">
        <v>0</v>
      </c>
      <c r="AZ31" s="207">
        <v>6072</v>
      </c>
      <c r="BA31" s="175">
        <v>9784</v>
      </c>
      <c r="BB31" s="175">
        <v>0.6206050695012265</v>
      </c>
      <c r="BC31" s="175">
        <v>0.23091022207751466</v>
      </c>
      <c r="BD31" s="175">
        <v>0</v>
      </c>
      <c r="BE31" s="175">
        <v>0</v>
      </c>
      <c r="BF31" s="207">
        <v>-150064.41999999998</v>
      </c>
      <c r="BG31" s="207">
        <v>-183597.04</v>
      </c>
      <c r="BH31" s="207">
        <v>-96768.2</v>
      </c>
      <c r="BI31" s="207">
        <v>-397159.39999999997</v>
      </c>
      <c r="BJ31" s="207">
        <v>0</v>
      </c>
      <c r="BK31" s="207">
        <v>0</v>
      </c>
      <c r="BL31" s="207">
        <v>560493</v>
      </c>
      <c r="BM31" s="207">
        <v>-840747.4579382241</v>
      </c>
      <c r="BN31" s="207">
        <v>-1004501.1200000001</v>
      </c>
      <c r="BO31" s="207">
        <v>-44.645317622460425</v>
      </c>
      <c r="BP31" s="207">
        <v>1736483</v>
      </c>
      <c r="BQ31" s="207">
        <v>558359</v>
      </c>
      <c r="BR31" s="207">
        <v>1223351.0324556248</v>
      </c>
      <c r="BS31" s="207">
        <v>36326.02643451036</v>
      </c>
      <c r="BT31" s="207">
        <v>-13553.016595419416</v>
      </c>
      <c r="BU31" s="207">
        <v>554073.5128430926</v>
      </c>
      <c r="BV31" s="207">
        <v>1083021.0232353462</v>
      </c>
      <c r="BW31" s="207">
        <v>1830343.4831230547</v>
      </c>
      <c r="BX31" s="207">
        <v>480880.2445510101</v>
      </c>
      <c r="BY31" s="207">
        <v>881083.6226666378</v>
      </c>
      <c r="BZ31" s="207">
        <v>2124.18</v>
      </c>
      <c r="CA31" s="207">
        <v>61503.497005647485</v>
      </c>
      <c r="CB31" s="207">
        <v>624076.0316880251</v>
      </c>
      <c r="CC31" s="207">
        <v>-2772398.926250199</v>
      </c>
      <c r="CD31" s="207">
        <v>0</v>
      </c>
      <c r="CE31" s="207">
        <v>1130665.4157508614</v>
      </c>
      <c r="CF31" s="207">
        <v>0</v>
      </c>
      <c r="CG31" s="207">
        <v>6796347.8278287165</v>
      </c>
      <c r="CH31" s="207">
        <v>-4557126</v>
      </c>
      <c r="CI31" s="207">
        <v>757300.5702</v>
      </c>
      <c r="CJ31" s="207">
        <v>3344929.058282</v>
      </c>
      <c r="CK31" s="207">
        <v>-2587628.488082</v>
      </c>
      <c r="CL31" s="207">
        <v>31976754.74371876</v>
      </c>
      <c r="CM31" s="207">
        <v>36722045.230128616</v>
      </c>
      <c r="CN31" s="207">
        <v>23782</v>
      </c>
    </row>
    <row r="32" spans="1:92" ht="9.75">
      <c r="A32" s="207">
        <v>99</v>
      </c>
      <c r="B32" s="207" t="s">
        <v>89</v>
      </c>
      <c r="C32" s="207">
        <v>1666</v>
      </c>
      <c r="D32" s="207">
        <v>5777694.640000001</v>
      </c>
      <c r="E32" s="207">
        <v>2152981.032978004</v>
      </c>
      <c r="F32" s="207">
        <v>680212.0538314395</v>
      </c>
      <c r="G32" s="207">
        <v>8610887.726809444</v>
      </c>
      <c r="H32" s="207">
        <v>3654.72</v>
      </c>
      <c r="I32" s="207">
        <v>6088763.52</v>
      </c>
      <c r="J32" s="207">
        <v>2522124.2068094444</v>
      </c>
      <c r="K32" s="207">
        <v>62674.3459069594</v>
      </c>
      <c r="L32" s="207">
        <v>-92813.33359968095</v>
      </c>
      <c r="M32" s="207">
        <v>0</v>
      </c>
      <c r="N32" s="207">
        <v>2491985.2191167227</v>
      </c>
      <c r="O32" s="207">
        <v>1435336.5525646426</v>
      </c>
      <c r="P32" s="207">
        <v>3927321.7716813656</v>
      </c>
      <c r="Q32" s="207">
        <v>87</v>
      </c>
      <c r="R32" s="207">
        <v>25</v>
      </c>
      <c r="S32" s="207">
        <v>91</v>
      </c>
      <c r="T32" s="207">
        <v>41</v>
      </c>
      <c r="U32" s="207">
        <v>45</v>
      </c>
      <c r="V32" s="207">
        <v>906</v>
      </c>
      <c r="W32" s="207">
        <v>270</v>
      </c>
      <c r="X32" s="207">
        <v>143</v>
      </c>
      <c r="Y32" s="207">
        <v>58</v>
      </c>
      <c r="Z32" s="207">
        <v>4</v>
      </c>
      <c r="AA32" s="207">
        <v>0</v>
      </c>
      <c r="AB32" s="207">
        <v>1554</v>
      </c>
      <c r="AC32" s="207">
        <v>108</v>
      </c>
      <c r="AD32" s="207">
        <v>471</v>
      </c>
      <c r="AE32" s="480">
        <v>1.0970335670658775</v>
      </c>
      <c r="AF32" s="207">
        <v>2152981.032978004</v>
      </c>
      <c r="AG32" s="175">
        <v>57</v>
      </c>
      <c r="AH32" s="175">
        <v>799</v>
      </c>
      <c r="AI32" s="175">
        <v>0.7312271620009233</v>
      </c>
      <c r="AJ32" s="175">
        <v>108</v>
      </c>
      <c r="AK32" s="175">
        <v>0.06482593037214886</v>
      </c>
      <c r="AL32" s="175">
        <v>0.06154485126168586</v>
      </c>
      <c r="AM32" s="175">
        <v>0</v>
      </c>
      <c r="AN32" s="175">
        <v>4</v>
      </c>
      <c r="AO32" s="175">
        <v>0</v>
      </c>
      <c r="AP32" s="175">
        <v>0</v>
      </c>
      <c r="AQ32" s="175">
        <v>0</v>
      </c>
      <c r="AR32" s="175">
        <v>331.49</v>
      </c>
      <c r="AS32" s="175">
        <v>5.025792633261938</v>
      </c>
      <c r="AT32" s="175">
        <v>3.6114745405109896</v>
      </c>
      <c r="AU32" s="175">
        <v>105</v>
      </c>
      <c r="AV32" s="175">
        <v>435</v>
      </c>
      <c r="AW32" s="175">
        <v>0.2413793103448276</v>
      </c>
      <c r="AX32" s="175">
        <v>0.1859180766153426</v>
      </c>
      <c r="AY32" s="175">
        <v>0</v>
      </c>
      <c r="AZ32" s="207">
        <v>650</v>
      </c>
      <c r="BA32" s="175">
        <v>674</v>
      </c>
      <c r="BB32" s="175">
        <v>0.9643916913946587</v>
      </c>
      <c r="BC32" s="175">
        <v>0.5746968439709469</v>
      </c>
      <c r="BD32" s="175">
        <v>0</v>
      </c>
      <c r="BE32" s="175">
        <v>0</v>
      </c>
      <c r="BF32" s="207">
        <v>-10771.17</v>
      </c>
      <c r="BG32" s="207">
        <v>-13178.039999999999</v>
      </c>
      <c r="BH32" s="207">
        <v>-6830.599999999999</v>
      </c>
      <c r="BI32" s="207">
        <v>-28506.899999999998</v>
      </c>
      <c r="BJ32" s="207">
        <v>0</v>
      </c>
      <c r="BK32" s="207">
        <v>0</v>
      </c>
      <c r="BL32" s="207">
        <v>53239</v>
      </c>
      <c r="BM32" s="207">
        <v>-23890.789868091324</v>
      </c>
      <c r="BN32" s="207">
        <v>-70904.96</v>
      </c>
      <c r="BO32" s="207">
        <v>83056.90863813274</v>
      </c>
      <c r="BP32" s="207">
        <v>201096</v>
      </c>
      <c r="BQ32" s="207">
        <v>75004</v>
      </c>
      <c r="BR32" s="207">
        <v>202131.85211242025</v>
      </c>
      <c r="BS32" s="207">
        <v>12153.77722601064</v>
      </c>
      <c r="BT32" s="207">
        <v>33334.52188881473</v>
      </c>
      <c r="BU32" s="207">
        <v>79746.42832374311</v>
      </c>
      <c r="BV32" s="207">
        <v>132875.38595823853</v>
      </c>
      <c r="BW32" s="207">
        <v>184969.65485741253</v>
      </c>
      <c r="BX32" s="207">
        <v>61744.17835344121</v>
      </c>
      <c r="BY32" s="207">
        <v>105025.73872890107</v>
      </c>
      <c r="BZ32" s="207">
        <v>149.94</v>
      </c>
      <c r="CA32" s="207">
        <v>-24097.162369722362</v>
      </c>
      <c r="CB32" s="207">
        <v>112348.68626841038</v>
      </c>
      <c r="CC32" s="207">
        <v>-92813.33359968095</v>
      </c>
      <c r="CD32" s="207">
        <v>0</v>
      </c>
      <c r="CE32" s="207">
        <v>145656.161221939</v>
      </c>
      <c r="CF32" s="207">
        <v>0</v>
      </c>
      <c r="CG32" s="207">
        <v>1435336.5525646426</v>
      </c>
      <c r="CH32" s="207">
        <v>-421929</v>
      </c>
      <c r="CI32" s="207">
        <v>57093.204</v>
      </c>
      <c r="CJ32" s="207">
        <v>105445.71034</v>
      </c>
      <c r="CK32" s="207">
        <v>-48352.50634000001</v>
      </c>
      <c r="CL32" s="207">
        <v>3505392.7716813656</v>
      </c>
      <c r="CM32" s="207">
        <v>4591967.668308713</v>
      </c>
      <c r="CN32" s="207">
        <v>1707</v>
      </c>
    </row>
    <row r="33" spans="1:92" ht="9.75">
      <c r="A33" s="207">
        <v>102</v>
      </c>
      <c r="B33" s="207" t="s">
        <v>90</v>
      </c>
      <c r="C33" s="207">
        <v>10091</v>
      </c>
      <c r="D33" s="207">
        <v>36629048.29</v>
      </c>
      <c r="E33" s="207">
        <v>13012789.823977286</v>
      </c>
      <c r="F33" s="207">
        <v>2102084.6469936557</v>
      </c>
      <c r="G33" s="207">
        <v>51743922.760970935</v>
      </c>
      <c r="H33" s="207">
        <v>3654.72</v>
      </c>
      <c r="I33" s="207">
        <v>36879779.519999996</v>
      </c>
      <c r="J33" s="207">
        <v>14864143.24097094</v>
      </c>
      <c r="K33" s="207">
        <v>401690.1906096006</v>
      </c>
      <c r="L33" s="207">
        <v>-1316588.1725938828</v>
      </c>
      <c r="M33" s="207">
        <v>0</v>
      </c>
      <c r="N33" s="207">
        <v>13949245.258986657</v>
      </c>
      <c r="O33" s="207">
        <v>7323221.3445187695</v>
      </c>
      <c r="P33" s="207">
        <v>21272466.603505425</v>
      </c>
      <c r="Q33" s="207">
        <v>531</v>
      </c>
      <c r="R33" s="207">
        <v>96</v>
      </c>
      <c r="S33" s="207">
        <v>628</v>
      </c>
      <c r="T33" s="207">
        <v>312</v>
      </c>
      <c r="U33" s="207">
        <v>308</v>
      </c>
      <c r="V33" s="207">
        <v>5344</v>
      </c>
      <c r="W33" s="207">
        <v>1568</v>
      </c>
      <c r="X33" s="207">
        <v>928</v>
      </c>
      <c r="Y33" s="207">
        <v>376</v>
      </c>
      <c r="Z33" s="207">
        <v>17</v>
      </c>
      <c r="AA33" s="207">
        <v>0</v>
      </c>
      <c r="AB33" s="207">
        <v>9692</v>
      </c>
      <c r="AC33" s="207">
        <v>382</v>
      </c>
      <c r="AD33" s="207">
        <v>2872</v>
      </c>
      <c r="AE33" s="480">
        <v>1.0946894149468434</v>
      </c>
      <c r="AF33" s="207">
        <v>13012789.823977286</v>
      </c>
      <c r="AG33" s="175">
        <v>314</v>
      </c>
      <c r="AH33" s="175">
        <v>4578</v>
      </c>
      <c r="AI33" s="175">
        <v>0.7030368649673253</v>
      </c>
      <c r="AJ33" s="175">
        <v>382</v>
      </c>
      <c r="AK33" s="175">
        <v>0.037855514815181845</v>
      </c>
      <c r="AL33" s="175">
        <v>0.034574435704718846</v>
      </c>
      <c r="AM33" s="175">
        <v>0</v>
      </c>
      <c r="AN33" s="175">
        <v>17</v>
      </c>
      <c r="AO33" s="175">
        <v>0</v>
      </c>
      <c r="AP33" s="175">
        <v>0</v>
      </c>
      <c r="AQ33" s="175">
        <v>0</v>
      </c>
      <c r="AR33" s="175">
        <v>532.64</v>
      </c>
      <c r="AS33" s="175">
        <v>18.945253829978974</v>
      </c>
      <c r="AT33" s="175">
        <v>0.9580511458860363</v>
      </c>
      <c r="AU33" s="175">
        <v>419</v>
      </c>
      <c r="AV33" s="175">
        <v>2845</v>
      </c>
      <c r="AW33" s="175">
        <v>0.14727592267135325</v>
      </c>
      <c r="AX33" s="175">
        <v>0.09181468894186826</v>
      </c>
      <c r="AY33" s="175">
        <v>0</v>
      </c>
      <c r="AZ33" s="207">
        <v>4088</v>
      </c>
      <c r="BA33" s="175">
        <v>4097</v>
      </c>
      <c r="BB33" s="175">
        <v>0.9978032706858677</v>
      </c>
      <c r="BC33" s="175">
        <v>0.6081084232621559</v>
      </c>
      <c r="BD33" s="175">
        <v>0</v>
      </c>
      <c r="BE33" s="175">
        <v>0</v>
      </c>
      <c r="BF33" s="207">
        <v>-64406.17</v>
      </c>
      <c r="BG33" s="207">
        <v>-78798.04</v>
      </c>
      <c r="BH33" s="207">
        <v>-41373.1</v>
      </c>
      <c r="BI33" s="207">
        <v>-170456.9</v>
      </c>
      <c r="BJ33" s="207">
        <v>0</v>
      </c>
      <c r="BK33" s="207">
        <v>0</v>
      </c>
      <c r="BL33" s="207">
        <v>10018</v>
      </c>
      <c r="BM33" s="207">
        <v>-296204.245987186</v>
      </c>
      <c r="BN33" s="207">
        <v>-429472.96</v>
      </c>
      <c r="BO33" s="207">
        <v>66100.35522380471</v>
      </c>
      <c r="BP33" s="207">
        <v>957097</v>
      </c>
      <c r="BQ33" s="207">
        <v>307625</v>
      </c>
      <c r="BR33" s="207">
        <v>775785.650171192</v>
      </c>
      <c r="BS33" s="207">
        <v>36395.60139388675</v>
      </c>
      <c r="BT33" s="207">
        <v>60999.028802497414</v>
      </c>
      <c r="BU33" s="207">
        <v>342628.85533858417</v>
      </c>
      <c r="BV33" s="207">
        <v>602833.9381420163</v>
      </c>
      <c r="BW33" s="207">
        <v>951555.9253372285</v>
      </c>
      <c r="BX33" s="207">
        <v>298048.6815636204</v>
      </c>
      <c r="BY33" s="207">
        <v>488371.1271958896</v>
      </c>
      <c r="BZ33" s="207">
        <v>908.1899999999999</v>
      </c>
      <c r="CA33" s="207">
        <v>-3513.2418305016763</v>
      </c>
      <c r="CB33" s="207">
        <v>73513.30339330304</v>
      </c>
      <c r="CC33" s="207">
        <v>-1316588.1725938828</v>
      </c>
      <c r="CD33" s="207">
        <v>0</v>
      </c>
      <c r="CE33" s="207">
        <v>660127.5403372449</v>
      </c>
      <c r="CF33" s="207">
        <v>0</v>
      </c>
      <c r="CG33" s="207">
        <v>7323221.3445187695</v>
      </c>
      <c r="CH33" s="207">
        <v>602222</v>
      </c>
      <c r="CI33" s="207">
        <v>306128.3224</v>
      </c>
      <c r="CJ33" s="207">
        <v>99600.45374000001</v>
      </c>
      <c r="CK33" s="207">
        <v>206527.86865999998</v>
      </c>
      <c r="CL33" s="207">
        <v>21874688.603505425</v>
      </c>
      <c r="CM33" s="207">
        <v>25671626.4804503</v>
      </c>
      <c r="CN33" s="207">
        <v>10207</v>
      </c>
    </row>
    <row r="34" spans="1:92" ht="9.75">
      <c r="A34" s="207">
        <v>103</v>
      </c>
      <c r="B34" s="207" t="s">
        <v>91</v>
      </c>
      <c r="C34" s="207">
        <v>2235</v>
      </c>
      <c r="D34" s="207">
        <v>8232902.220000001</v>
      </c>
      <c r="E34" s="207">
        <v>2764199.38902063</v>
      </c>
      <c r="F34" s="207">
        <v>429148.2165036772</v>
      </c>
      <c r="G34" s="207">
        <v>11426249.82552431</v>
      </c>
      <c r="H34" s="207">
        <v>3654.72</v>
      </c>
      <c r="I34" s="207">
        <v>8168299.199999999</v>
      </c>
      <c r="J34" s="207">
        <v>3257950.6255243104</v>
      </c>
      <c r="K34" s="207">
        <v>42723.901516782615</v>
      </c>
      <c r="L34" s="207">
        <v>-297531.1323173372</v>
      </c>
      <c r="M34" s="207">
        <v>0</v>
      </c>
      <c r="N34" s="207">
        <v>3003143.394723756</v>
      </c>
      <c r="O34" s="207">
        <v>1821119.931584804</v>
      </c>
      <c r="P34" s="207">
        <v>4824263.32630856</v>
      </c>
      <c r="Q34" s="207">
        <v>99</v>
      </c>
      <c r="R34" s="207">
        <v>23</v>
      </c>
      <c r="S34" s="207">
        <v>152</v>
      </c>
      <c r="T34" s="207">
        <v>81</v>
      </c>
      <c r="U34" s="207">
        <v>74</v>
      </c>
      <c r="V34" s="207">
        <v>1184</v>
      </c>
      <c r="W34" s="207">
        <v>374</v>
      </c>
      <c r="X34" s="207">
        <v>153</v>
      </c>
      <c r="Y34" s="207">
        <v>95</v>
      </c>
      <c r="Z34" s="207">
        <v>5</v>
      </c>
      <c r="AA34" s="207">
        <v>0</v>
      </c>
      <c r="AB34" s="207">
        <v>2192</v>
      </c>
      <c r="AC34" s="207">
        <v>38</v>
      </c>
      <c r="AD34" s="207">
        <v>622</v>
      </c>
      <c r="AE34" s="480">
        <v>1.0498966469618738</v>
      </c>
      <c r="AF34" s="207">
        <v>2764199.38902063</v>
      </c>
      <c r="AG34" s="175">
        <v>93</v>
      </c>
      <c r="AH34" s="175">
        <v>1044</v>
      </c>
      <c r="AI34" s="175">
        <v>0.9130754978625162</v>
      </c>
      <c r="AJ34" s="175">
        <v>38</v>
      </c>
      <c r="AK34" s="175">
        <v>0.017002237136465325</v>
      </c>
      <c r="AL34" s="175">
        <v>0.01372115802600233</v>
      </c>
      <c r="AM34" s="175">
        <v>0</v>
      </c>
      <c r="AN34" s="175">
        <v>5</v>
      </c>
      <c r="AO34" s="175">
        <v>0</v>
      </c>
      <c r="AP34" s="175">
        <v>0</v>
      </c>
      <c r="AQ34" s="175">
        <v>0</v>
      </c>
      <c r="AR34" s="175">
        <v>147.96</v>
      </c>
      <c r="AS34" s="175">
        <v>15.105433901054338</v>
      </c>
      <c r="AT34" s="175">
        <v>1.20158892884542</v>
      </c>
      <c r="AU34" s="175">
        <v>87</v>
      </c>
      <c r="AV34" s="175">
        <v>632</v>
      </c>
      <c r="AW34" s="175">
        <v>0.13765822784810128</v>
      </c>
      <c r="AX34" s="175">
        <v>0.08219699411861628</v>
      </c>
      <c r="AY34" s="175">
        <v>0</v>
      </c>
      <c r="AZ34" s="207">
        <v>619</v>
      </c>
      <c r="BA34" s="175">
        <v>908</v>
      </c>
      <c r="BB34" s="175">
        <v>0.6817180616740088</v>
      </c>
      <c r="BC34" s="175">
        <v>0.292023214250297</v>
      </c>
      <c r="BD34" s="175">
        <v>0</v>
      </c>
      <c r="BE34" s="175">
        <v>0</v>
      </c>
      <c r="BF34" s="207">
        <v>-14449.9</v>
      </c>
      <c r="BG34" s="207">
        <v>-17678.8</v>
      </c>
      <c r="BH34" s="207">
        <v>-9163.5</v>
      </c>
      <c r="BI34" s="207">
        <v>-38243</v>
      </c>
      <c r="BJ34" s="207">
        <v>0</v>
      </c>
      <c r="BK34" s="207">
        <v>0</v>
      </c>
      <c r="BL34" s="207">
        <v>-12271</v>
      </c>
      <c r="BM34" s="207">
        <v>-102955.94018985443</v>
      </c>
      <c r="BN34" s="207">
        <v>-95121.6</v>
      </c>
      <c r="BO34" s="207">
        <v>46918.21716419887</v>
      </c>
      <c r="BP34" s="207">
        <v>237213</v>
      </c>
      <c r="BQ34" s="207">
        <v>76959</v>
      </c>
      <c r="BR34" s="207">
        <v>185381.41894099</v>
      </c>
      <c r="BS34" s="207">
        <v>8896.713697212512</v>
      </c>
      <c r="BT34" s="207">
        <v>23020.65466639808</v>
      </c>
      <c r="BU34" s="207">
        <v>81482.30875896385</v>
      </c>
      <c r="BV34" s="207">
        <v>137785.34401540196</v>
      </c>
      <c r="BW34" s="207">
        <v>228247.47389965283</v>
      </c>
      <c r="BX34" s="207">
        <v>63114.29034411508</v>
      </c>
      <c r="BY34" s="207">
        <v>116107.3790465076</v>
      </c>
      <c r="BZ34" s="207">
        <v>201.15</v>
      </c>
      <c r="CA34" s="207">
        <v>13758.340708318348</v>
      </c>
      <c r="CB34" s="207">
        <v>48606.70787251722</v>
      </c>
      <c r="CC34" s="207">
        <v>-297531.1323173372</v>
      </c>
      <c r="CD34" s="207">
        <v>0</v>
      </c>
      <c r="CE34" s="207">
        <v>161350.573436172</v>
      </c>
      <c r="CF34" s="207">
        <v>0</v>
      </c>
      <c r="CG34" s="207">
        <v>1821119.931584804</v>
      </c>
      <c r="CH34" s="207">
        <v>-497301</v>
      </c>
      <c r="CI34" s="207">
        <v>55801.810099999995</v>
      </c>
      <c r="CJ34" s="207">
        <v>53015.118</v>
      </c>
      <c r="CK34" s="207">
        <v>2786.692099999993</v>
      </c>
      <c r="CL34" s="207">
        <v>4326962.32630856</v>
      </c>
      <c r="CM34" s="207">
        <v>5311254.54527275</v>
      </c>
      <c r="CN34" s="207">
        <v>2290</v>
      </c>
    </row>
    <row r="35" spans="1:92" ht="9.75">
      <c r="A35" s="207">
        <v>105</v>
      </c>
      <c r="B35" s="207" t="s">
        <v>92</v>
      </c>
      <c r="C35" s="207">
        <v>2287</v>
      </c>
      <c r="D35" s="207">
        <v>8134962.21</v>
      </c>
      <c r="E35" s="207">
        <v>4955811.65709393</v>
      </c>
      <c r="F35" s="207">
        <v>1421563.7108257972</v>
      </c>
      <c r="G35" s="207">
        <v>14512337.577919727</v>
      </c>
      <c r="H35" s="207">
        <v>3654.72</v>
      </c>
      <c r="I35" s="207">
        <v>8358344.64</v>
      </c>
      <c r="J35" s="207">
        <v>6153992.9379197275</v>
      </c>
      <c r="K35" s="207">
        <v>1156748.2513491088</v>
      </c>
      <c r="L35" s="207">
        <v>-134043.09014103143</v>
      </c>
      <c r="M35" s="207">
        <v>0</v>
      </c>
      <c r="N35" s="207">
        <v>7176698.099127805</v>
      </c>
      <c r="O35" s="207">
        <v>1998473.9352867347</v>
      </c>
      <c r="P35" s="207">
        <v>9175172.03441454</v>
      </c>
      <c r="Q35" s="207">
        <v>74</v>
      </c>
      <c r="R35" s="207">
        <v>12</v>
      </c>
      <c r="S35" s="207">
        <v>89</v>
      </c>
      <c r="T35" s="207">
        <v>48</v>
      </c>
      <c r="U35" s="207">
        <v>57</v>
      </c>
      <c r="V35" s="207">
        <v>1123</v>
      </c>
      <c r="W35" s="207">
        <v>489</v>
      </c>
      <c r="X35" s="207">
        <v>286</v>
      </c>
      <c r="Y35" s="207">
        <v>109</v>
      </c>
      <c r="Z35" s="207">
        <v>2</v>
      </c>
      <c r="AA35" s="207">
        <v>0</v>
      </c>
      <c r="AB35" s="207">
        <v>2253</v>
      </c>
      <c r="AC35" s="207">
        <v>32</v>
      </c>
      <c r="AD35" s="207">
        <v>884</v>
      </c>
      <c r="AE35" s="480">
        <v>1.8395150181152087</v>
      </c>
      <c r="AF35" s="207">
        <v>4955811.65709393</v>
      </c>
      <c r="AG35" s="175">
        <v>119</v>
      </c>
      <c r="AH35" s="175">
        <v>928</v>
      </c>
      <c r="AI35" s="175">
        <v>1.3143869061972513</v>
      </c>
      <c r="AJ35" s="175">
        <v>32</v>
      </c>
      <c r="AK35" s="175">
        <v>0.013992129427197202</v>
      </c>
      <c r="AL35" s="175">
        <v>0.010711050316734205</v>
      </c>
      <c r="AM35" s="175">
        <v>0</v>
      </c>
      <c r="AN35" s="175">
        <v>2</v>
      </c>
      <c r="AO35" s="175">
        <v>0</v>
      </c>
      <c r="AP35" s="175">
        <v>0</v>
      </c>
      <c r="AQ35" s="175">
        <v>0</v>
      </c>
      <c r="AR35" s="175">
        <v>1421.1</v>
      </c>
      <c r="AS35" s="175">
        <v>1.6093167264794879</v>
      </c>
      <c r="AT35" s="175">
        <v>11.278402717294146</v>
      </c>
      <c r="AU35" s="175">
        <v>64</v>
      </c>
      <c r="AV35" s="175">
        <v>491</v>
      </c>
      <c r="AW35" s="175">
        <v>0.13034623217922606</v>
      </c>
      <c r="AX35" s="175">
        <v>0.07488499844974106</v>
      </c>
      <c r="AY35" s="175">
        <v>1.4794166666666668</v>
      </c>
      <c r="AZ35" s="207">
        <v>587</v>
      </c>
      <c r="BA35" s="175">
        <v>730</v>
      </c>
      <c r="BB35" s="175">
        <v>0.8041095890410959</v>
      </c>
      <c r="BC35" s="175">
        <v>0.414414741617384</v>
      </c>
      <c r="BD35" s="175">
        <v>0</v>
      </c>
      <c r="BE35" s="175">
        <v>0</v>
      </c>
      <c r="BF35" s="207">
        <v>-14677.06</v>
      </c>
      <c r="BG35" s="207">
        <v>-17956.72</v>
      </c>
      <c r="BH35" s="207">
        <v>-9376.699999999999</v>
      </c>
      <c r="BI35" s="207">
        <v>-38844.2</v>
      </c>
      <c r="BJ35" s="207">
        <v>0</v>
      </c>
      <c r="BK35" s="207">
        <v>0</v>
      </c>
      <c r="BL35" s="207">
        <v>22819</v>
      </c>
      <c r="BM35" s="207">
        <v>-27209.42801480781</v>
      </c>
      <c r="BN35" s="207">
        <v>-97334.72</v>
      </c>
      <c r="BO35" s="207">
        <v>133478.1041463446</v>
      </c>
      <c r="BP35" s="207">
        <v>279305</v>
      </c>
      <c r="BQ35" s="207">
        <v>81640</v>
      </c>
      <c r="BR35" s="207">
        <v>204901.33930158522</v>
      </c>
      <c r="BS35" s="207">
        <v>13280.894779769194</v>
      </c>
      <c r="BT35" s="207">
        <v>45938.39271567553</v>
      </c>
      <c r="BU35" s="207">
        <v>110928.5401283251</v>
      </c>
      <c r="BV35" s="207">
        <v>130583.63289368991</v>
      </c>
      <c r="BW35" s="207">
        <v>213796.88144553293</v>
      </c>
      <c r="BX35" s="207">
        <v>64702.38056766983</v>
      </c>
      <c r="BY35" s="207">
        <v>116775.48090499833</v>
      </c>
      <c r="BZ35" s="207">
        <v>205.82999999999998</v>
      </c>
      <c r="CA35" s="207">
        <v>-15027.77627256823</v>
      </c>
      <c r="CB35" s="207">
        <v>141475.15787377633</v>
      </c>
      <c r="CC35" s="207">
        <v>-134043.09014103143</v>
      </c>
      <c r="CD35" s="207">
        <v>0</v>
      </c>
      <c r="CE35" s="207">
        <v>151211.7921405517</v>
      </c>
      <c r="CF35" s="207">
        <v>0</v>
      </c>
      <c r="CG35" s="207">
        <v>1998473.9352867347</v>
      </c>
      <c r="CH35" s="207">
        <v>-490727</v>
      </c>
      <c r="CI35" s="207">
        <v>13593.62</v>
      </c>
      <c r="CJ35" s="207">
        <v>31265.326000000005</v>
      </c>
      <c r="CK35" s="207">
        <v>-17671.706000000006</v>
      </c>
      <c r="CL35" s="207">
        <v>8684445.03441454</v>
      </c>
      <c r="CM35" s="207">
        <v>10903571.316420984</v>
      </c>
      <c r="CN35" s="207">
        <v>2326</v>
      </c>
    </row>
    <row r="36" spans="1:92" ht="9.75">
      <c r="A36" s="207">
        <v>106</v>
      </c>
      <c r="B36" s="207" t="s">
        <v>93</v>
      </c>
      <c r="C36" s="207">
        <v>46504</v>
      </c>
      <c r="D36" s="207">
        <v>157294047.42</v>
      </c>
      <c r="E36" s="207">
        <v>55809838.90666537</v>
      </c>
      <c r="F36" s="207">
        <v>10625510.857285336</v>
      </c>
      <c r="G36" s="207">
        <v>223729397.18395066</v>
      </c>
      <c r="H36" s="207">
        <v>3654.72</v>
      </c>
      <c r="I36" s="207">
        <v>169959098.88</v>
      </c>
      <c r="J36" s="207">
        <v>53770298.30395067</v>
      </c>
      <c r="K36" s="207">
        <v>1717466.6034779157</v>
      </c>
      <c r="L36" s="207">
        <v>-8723316.595563058</v>
      </c>
      <c r="M36" s="207">
        <v>0</v>
      </c>
      <c r="N36" s="207">
        <v>46764448.31186552</v>
      </c>
      <c r="O36" s="207">
        <v>-3201456.367390125</v>
      </c>
      <c r="P36" s="207">
        <v>43562991.9444754</v>
      </c>
      <c r="Q36" s="207">
        <v>2566</v>
      </c>
      <c r="R36" s="207">
        <v>488</v>
      </c>
      <c r="S36" s="207">
        <v>3233</v>
      </c>
      <c r="T36" s="207">
        <v>1549</v>
      </c>
      <c r="U36" s="207">
        <v>1579</v>
      </c>
      <c r="V36" s="207">
        <v>27014</v>
      </c>
      <c r="W36" s="207">
        <v>5877</v>
      </c>
      <c r="X36" s="207">
        <v>2981</v>
      </c>
      <c r="Y36" s="207">
        <v>1217</v>
      </c>
      <c r="Z36" s="207">
        <v>419</v>
      </c>
      <c r="AA36" s="207">
        <v>0</v>
      </c>
      <c r="AB36" s="207">
        <v>43384</v>
      </c>
      <c r="AC36" s="207">
        <v>2701</v>
      </c>
      <c r="AD36" s="207">
        <v>10075</v>
      </c>
      <c r="AE36" s="480">
        <v>1.0187677031098512</v>
      </c>
      <c r="AF36" s="207">
        <v>55809838.90666537</v>
      </c>
      <c r="AG36" s="175">
        <v>1906</v>
      </c>
      <c r="AH36" s="175">
        <v>22843</v>
      </c>
      <c r="AI36" s="175">
        <v>0.8552517970864691</v>
      </c>
      <c r="AJ36" s="175">
        <v>2701</v>
      </c>
      <c r="AK36" s="175">
        <v>0.05808102528814726</v>
      </c>
      <c r="AL36" s="175">
        <v>0.05479994617768426</v>
      </c>
      <c r="AM36" s="175">
        <v>0</v>
      </c>
      <c r="AN36" s="175">
        <v>419</v>
      </c>
      <c r="AO36" s="175">
        <v>0</v>
      </c>
      <c r="AP36" s="175">
        <v>0</v>
      </c>
      <c r="AQ36" s="175">
        <v>0</v>
      </c>
      <c r="AR36" s="175">
        <v>322.68</v>
      </c>
      <c r="AS36" s="175">
        <v>144.11801165241104</v>
      </c>
      <c r="AT36" s="175">
        <v>0.12594207991634834</v>
      </c>
      <c r="AU36" s="175">
        <v>2153</v>
      </c>
      <c r="AV36" s="175">
        <v>14788</v>
      </c>
      <c r="AW36" s="175">
        <v>0.1455910197457398</v>
      </c>
      <c r="AX36" s="175">
        <v>0.09012978601625479</v>
      </c>
      <c r="AY36" s="175">
        <v>0</v>
      </c>
      <c r="AZ36" s="207">
        <v>19690</v>
      </c>
      <c r="BA36" s="175">
        <v>20642</v>
      </c>
      <c r="BB36" s="175">
        <v>0.9538804379420599</v>
      </c>
      <c r="BC36" s="175">
        <v>0.564185590518348</v>
      </c>
      <c r="BD36" s="175">
        <v>0</v>
      </c>
      <c r="BE36" s="175">
        <v>0</v>
      </c>
      <c r="BF36" s="207">
        <v>-294923.08999999997</v>
      </c>
      <c r="BG36" s="207">
        <v>-360825.08</v>
      </c>
      <c r="BH36" s="207">
        <v>-190666.4</v>
      </c>
      <c r="BI36" s="207">
        <v>-780541.2999999999</v>
      </c>
      <c r="BJ36" s="207">
        <v>0</v>
      </c>
      <c r="BK36" s="207">
        <v>0</v>
      </c>
      <c r="BL36" s="207">
        <v>763367</v>
      </c>
      <c r="BM36" s="207">
        <v>-4350567.074343957</v>
      </c>
      <c r="BN36" s="207">
        <v>-1979210.24</v>
      </c>
      <c r="BO36" s="207">
        <v>-44193.19768912345</v>
      </c>
      <c r="BP36" s="207">
        <v>2890456</v>
      </c>
      <c r="BQ36" s="207">
        <v>981270</v>
      </c>
      <c r="BR36" s="207">
        <v>2082748.6046677604</v>
      </c>
      <c r="BS36" s="207">
        <v>51781.00130433286</v>
      </c>
      <c r="BT36" s="207">
        <v>167661.500230224</v>
      </c>
      <c r="BU36" s="207">
        <v>857276.2194981568</v>
      </c>
      <c r="BV36" s="207">
        <v>2081020.026385405</v>
      </c>
      <c r="BW36" s="207">
        <v>3226311.8016826194</v>
      </c>
      <c r="BX36" s="207">
        <v>990830.6447778402</v>
      </c>
      <c r="BY36" s="207">
        <v>1709097.3955632143</v>
      </c>
      <c r="BZ36" s="207">
        <v>4185.36</v>
      </c>
      <c r="CA36" s="207">
        <v>-64129.93352997792</v>
      </c>
      <c r="CB36" s="207">
        <v>659229.2287808986</v>
      </c>
      <c r="CC36" s="207">
        <v>-8723316.595563058</v>
      </c>
      <c r="CD36" s="207">
        <v>0</v>
      </c>
      <c r="CE36" s="207">
        <v>2111931.5495272432</v>
      </c>
      <c r="CF36" s="207">
        <v>0</v>
      </c>
      <c r="CG36" s="207">
        <v>-3201456.367390125</v>
      </c>
      <c r="CH36" s="207">
        <v>-2547575</v>
      </c>
      <c r="CI36" s="207">
        <v>1318785.0443</v>
      </c>
      <c r="CJ36" s="207">
        <v>1307117.6402540002</v>
      </c>
      <c r="CK36" s="207">
        <v>11667.404045999749</v>
      </c>
      <c r="CL36" s="207">
        <v>41015416.9444754</v>
      </c>
      <c r="CM36" s="207">
        <v>50840499.10488774</v>
      </c>
      <c r="CN36" s="207">
        <v>46739</v>
      </c>
    </row>
    <row r="37" spans="1:92" ht="9.75">
      <c r="A37" s="207">
        <v>108</v>
      </c>
      <c r="B37" s="207" t="s">
        <v>94</v>
      </c>
      <c r="C37" s="207">
        <v>10510</v>
      </c>
      <c r="D37" s="207">
        <v>38262472.760000005</v>
      </c>
      <c r="E37" s="207">
        <v>12314697.449146891</v>
      </c>
      <c r="F37" s="207">
        <v>1699729.6856864907</v>
      </c>
      <c r="G37" s="207">
        <v>52276899.894833386</v>
      </c>
      <c r="H37" s="207">
        <v>3654.72</v>
      </c>
      <c r="I37" s="207">
        <v>38411107.199999996</v>
      </c>
      <c r="J37" s="207">
        <v>13865792.69483339</v>
      </c>
      <c r="K37" s="207">
        <v>187679.75921676913</v>
      </c>
      <c r="L37" s="207">
        <v>-1176111.3031363902</v>
      </c>
      <c r="M37" s="207">
        <v>0</v>
      </c>
      <c r="N37" s="207">
        <v>12877361.15091377</v>
      </c>
      <c r="O37" s="207">
        <v>6204958.534307706</v>
      </c>
      <c r="P37" s="207">
        <v>19082319.685221475</v>
      </c>
      <c r="Q37" s="207">
        <v>682</v>
      </c>
      <c r="R37" s="207">
        <v>130</v>
      </c>
      <c r="S37" s="207">
        <v>755</v>
      </c>
      <c r="T37" s="207">
        <v>401</v>
      </c>
      <c r="U37" s="207">
        <v>404</v>
      </c>
      <c r="V37" s="207">
        <v>5710</v>
      </c>
      <c r="W37" s="207">
        <v>1393</v>
      </c>
      <c r="X37" s="207">
        <v>730</v>
      </c>
      <c r="Y37" s="207">
        <v>305</v>
      </c>
      <c r="Z37" s="207">
        <v>17</v>
      </c>
      <c r="AA37" s="207">
        <v>2</v>
      </c>
      <c r="AB37" s="207">
        <v>10294</v>
      </c>
      <c r="AC37" s="207">
        <v>197</v>
      </c>
      <c r="AD37" s="207">
        <v>2428</v>
      </c>
      <c r="AE37" s="480">
        <v>0.994662488885748</v>
      </c>
      <c r="AF37" s="207">
        <v>12314697.449146891</v>
      </c>
      <c r="AG37" s="175">
        <v>381</v>
      </c>
      <c r="AH37" s="175">
        <v>4831</v>
      </c>
      <c r="AI37" s="175">
        <v>0.8083737028371558</v>
      </c>
      <c r="AJ37" s="175">
        <v>197</v>
      </c>
      <c r="AK37" s="175">
        <v>0.018744053282588012</v>
      </c>
      <c r="AL37" s="175">
        <v>0.015462974172125016</v>
      </c>
      <c r="AM37" s="175">
        <v>0</v>
      </c>
      <c r="AN37" s="175">
        <v>17</v>
      </c>
      <c r="AO37" s="175">
        <v>2</v>
      </c>
      <c r="AP37" s="175">
        <v>0</v>
      </c>
      <c r="AQ37" s="175">
        <v>0</v>
      </c>
      <c r="AR37" s="175">
        <v>463.89</v>
      </c>
      <c r="AS37" s="175">
        <v>22.656233158722973</v>
      </c>
      <c r="AT37" s="175">
        <v>0.8011270900045874</v>
      </c>
      <c r="AU37" s="175">
        <v>389</v>
      </c>
      <c r="AV37" s="175">
        <v>3312</v>
      </c>
      <c r="AW37" s="175">
        <v>0.11745169082125603</v>
      </c>
      <c r="AX37" s="175">
        <v>0.06199045709177103</v>
      </c>
      <c r="AY37" s="175">
        <v>0</v>
      </c>
      <c r="AZ37" s="207">
        <v>2856</v>
      </c>
      <c r="BA37" s="175">
        <v>4311</v>
      </c>
      <c r="BB37" s="175">
        <v>0.662491301322199</v>
      </c>
      <c r="BC37" s="175">
        <v>0.27279645389848717</v>
      </c>
      <c r="BD37" s="175">
        <v>0</v>
      </c>
      <c r="BE37" s="175">
        <v>2</v>
      </c>
      <c r="BF37" s="207">
        <v>-66879.69</v>
      </c>
      <c r="BG37" s="207">
        <v>-81824.28</v>
      </c>
      <c r="BH37" s="207">
        <v>-43090.99999999999</v>
      </c>
      <c r="BI37" s="207">
        <v>-177003.3</v>
      </c>
      <c r="BJ37" s="207">
        <v>0</v>
      </c>
      <c r="BK37" s="207">
        <v>0</v>
      </c>
      <c r="BL37" s="207">
        <v>-12046</v>
      </c>
      <c r="BM37" s="207">
        <v>-243887.65634315566</v>
      </c>
      <c r="BN37" s="207">
        <v>-447305.60000000003</v>
      </c>
      <c r="BO37" s="207">
        <v>188528.23985093832</v>
      </c>
      <c r="BP37" s="207">
        <v>826508</v>
      </c>
      <c r="BQ37" s="207">
        <v>260391</v>
      </c>
      <c r="BR37" s="207">
        <v>579739.51677479</v>
      </c>
      <c r="BS37" s="207">
        <v>24385.922358569595</v>
      </c>
      <c r="BT37" s="207">
        <v>9854.673982785083</v>
      </c>
      <c r="BU37" s="207">
        <v>253279.334823059</v>
      </c>
      <c r="BV37" s="207">
        <v>538688.7448554161</v>
      </c>
      <c r="BW37" s="207">
        <v>854332.1991434924</v>
      </c>
      <c r="BX37" s="207">
        <v>253482.71560903557</v>
      </c>
      <c r="BY37" s="207">
        <v>467947.8963931009</v>
      </c>
      <c r="BZ37" s="207">
        <v>945.9</v>
      </c>
      <c r="CA37" s="207">
        <v>28688.68335582692</v>
      </c>
      <c r="CB37" s="207">
        <v>206116.82320676523</v>
      </c>
      <c r="CC37" s="207">
        <v>-1176111.3031363902</v>
      </c>
      <c r="CD37" s="207">
        <v>0</v>
      </c>
      <c r="CE37" s="207">
        <v>600179.840412481</v>
      </c>
      <c r="CF37" s="207">
        <v>0</v>
      </c>
      <c r="CG37" s="207">
        <v>6204958.534307706</v>
      </c>
      <c r="CH37" s="207">
        <v>-1176678</v>
      </c>
      <c r="CI37" s="207">
        <v>218857.282</v>
      </c>
      <c r="CJ37" s="207">
        <v>308588.76762</v>
      </c>
      <c r="CK37" s="207">
        <v>-89731.48561999999</v>
      </c>
      <c r="CL37" s="207">
        <v>17905641.685221475</v>
      </c>
      <c r="CM37" s="207">
        <v>21461001.179692723</v>
      </c>
      <c r="CN37" s="207">
        <v>10599</v>
      </c>
    </row>
    <row r="38" spans="1:92" ht="9.75">
      <c r="A38" s="207">
        <v>109</v>
      </c>
      <c r="B38" s="207" t="s">
        <v>95</v>
      </c>
      <c r="C38" s="207">
        <v>67532</v>
      </c>
      <c r="D38" s="207">
        <v>237347309.44000003</v>
      </c>
      <c r="E38" s="207">
        <v>80370908.09271125</v>
      </c>
      <c r="F38" s="207">
        <v>16106214.513997344</v>
      </c>
      <c r="G38" s="207">
        <v>333824432.0467086</v>
      </c>
      <c r="H38" s="207">
        <v>3654.72</v>
      </c>
      <c r="I38" s="207">
        <v>246810551.04</v>
      </c>
      <c r="J38" s="207">
        <v>87013881.00670859</v>
      </c>
      <c r="K38" s="207">
        <v>2764681.646011054</v>
      </c>
      <c r="L38" s="207">
        <v>-13414166.254006108</v>
      </c>
      <c r="M38" s="207">
        <v>0</v>
      </c>
      <c r="N38" s="207">
        <v>76364396.39871354</v>
      </c>
      <c r="O38" s="207">
        <v>9330978.8552855</v>
      </c>
      <c r="P38" s="207">
        <v>85695375.25399904</v>
      </c>
      <c r="Q38" s="207">
        <v>3676</v>
      </c>
      <c r="R38" s="207">
        <v>671</v>
      </c>
      <c r="S38" s="207">
        <v>4316</v>
      </c>
      <c r="T38" s="207">
        <v>2145</v>
      </c>
      <c r="U38" s="207">
        <v>2065</v>
      </c>
      <c r="V38" s="207">
        <v>37576</v>
      </c>
      <c r="W38" s="207">
        <v>9623</v>
      </c>
      <c r="X38" s="207">
        <v>5209</v>
      </c>
      <c r="Y38" s="207">
        <v>2251</v>
      </c>
      <c r="Z38" s="207">
        <v>242</v>
      </c>
      <c r="AA38" s="207">
        <v>7</v>
      </c>
      <c r="AB38" s="207">
        <v>63901</v>
      </c>
      <c r="AC38" s="207">
        <v>3382</v>
      </c>
      <c r="AD38" s="207">
        <v>17083</v>
      </c>
      <c r="AE38" s="480">
        <v>1.0102851585659807</v>
      </c>
      <c r="AF38" s="207">
        <v>80370908.09271125</v>
      </c>
      <c r="AG38" s="175">
        <v>3293</v>
      </c>
      <c r="AH38" s="175">
        <v>31580</v>
      </c>
      <c r="AI38" s="175">
        <v>1.0688182085768048</v>
      </c>
      <c r="AJ38" s="175">
        <v>3382</v>
      </c>
      <c r="AK38" s="175">
        <v>0.05007996209204525</v>
      </c>
      <c r="AL38" s="175">
        <v>0.04679888298158225</v>
      </c>
      <c r="AM38" s="175">
        <v>0</v>
      </c>
      <c r="AN38" s="175">
        <v>242</v>
      </c>
      <c r="AO38" s="175">
        <v>7</v>
      </c>
      <c r="AP38" s="175">
        <v>0</v>
      </c>
      <c r="AQ38" s="175">
        <v>0</v>
      </c>
      <c r="AR38" s="175">
        <v>1785.07</v>
      </c>
      <c r="AS38" s="175">
        <v>37.83156963032262</v>
      </c>
      <c r="AT38" s="175">
        <v>0.4797718497612966</v>
      </c>
      <c r="AU38" s="175">
        <v>2542</v>
      </c>
      <c r="AV38" s="175">
        <v>20114</v>
      </c>
      <c r="AW38" s="175">
        <v>0.12637963607437605</v>
      </c>
      <c r="AX38" s="175">
        <v>0.07091840234489105</v>
      </c>
      <c r="AY38" s="175">
        <v>0</v>
      </c>
      <c r="AZ38" s="207">
        <v>28038</v>
      </c>
      <c r="BA38" s="175">
        <v>27621</v>
      </c>
      <c r="BB38" s="175">
        <v>1.0150972086455958</v>
      </c>
      <c r="BC38" s="175">
        <v>0.625402361221884</v>
      </c>
      <c r="BD38" s="175">
        <v>0</v>
      </c>
      <c r="BE38" s="175">
        <v>7</v>
      </c>
      <c r="BF38" s="207">
        <v>-426947.22</v>
      </c>
      <c r="BG38" s="207">
        <v>-522350.63999999996</v>
      </c>
      <c r="BH38" s="207">
        <v>-276881.19999999995</v>
      </c>
      <c r="BI38" s="207">
        <v>-1129955.4</v>
      </c>
      <c r="BJ38" s="207">
        <v>0</v>
      </c>
      <c r="BK38" s="207">
        <v>0</v>
      </c>
      <c r="BL38" s="207">
        <v>56873</v>
      </c>
      <c r="BM38" s="207">
        <v>-5645131.383485412</v>
      </c>
      <c r="BN38" s="207">
        <v>-2874161.92</v>
      </c>
      <c r="BO38" s="207">
        <v>-768345.0770012736</v>
      </c>
      <c r="BP38" s="207">
        <v>4556748</v>
      </c>
      <c r="BQ38" s="207">
        <v>1570984</v>
      </c>
      <c r="BR38" s="207">
        <v>3432285.8347071824</v>
      </c>
      <c r="BS38" s="207">
        <v>116664.23442693883</v>
      </c>
      <c r="BT38" s="207">
        <v>300048.3093346076</v>
      </c>
      <c r="BU38" s="207">
        <v>1539308.20603492</v>
      </c>
      <c r="BV38" s="207">
        <v>3208859.746508385</v>
      </c>
      <c r="BW38" s="207">
        <v>5144768.049881162</v>
      </c>
      <c r="BX38" s="207">
        <v>1560633.0035080516</v>
      </c>
      <c r="BY38" s="207">
        <v>2716617.628774604</v>
      </c>
      <c r="BZ38" s="207">
        <v>6077.88</v>
      </c>
      <c r="CA38" s="207">
        <v>237186.82648057723</v>
      </c>
      <c r="CB38" s="207">
        <v>-468207.3705206964</v>
      </c>
      <c r="CC38" s="207">
        <v>-13414166.254006108</v>
      </c>
      <c r="CD38" s="207">
        <v>0</v>
      </c>
      <c r="CE38" s="207">
        <v>3469698.131084118</v>
      </c>
      <c r="CF38" s="207">
        <v>0</v>
      </c>
      <c r="CG38" s="207">
        <v>9330978.8552855</v>
      </c>
      <c r="CH38" s="207">
        <v>-12145192</v>
      </c>
      <c r="CI38" s="207">
        <v>753290.4522999999</v>
      </c>
      <c r="CJ38" s="207">
        <v>796083.16806</v>
      </c>
      <c r="CK38" s="207">
        <v>-42792.71576000017</v>
      </c>
      <c r="CL38" s="207">
        <v>73550183.25399904</v>
      </c>
      <c r="CM38" s="207">
        <v>88062291.79906078</v>
      </c>
      <c r="CN38" s="207">
        <v>67662</v>
      </c>
    </row>
    <row r="39" spans="1:92" ht="9.75">
      <c r="A39" s="207">
        <v>139</v>
      </c>
      <c r="B39" s="207" t="s">
        <v>96</v>
      </c>
      <c r="C39" s="207">
        <v>9862</v>
      </c>
      <c r="D39" s="207">
        <v>39485823.91</v>
      </c>
      <c r="E39" s="207">
        <v>12625192.743932955</v>
      </c>
      <c r="F39" s="207">
        <v>2531922.7400933867</v>
      </c>
      <c r="G39" s="207">
        <v>54642939.39402634</v>
      </c>
      <c r="H39" s="207">
        <v>3654.72</v>
      </c>
      <c r="I39" s="207">
        <v>36042848.64</v>
      </c>
      <c r="J39" s="207">
        <v>18600090.75402634</v>
      </c>
      <c r="K39" s="207">
        <v>184008.46773194772</v>
      </c>
      <c r="L39" s="207">
        <v>-1317000.4360441898</v>
      </c>
      <c r="M39" s="207">
        <v>0</v>
      </c>
      <c r="N39" s="207">
        <v>17467098.785714097</v>
      </c>
      <c r="O39" s="207">
        <v>8976431.931560721</v>
      </c>
      <c r="P39" s="207">
        <v>26443530.71727482</v>
      </c>
      <c r="Q39" s="207">
        <v>803</v>
      </c>
      <c r="R39" s="207">
        <v>156</v>
      </c>
      <c r="S39" s="207">
        <v>979</v>
      </c>
      <c r="T39" s="207">
        <v>471</v>
      </c>
      <c r="U39" s="207">
        <v>409</v>
      </c>
      <c r="V39" s="207">
        <v>5034</v>
      </c>
      <c r="W39" s="207">
        <v>1132</v>
      </c>
      <c r="X39" s="207">
        <v>614</v>
      </c>
      <c r="Y39" s="207">
        <v>264</v>
      </c>
      <c r="Z39" s="207">
        <v>15</v>
      </c>
      <c r="AA39" s="207">
        <v>1</v>
      </c>
      <c r="AB39" s="207">
        <v>9780</v>
      </c>
      <c r="AC39" s="207">
        <v>66</v>
      </c>
      <c r="AD39" s="207">
        <v>2010</v>
      </c>
      <c r="AE39" s="480">
        <v>1.0867451943727475</v>
      </c>
      <c r="AF39" s="207">
        <v>12625192.743932955</v>
      </c>
      <c r="AG39" s="175">
        <v>492</v>
      </c>
      <c r="AH39" s="175">
        <v>4084</v>
      </c>
      <c r="AI39" s="175">
        <v>1.234819867002848</v>
      </c>
      <c r="AJ39" s="175">
        <v>66</v>
      </c>
      <c r="AK39" s="175">
        <v>0.006692354491989455</v>
      </c>
      <c r="AL39" s="175">
        <v>0.003411275381526458</v>
      </c>
      <c r="AM39" s="175">
        <v>0</v>
      </c>
      <c r="AN39" s="175">
        <v>15</v>
      </c>
      <c r="AO39" s="175">
        <v>1</v>
      </c>
      <c r="AP39" s="175">
        <v>0</v>
      </c>
      <c r="AQ39" s="175">
        <v>0</v>
      </c>
      <c r="AR39" s="175">
        <v>1614.1</v>
      </c>
      <c r="AS39" s="175">
        <v>6.1099064494145345</v>
      </c>
      <c r="AT39" s="175">
        <v>2.970671039104437</v>
      </c>
      <c r="AU39" s="175">
        <v>283</v>
      </c>
      <c r="AV39" s="175">
        <v>2800</v>
      </c>
      <c r="AW39" s="175">
        <v>0.10107142857142858</v>
      </c>
      <c r="AX39" s="175">
        <v>0.04561019484194357</v>
      </c>
      <c r="AY39" s="175">
        <v>0</v>
      </c>
      <c r="AZ39" s="207">
        <v>2427</v>
      </c>
      <c r="BA39" s="175">
        <v>3597</v>
      </c>
      <c r="BB39" s="175">
        <v>0.6747289407839867</v>
      </c>
      <c r="BC39" s="175">
        <v>0.28503409336027485</v>
      </c>
      <c r="BD39" s="175">
        <v>0</v>
      </c>
      <c r="BE39" s="175">
        <v>1</v>
      </c>
      <c r="BF39" s="207">
        <v>-62885.46</v>
      </c>
      <c r="BG39" s="207">
        <v>-76937.52</v>
      </c>
      <c r="BH39" s="207">
        <v>-40434.2</v>
      </c>
      <c r="BI39" s="207">
        <v>-166432.19999999998</v>
      </c>
      <c r="BJ39" s="207">
        <v>0</v>
      </c>
      <c r="BK39" s="207">
        <v>0</v>
      </c>
      <c r="BL39" s="207">
        <v>132064</v>
      </c>
      <c r="BM39" s="207">
        <v>-324188.25439819647</v>
      </c>
      <c r="BN39" s="207">
        <v>-419726.72000000003</v>
      </c>
      <c r="BO39" s="207">
        <v>-103891.53774344549</v>
      </c>
      <c r="BP39" s="207">
        <v>723887</v>
      </c>
      <c r="BQ39" s="207">
        <v>216091</v>
      </c>
      <c r="BR39" s="207">
        <v>530323.5174787409</v>
      </c>
      <c r="BS39" s="207">
        <v>16076.989392230093</v>
      </c>
      <c r="BT39" s="207">
        <v>9193.438746910622</v>
      </c>
      <c r="BU39" s="207">
        <v>255264.1904055092</v>
      </c>
      <c r="BV39" s="207">
        <v>465197.09824793745</v>
      </c>
      <c r="BW39" s="207">
        <v>685611.4068228325</v>
      </c>
      <c r="BX39" s="207">
        <v>169137.61590244822</v>
      </c>
      <c r="BY39" s="207">
        <v>374548.3823055227</v>
      </c>
      <c r="BZ39" s="207">
        <v>887.5799999999999</v>
      </c>
      <c r="CA39" s="207">
        <v>46912.796097451865</v>
      </c>
      <c r="CB39" s="207">
        <v>75972.83835400638</v>
      </c>
      <c r="CC39" s="207">
        <v>-1317000.4360441898</v>
      </c>
      <c r="CD39" s="207">
        <v>0</v>
      </c>
      <c r="CE39" s="207">
        <v>501255.53598157165</v>
      </c>
      <c r="CF39" s="207">
        <v>0</v>
      </c>
      <c r="CG39" s="207">
        <v>8976431.931560721</v>
      </c>
      <c r="CH39" s="207">
        <v>-156486</v>
      </c>
      <c r="CI39" s="207">
        <v>163259.3762</v>
      </c>
      <c r="CJ39" s="207">
        <v>246996.07540000003</v>
      </c>
      <c r="CK39" s="207">
        <v>-83736.69920000003</v>
      </c>
      <c r="CL39" s="207">
        <v>26287044.71727482</v>
      </c>
      <c r="CM39" s="207">
        <v>27119769.983511552</v>
      </c>
      <c r="CN39" s="207">
        <v>9966</v>
      </c>
    </row>
    <row r="40" spans="1:92" ht="9.75">
      <c r="A40" s="207">
        <v>140</v>
      </c>
      <c r="B40" s="207" t="s">
        <v>97</v>
      </c>
      <c r="C40" s="207">
        <v>21472</v>
      </c>
      <c r="D40" s="207">
        <v>75831200.32</v>
      </c>
      <c r="E40" s="207">
        <v>38532755.82177632</v>
      </c>
      <c r="F40" s="207">
        <v>4395490.871728921</v>
      </c>
      <c r="G40" s="207">
        <v>118759447.01350525</v>
      </c>
      <c r="H40" s="207">
        <v>3654.72</v>
      </c>
      <c r="I40" s="207">
        <v>78474147.83999999</v>
      </c>
      <c r="J40" s="207">
        <v>40285299.17350526</v>
      </c>
      <c r="K40" s="207">
        <v>1236139.868853379</v>
      </c>
      <c r="L40" s="207">
        <v>-3836713.8771969858</v>
      </c>
      <c r="M40" s="207">
        <v>0</v>
      </c>
      <c r="N40" s="207">
        <v>37684725.165161654</v>
      </c>
      <c r="O40" s="207">
        <v>10630540.373558866</v>
      </c>
      <c r="P40" s="207">
        <v>48315265.53872052</v>
      </c>
      <c r="Q40" s="207">
        <v>1237</v>
      </c>
      <c r="R40" s="207">
        <v>201</v>
      </c>
      <c r="S40" s="207">
        <v>1406</v>
      </c>
      <c r="T40" s="207">
        <v>674</v>
      </c>
      <c r="U40" s="207">
        <v>691</v>
      </c>
      <c r="V40" s="207">
        <v>11801</v>
      </c>
      <c r="W40" s="207">
        <v>3169</v>
      </c>
      <c r="X40" s="207">
        <v>1579</v>
      </c>
      <c r="Y40" s="207">
        <v>714</v>
      </c>
      <c r="Z40" s="207">
        <v>8</v>
      </c>
      <c r="AA40" s="207">
        <v>2</v>
      </c>
      <c r="AB40" s="207">
        <v>20869</v>
      </c>
      <c r="AC40" s="207">
        <v>593</v>
      </c>
      <c r="AD40" s="207">
        <v>5462</v>
      </c>
      <c r="AE40" s="480">
        <v>1.5233941427797122</v>
      </c>
      <c r="AF40" s="207">
        <v>38532755.82177632</v>
      </c>
      <c r="AG40" s="175">
        <v>1116</v>
      </c>
      <c r="AH40" s="175">
        <v>9944</v>
      </c>
      <c r="AI40" s="175">
        <v>1.1503429039844733</v>
      </c>
      <c r="AJ40" s="175">
        <v>593</v>
      </c>
      <c r="AK40" s="175">
        <v>0.02761736214605067</v>
      </c>
      <c r="AL40" s="175">
        <v>0.024336283035587675</v>
      </c>
      <c r="AM40" s="175">
        <v>0</v>
      </c>
      <c r="AN40" s="175">
        <v>8</v>
      </c>
      <c r="AO40" s="175">
        <v>2</v>
      </c>
      <c r="AP40" s="175">
        <v>0</v>
      </c>
      <c r="AQ40" s="175">
        <v>0</v>
      </c>
      <c r="AR40" s="175">
        <v>763.03</v>
      </c>
      <c r="AS40" s="175">
        <v>28.140440087545706</v>
      </c>
      <c r="AT40" s="175">
        <v>0.6449978068731828</v>
      </c>
      <c r="AU40" s="175">
        <v>710</v>
      </c>
      <c r="AV40" s="175">
        <v>6006</v>
      </c>
      <c r="AW40" s="175">
        <v>0.11821511821511821</v>
      </c>
      <c r="AX40" s="175">
        <v>0.06275388448563321</v>
      </c>
      <c r="AY40" s="175">
        <v>0.05805</v>
      </c>
      <c r="AZ40" s="207">
        <v>9204</v>
      </c>
      <c r="BA40" s="175">
        <v>8539</v>
      </c>
      <c r="BB40" s="175">
        <v>1.0778779716594449</v>
      </c>
      <c r="BC40" s="175">
        <v>0.688183124235733</v>
      </c>
      <c r="BD40" s="175">
        <v>0</v>
      </c>
      <c r="BE40" s="175">
        <v>2</v>
      </c>
      <c r="BF40" s="207">
        <v>-136542.09</v>
      </c>
      <c r="BG40" s="207">
        <v>-167053.08</v>
      </c>
      <c r="BH40" s="207">
        <v>-88035.2</v>
      </c>
      <c r="BI40" s="207">
        <v>-361371.3</v>
      </c>
      <c r="BJ40" s="207">
        <v>0</v>
      </c>
      <c r="BK40" s="207">
        <v>0</v>
      </c>
      <c r="BL40" s="207">
        <v>2846</v>
      </c>
      <c r="BM40" s="207">
        <v>-1385847.846407536</v>
      </c>
      <c r="BN40" s="207">
        <v>-913848.3200000001</v>
      </c>
      <c r="BO40" s="207">
        <v>-103509.28852503002</v>
      </c>
      <c r="BP40" s="207">
        <v>1719855</v>
      </c>
      <c r="BQ40" s="207">
        <v>554062</v>
      </c>
      <c r="BR40" s="207">
        <v>1309102.96830591</v>
      </c>
      <c r="BS40" s="207">
        <v>55085.89497350688</v>
      </c>
      <c r="BT40" s="207">
        <v>227371.5223683299</v>
      </c>
      <c r="BU40" s="207">
        <v>674080.996412253</v>
      </c>
      <c r="BV40" s="207">
        <v>1126700.6565302126</v>
      </c>
      <c r="BW40" s="207">
        <v>1783562.8830082873</v>
      </c>
      <c r="BX40" s="207">
        <v>510782.16273364605</v>
      </c>
      <c r="BY40" s="207">
        <v>934420.5716707461</v>
      </c>
      <c r="BZ40" s="207">
        <v>1932.48</v>
      </c>
      <c r="CA40" s="207">
        <v>-26953.712264420174</v>
      </c>
      <c r="CB40" s="207">
        <v>-125684.5207894502</v>
      </c>
      <c r="CC40" s="207">
        <v>-3836713.8771969858</v>
      </c>
      <c r="CD40" s="207">
        <v>0</v>
      </c>
      <c r="CE40" s="207">
        <v>1235442.3751460991</v>
      </c>
      <c r="CF40" s="207">
        <v>0</v>
      </c>
      <c r="CG40" s="207">
        <v>10630540.373558866</v>
      </c>
      <c r="CH40" s="207">
        <v>-1389634</v>
      </c>
      <c r="CI40" s="207">
        <v>375455.78440000006</v>
      </c>
      <c r="CJ40" s="207">
        <v>371663.16442000004</v>
      </c>
      <c r="CK40" s="207">
        <v>3792.6199800000177</v>
      </c>
      <c r="CL40" s="207">
        <v>46925631.53872052</v>
      </c>
      <c r="CM40" s="207">
        <v>53559648.902672544</v>
      </c>
      <c r="CN40" s="207">
        <v>21639</v>
      </c>
    </row>
    <row r="41" spans="1:92" ht="9.75">
      <c r="A41" s="207">
        <v>142</v>
      </c>
      <c r="B41" s="207" t="s">
        <v>98</v>
      </c>
      <c r="C41" s="207">
        <v>6765</v>
      </c>
      <c r="D41" s="207">
        <v>25234803.99</v>
      </c>
      <c r="E41" s="207">
        <v>8857295.44930337</v>
      </c>
      <c r="F41" s="207">
        <v>1541222.0629347456</v>
      </c>
      <c r="G41" s="207">
        <v>35633321.50223812</v>
      </c>
      <c r="H41" s="207">
        <v>3654.72</v>
      </c>
      <c r="I41" s="207">
        <v>24724180.799999997</v>
      </c>
      <c r="J41" s="207">
        <v>10909140.70223812</v>
      </c>
      <c r="K41" s="207">
        <v>190795.1023020101</v>
      </c>
      <c r="L41" s="207">
        <v>-890158.9876667322</v>
      </c>
      <c r="M41" s="207">
        <v>0</v>
      </c>
      <c r="N41" s="207">
        <v>10209776.816873398</v>
      </c>
      <c r="O41" s="207">
        <v>4211312.307163191</v>
      </c>
      <c r="P41" s="207">
        <v>14421089.124036588</v>
      </c>
      <c r="Q41" s="207">
        <v>368</v>
      </c>
      <c r="R41" s="207">
        <v>65</v>
      </c>
      <c r="S41" s="207">
        <v>400</v>
      </c>
      <c r="T41" s="207">
        <v>218</v>
      </c>
      <c r="U41" s="207">
        <v>195</v>
      </c>
      <c r="V41" s="207">
        <v>3501</v>
      </c>
      <c r="W41" s="207">
        <v>1115</v>
      </c>
      <c r="X41" s="207">
        <v>618</v>
      </c>
      <c r="Y41" s="207">
        <v>285</v>
      </c>
      <c r="Z41" s="207">
        <v>16</v>
      </c>
      <c r="AA41" s="207">
        <v>1</v>
      </c>
      <c r="AB41" s="207">
        <v>6619</v>
      </c>
      <c r="AC41" s="207">
        <v>129</v>
      </c>
      <c r="AD41" s="207">
        <v>2018</v>
      </c>
      <c r="AE41" s="480">
        <v>1.111445162959677</v>
      </c>
      <c r="AF41" s="207">
        <v>8857295.44930337</v>
      </c>
      <c r="AG41" s="175">
        <v>306</v>
      </c>
      <c r="AH41" s="175">
        <v>3027</v>
      </c>
      <c r="AI41" s="175">
        <v>1.036175321210009</v>
      </c>
      <c r="AJ41" s="175">
        <v>129</v>
      </c>
      <c r="AK41" s="175">
        <v>0.019068736141906874</v>
      </c>
      <c r="AL41" s="175">
        <v>0.01578765703144388</v>
      </c>
      <c r="AM41" s="175">
        <v>0</v>
      </c>
      <c r="AN41" s="175">
        <v>16</v>
      </c>
      <c r="AO41" s="175">
        <v>1</v>
      </c>
      <c r="AP41" s="175">
        <v>0</v>
      </c>
      <c r="AQ41" s="175">
        <v>0</v>
      </c>
      <c r="AR41" s="175">
        <v>589.84</v>
      </c>
      <c r="AS41" s="175">
        <v>11.46921198969212</v>
      </c>
      <c r="AT41" s="175">
        <v>1.5825430864148156</v>
      </c>
      <c r="AU41" s="175">
        <v>277</v>
      </c>
      <c r="AV41" s="175">
        <v>1839</v>
      </c>
      <c r="AW41" s="175">
        <v>0.1506253398586188</v>
      </c>
      <c r="AX41" s="175">
        <v>0.09516410612913381</v>
      </c>
      <c r="AY41" s="175">
        <v>0</v>
      </c>
      <c r="AZ41" s="207">
        <v>2149</v>
      </c>
      <c r="BA41" s="175">
        <v>2619</v>
      </c>
      <c r="BB41" s="175">
        <v>0.8205421916762123</v>
      </c>
      <c r="BC41" s="175">
        <v>0.4308473442525005</v>
      </c>
      <c r="BD41" s="175">
        <v>0</v>
      </c>
      <c r="BE41" s="175">
        <v>1</v>
      </c>
      <c r="BF41" s="207">
        <v>-43034.2</v>
      </c>
      <c r="BG41" s="207">
        <v>-52650.4</v>
      </c>
      <c r="BH41" s="207">
        <v>-27736.499999999996</v>
      </c>
      <c r="BI41" s="207">
        <v>-113894</v>
      </c>
      <c r="BJ41" s="207">
        <v>0</v>
      </c>
      <c r="BK41" s="207">
        <v>0</v>
      </c>
      <c r="BL41" s="207">
        <v>36498</v>
      </c>
      <c r="BM41" s="207">
        <v>-233483.62298707175</v>
      </c>
      <c r="BN41" s="207">
        <v>-287918.4</v>
      </c>
      <c r="BO41" s="207">
        <v>7043.986740678549</v>
      </c>
      <c r="BP41" s="207">
        <v>561007</v>
      </c>
      <c r="BQ41" s="207">
        <v>186515</v>
      </c>
      <c r="BR41" s="207">
        <v>430490.72209921485</v>
      </c>
      <c r="BS41" s="207">
        <v>23482.037625590612</v>
      </c>
      <c r="BT41" s="207">
        <v>26031.39221942881</v>
      </c>
      <c r="BU41" s="207">
        <v>198577.07449350462</v>
      </c>
      <c r="BV41" s="207">
        <v>350563.5538984399</v>
      </c>
      <c r="BW41" s="207">
        <v>587899.073939636</v>
      </c>
      <c r="BX41" s="207">
        <v>170386.28145441186</v>
      </c>
      <c r="BY41" s="207">
        <v>310652.3329527533</v>
      </c>
      <c r="BZ41" s="207">
        <v>608.85</v>
      </c>
      <c r="CA41" s="207">
        <v>31822.198579660995</v>
      </c>
      <c r="CB41" s="207">
        <v>75973.03532033955</v>
      </c>
      <c r="CC41" s="207">
        <v>-890158.9876667322</v>
      </c>
      <c r="CD41" s="207">
        <v>0</v>
      </c>
      <c r="CE41" s="207">
        <v>411168.9936909588</v>
      </c>
      <c r="CF41" s="207">
        <v>0</v>
      </c>
      <c r="CG41" s="207">
        <v>4211312.307163191</v>
      </c>
      <c r="CH41" s="207">
        <v>-868609</v>
      </c>
      <c r="CI41" s="207">
        <v>422897.5182</v>
      </c>
      <c r="CJ41" s="207">
        <v>153023.38034</v>
      </c>
      <c r="CK41" s="207">
        <v>269874.13786</v>
      </c>
      <c r="CL41" s="207">
        <v>13552480.124036588</v>
      </c>
      <c r="CM41" s="207">
        <v>15051233.919227917</v>
      </c>
      <c r="CN41" s="207">
        <v>6820</v>
      </c>
    </row>
    <row r="42" spans="1:92" ht="9.75">
      <c r="A42" s="207">
        <v>143</v>
      </c>
      <c r="B42" s="207" t="s">
        <v>99</v>
      </c>
      <c r="C42" s="207">
        <v>7003</v>
      </c>
      <c r="D42" s="207">
        <v>25479140.47</v>
      </c>
      <c r="E42" s="207">
        <v>9247565.14110134</v>
      </c>
      <c r="F42" s="207">
        <v>1541267.5887533193</v>
      </c>
      <c r="G42" s="207">
        <v>36267973.19985466</v>
      </c>
      <c r="H42" s="207">
        <v>3654.72</v>
      </c>
      <c r="I42" s="207">
        <v>25594004.16</v>
      </c>
      <c r="J42" s="207">
        <v>10673969.039854657</v>
      </c>
      <c r="K42" s="207">
        <v>241286.41758840394</v>
      </c>
      <c r="L42" s="207">
        <v>-978416.0288000669</v>
      </c>
      <c r="M42" s="207">
        <v>0</v>
      </c>
      <c r="N42" s="207">
        <v>9936839.428642994</v>
      </c>
      <c r="O42" s="207">
        <v>5201362.478587181</v>
      </c>
      <c r="P42" s="207">
        <v>15138201.907230176</v>
      </c>
      <c r="Q42" s="207">
        <v>360</v>
      </c>
      <c r="R42" s="207">
        <v>72</v>
      </c>
      <c r="S42" s="207">
        <v>432</v>
      </c>
      <c r="T42" s="207">
        <v>211</v>
      </c>
      <c r="U42" s="207">
        <v>210</v>
      </c>
      <c r="V42" s="207">
        <v>3563</v>
      </c>
      <c r="W42" s="207">
        <v>1252</v>
      </c>
      <c r="X42" s="207">
        <v>640</v>
      </c>
      <c r="Y42" s="207">
        <v>263</v>
      </c>
      <c r="Z42" s="207">
        <v>14</v>
      </c>
      <c r="AA42" s="207">
        <v>0</v>
      </c>
      <c r="AB42" s="207">
        <v>6864</v>
      </c>
      <c r="AC42" s="207">
        <v>125</v>
      </c>
      <c r="AD42" s="207">
        <v>2155</v>
      </c>
      <c r="AE42" s="480">
        <v>1.1209803052028562</v>
      </c>
      <c r="AF42" s="207">
        <v>9247565.14110134</v>
      </c>
      <c r="AG42" s="175">
        <v>259</v>
      </c>
      <c r="AH42" s="175">
        <v>3005</v>
      </c>
      <c r="AI42" s="175">
        <v>0.8834450193048607</v>
      </c>
      <c r="AJ42" s="175">
        <v>125</v>
      </c>
      <c r="AK42" s="175">
        <v>0.017849493074396688</v>
      </c>
      <c r="AL42" s="175">
        <v>0.014568413963933692</v>
      </c>
      <c r="AM42" s="175">
        <v>0</v>
      </c>
      <c r="AN42" s="175">
        <v>14</v>
      </c>
      <c r="AO42" s="175">
        <v>0</v>
      </c>
      <c r="AP42" s="175">
        <v>0</v>
      </c>
      <c r="AQ42" s="175">
        <v>0</v>
      </c>
      <c r="AR42" s="175">
        <v>750.36</v>
      </c>
      <c r="AS42" s="175">
        <v>9.332853563622795</v>
      </c>
      <c r="AT42" s="175">
        <v>1.9447987710489232</v>
      </c>
      <c r="AU42" s="175">
        <v>261</v>
      </c>
      <c r="AV42" s="175">
        <v>1914</v>
      </c>
      <c r="AW42" s="175">
        <v>0.13636363636363635</v>
      </c>
      <c r="AX42" s="175">
        <v>0.08090240263415135</v>
      </c>
      <c r="AY42" s="175">
        <v>0</v>
      </c>
      <c r="AZ42" s="207">
        <v>2324</v>
      </c>
      <c r="BA42" s="175">
        <v>2537</v>
      </c>
      <c r="BB42" s="175">
        <v>0.916042569964525</v>
      </c>
      <c r="BC42" s="175">
        <v>0.5263477225408132</v>
      </c>
      <c r="BD42" s="175">
        <v>0</v>
      </c>
      <c r="BE42" s="175">
        <v>0</v>
      </c>
      <c r="BF42" s="207">
        <v>-44920.89</v>
      </c>
      <c r="BG42" s="207">
        <v>-54958.68</v>
      </c>
      <c r="BH42" s="207">
        <v>-28712.3</v>
      </c>
      <c r="BI42" s="207">
        <v>-118887.29999999999</v>
      </c>
      <c r="BJ42" s="207">
        <v>0</v>
      </c>
      <c r="BK42" s="207">
        <v>0</v>
      </c>
      <c r="BL42" s="207">
        <v>138175</v>
      </c>
      <c r="BM42" s="207">
        <v>-410805.50422654656</v>
      </c>
      <c r="BN42" s="207">
        <v>-298047.68</v>
      </c>
      <c r="BO42" s="207">
        <v>79890.6480099801</v>
      </c>
      <c r="BP42" s="207">
        <v>680777</v>
      </c>
      <c r="BQ42" s="207">
        <v>207953</v>
      </c>
      <c r="BR42" s="207">
        <v>496189.18011094985</v>
      </c>
      <c r="BS42" s="207">
        <v>24908.36419060258</v>
      </c>
      <c r="BT42" s="207">
        <v>82317.76892538632</v>
      </c>
      <c r="BU42" s="207">
        <v>232829.75872488532</v>
      </c>
      <c r="BV42" s="207">
        <v>404587.17992137617</v>
      </c>
      <c r="BW42" s="207">
        <v>614150.253396735</v>
      </c>
      <c r="BX42" s="207">
        <v>175764.46567039963</v>
      </c>
      <c r="BY42" s="207">
        <v>323874.86932508793</v>
      </c>
      <c r="BZ42" s="207">
        <v>630.27</v>
      </c>
      <c r="CA42" s="207">
        <v>-26067.61258350042</v>
      </c>
      <c r="CB42" s="207">
        <v>192628.30542647967</v>
      </c>
      <c r="CC42" s="207">
        <v>-978416.0288000669</v>
      </c>
      <c r="CD42" s="207">
        <v>0</v>
      </c>
      <c r="CE42" s="207">
        <v>436883.2520564936</v>
      </c>
      <c r="CF42" s="207">
        <v>0</v>
      </c>
      <c r="CG42" s="207">
        <v>5201362.478587181</v>
      </c>
      <c r="CH42" s="207">
        <v>-738161</v>
      </c>
      <c r="CI42" s="207">
        <v>365736.3461</v>
      </c>
      <c r="CJ42" s="207">
        <v>85639.80600000001</v>
      </c>
      <c r="CK42" s="207">
        <v>280096.5401</v>
      </c>
      <c r="CL42" s="207">
        <v>14400040.907230176</v>
      </c>
      <c r="CM42" s="207">
        <v>17412680.358482238</v>
      </c>
      <c r="CN42" s="207">
        <v>7119</v>
      </c>
    </row>
    <row r="43" spans="1:92" ht="9.75">
      <c r="A43" s="207">
        <v>145</v>
      </c>
      <c r="B43" s="207" t="s">
        <v>100</v>
      </c>
      <c r="C43" s="207">
        <v>12187</v>
      </c>
      <c r="D43" s="207">
        <v>46501783.410000004</v>
      </c>
      <c r="E43" s="207">
        <v>16477394.3592324</v>
      </c>
      <c r="F43" s="207">
        <v>1433112.6218583414</v>
      </c>
      <c r="G43" s="207">
        <v>64412290.39109075</v>
      </c>
      <c r="H43" s="207">
        <v>3654.72</v>
      </c>
      <c r="I43" s="207">
        <v>44540072.64</v>
      </c>
      <c r="J43" s="207">
        <v>19872217.75109075</v>
      </c>
      <c r="K43" s="207">
        <v>188159.2833353909</v>
      </c>
      <c r="L43" s="207">
        <v>-1857754.9169605682</v>
      </c>
      <c r="M43" s="207">
        <v>0</v>
      </c>
      <c r="N43" s="207">
        <v>18202622.117465574</v>
      </c>
      <c r="O43" s="207">
        <v>8047162.907362743</v>
      </c>
      <c r="P43" s="207">
        <v>26249785.02482832</v>
      </c>
      <c r="Q43" s="207">
        <v>878</v>
      </c>
      <c r="R43" s="207">
        <v>195</v>
      </c>
      <c r="S43" s="207">
        <v>1045</v>
      </c>
      <c r="T43" s="207">
        <v>461</v>
      </c>
      <c r="U43" s="207">
        <v>457</v>
      </c>
      <c r="V43" s="207">
        <v>6547</v>
      </c>
      <c r="W43" s="207">
        <v>1488</v>
      </c>
      <c r="X43" s="207">
        <v>718</v>
      </c>
      <c r="Y43" s="207">
        <v>398</v>
      </c>
      <c r="Z43" s="207">
        <v>26</v>
      </c>
      <c r="AA43" s="207">
        <v>0</v>
      </c>
      <c r="AB43" s="207">
        <v>12018</v>
      </c>
      <c r="AC43" s="207">
        <v>143</v>
      </c>
      <c r="AD43" s="207">
        <v>2604</v>
      </c>
      <c r="AE43" s="480">
        <v>1.1477477085112682</v>
      </c>
      <c r="AF43" s="207">
        <v>16477394.3592324</v>
      </c>
      <c r="AG43" s="175">
        <v>324</v>
      </c>
      <c r="AH43" s="175">
        <v>5639</v>
      </c>
      <c r="AI43" s="175">
        <v>0.5889347146599684</v>
      </c>
      <c r="AJ43" s="175">
        <v>143</v>
      </c>
      <c r="AK43" s="175">
        <v>0.011733814720603922</v>
      </c>
      <c r="AL43" s="175">
        <v>0.008452735610140927</v>
      </c>
      <c r="AM43" s="175">
        <v>0</v>
      </c>
      <c r="AN43" s="175">
        <v>26</v>
      </c>
      <c r="AO43" s="175">
        <v>0</v>
      </c>
      <c r="AP43" s="175">
        <v>0</v>
      </c>
      <c r="AQ43" s="175">
        <v>0</v>
      </c>
      <c r="AR43" s="175">
        <v>576.79</v>
      </c>
      <c r="AS43" s="175">
        <v>21.129007090968983</v>
      </c>
      <c r="AT43" s="175">
        <v>0.8590333688075252</v>
      </c>
      <c r="AU43" s="175">
        <v>324</v>
      </c>
      <c r="AV43" s="175">
        <v>3736</v>
      </c>
      <c r="AW43" s="175">
        <v>0.0867237687366167</v>
      </c>
      <c r="AX43" s="175">
        <v>0.0312625350071317</v>
      </c>
      <c r="AY43" s="175">
        <v>0</v>
      </c>
      <c r="AZ43" s="207">
        <v>3246</v>
      </c>
      <c r="BA43" s="175">
        <v>5189</v>
      </c>
      <c r="BB43" s="175">
        <v>0.6255540566583156</v>
      </c>
      <c r="BC43" s="175">
        <v>0.2358592092346038</v>
      </c>
      <c r="BD43" s="175">
        <v>0</v>
      </c>
      <c r="BE43" s="175">
        <v>0</v>
      </c>
      <c r="BF43" s="207">
        <v>-77013.54999999999</v>
      </c>
      <c r="BG43" s="207">
        <v>-94222.59999999999</v>
      </c>
      <c r="BH43" s="207">
        <v>-49966.7</v>
      </c>
      <c r="BI43" s="207">
        <v>-203823.5</v>
      </c>
      <c r="BJ43" s="207">
        <v>0</v>
      </c>
      <c r="BK43" s="207">
        <v>0</v>
      </c>
      <c r="BL43" s="207">
        <v>-123623</v>
      </c>
      <c r="BM43" s="207">
        <v>-357479.3073016535</v>
      </c>
      <c r="BN43" s="207">
        <v>-518678.72000000003</v>
      </c>
      <c r="BO43" s="207">
        <v>-102255.52143593878</v>
      </c>
      <c r="BP43" s="207">
        <v>954161</v>
      </c>
      <c r="BQ43" s="207">
        <v>316612</v>
      </c>
      <c r="BR43" s="207">
        <v>781526.9520805622</v>
      </c>
      <c r="BS43" s="207">
        <v>32131.733519318583</v>
      </c>
      <c r="BT43" s="207">
        <v>106781.91588868524</v>
      </c>
      <c r="BU43" s="207">
        <v>326338.1356481641</v>
      </c>
      <c r="BV43" s="207">
        <v>655891.4552160897</v>
      </c>
      <c r="BW43" s="207">
        <v>1043521.9136273402</v>
      </c>
      <c r="BX43" s="207">
        <v>283215.4080823374</v>
      </c>
      <c r="BY43" s="207">
        <v>511046.3425889969</v>
      </c>
      <c r="BZ43" s="207">
        <v>1096.83</v>
      </c>
      <c r="CA43" s="207">
        <v>41864.57177702403</v>
      </c>
      <c r="CB43" s="207">
        <v>-182917.11965891474</v>
      </c>
      <c r="CC43" s="207">
        <v>-1857754.9169605682</v>
      </c>
      <c r="CD43" s="207">
        <v>0</v>
      </c>
      <c r="CE43" s="207">
        <v>701175.6044212083</v>
      </c>
      <c r="CF43" s="207">
        <v>0</v>
      </c>
      <c r="CG43" s="207">
        <v>8047162.907362743</v>
      </c>
      <c r="CH43" s="207">
        <v>-261669</v>
      </c>
      <c r="CI43" s="207">
        <v>238024.2862</v>
      </c>
      <c r="CJ43" s="207">
        <v>342314.53884000005</v>
      </c>
      <c r="CK43" s="207">
        <v>-104290.25264000005</v>
      </c>
      <c r="CL43" s="207">
        <v>25988116.02482832</v>
      </c>
      <c r="CM43" s="207">
        <v>28755189.093838125</v>
      </c>
      <c r="CN43" s="207">
        <v>12205</v>
      </c>
    </row>
    <row r="44" spans="1:92" ht="9.75">
      <c r="A44" s="207">
        <v>146</v>
      </c>
      <c r="B44" s="207" t="s">
        <v>101</v>
      </c>
      <c r="C44" s="207">
        <v>4973</v>
      </c>
      <c r="D44" s="207">
        <v>18415617.04</v>
      </c>
      <c r="E44" s="207">
        <v>10388406.164451592</v>
      </c>
      <c r="F44" s="207">
        <v>3306578.250654597</v>
      </c>
      <c r="G44" s="207">
        <v>32110601.455106188</v>
      </c>
      <c r="H44" s="207">
        <v>3654.72</v>
      </c>
      <c r="I44" s="207">
        <v>18174922.56</v>
      </c>
      <c r="J44" s="207">
        <v>13935678.895106189</v>
      </c>
      <c r="K44" s="207">
        <v>2342475.3913193704</v>
      </c>
      <c r="L44" s="207">
        <v>-476885.6293890248</v>
      </c>
      <c r="M44" s="207">
        <v>0</v>
      </c>
      <c r="N44" s="207">
        <v>15801268.657036534</v>
      </c>
      <c r="O44" s="207">
        <v>3175196.1946881693</v>
      </c>
      <c r="P44" s="207">
        <v>18976464.851724703</v>
      </c>
      <c r="Q44" s="207">
        <v>158</v>
      </c>
      <c r="R44" s="207">
        <v>33</v>
      </c>
      <c r="S44" s="207">
        <v>210</v>
      </c>
      <c r="T44" s="207">
        <v>121</v>
      </c>
      <c r="U44" s="207">
        <v>101</v>
      </c>
      <c r="V44" s="207">
        <v>2447</v>
      </c>
      <c r="W44" s="207">
        <v>1046</v>
      </c>
      <c r="X44" s="207">
        <v>585</v>
      </c>
      <c r="Y44" s="207">
        <v>272</v>
      </c>
      <c r="Z44" s="207">
        <v>4</v>
      </c>
      <c r="AA44" s="207">
        <v>0</v>
      </c>
      <c r="AB44" s="207">
        <v>4811</v>
      </c>
      <c r="AC44" s="207">
        <v>158</v>
      </c>
      <c r="AD44" s="207">
        <v>1903</v>
      </c>
      <c r="AE44" s="480">
        <v>1.7733120761196355</v>
      </c>
      <c r="AF44" s="207">
        <v>10388406.164451592</v>
      </c>
      <c r="AG44" s="175">
        <v>342</v>
      </c>
      <c r="AH44" s="175">
        <v>2067</v>
      </c>
      <c r="AI44" s="175">
        <v>1.6959375977902402</v>
      </c>
      <c r="AJ44" s="175">
        <v>158</v>
      </c>
      <c r="AK44" s="175">
        <v>0.031771566458877944</v>
      </c>
      <c r="AL44" s="175">
        <v>0.028490487348414948</v>
      </c>
      <c r="AM44" s="175">
        <v>0</v>
      </c>
      <c r="AN44" s="175">
        <v>4</v>
      </c>
      <c r="AO44" s="175">
        <v>0</v>
      </c>
      <c r="AP44" s="175">
        <v>0</v>
      </c>
      <c r="AQ44" s="175">
        <v>0</v>
      </c>
      <c r="AR44" s="175">
        <v>2763.39</v>
      </c>
      <c r="AS44" s="175">
        <v>1.7996012144503672</v>
      </c>
      <c r="AT44" s="175">
        <v>10.08585790850152</v>
      </c>
      <c r="AU44" s="175">
        <v>197</v>
      </c>
      <c r="AV44" s="175">
        <v>1086</v>
      </c>
      <c r="AW44" s="175">
        <v>0.18139963167587478</v>
      </c>
      <c r="AX44" s="175">
        <v>0.12593839794638978</v>
      </c>
      <c r="AY44" s="175">
        <v>1.3392166666666667</v>
      </c>
      <c r="AZ44" s="207">
        <v>1513</v>
      </c>
      <c r="BA44" s="175">
        <v>1566</v>
      </c>
      <c r="BB44" s="175">
        <v>0.9661558109833972</v>
      </c>
      <c r="BC44" s="175">
        <v>0.5764609635596853</v>
      </c>
      <c r="BD44" s="175">
        <v>0</v>
      </c>
      <c r="BE44" s="175">
        <v>0</v>
      </c>
      <c r="BF44" s="207">
        <v>-32357.679999999997</v>
      </c>
      <c r="BG44" s="207">
        <v>-39588.159999999996</v>
      </c>
      <c r="BH44" s="207">
        <v>-20389.3</v>
      </c>
      <c r="BI44" s="207">
        <v>-85637.59999999999</v>
      </c>
      <c r="BJ44" s="207">
        <v>0</v>
      </c>
      <c r="BK44" s="207">
        <v>0</v>
      </c>
      <c r="BL44" s="207">
        <v>258987</v>
      </c>
      <c r="BM44" s="207">
        <v>-105395.69368587076</v>
      </c>
      <c r="BN44" s="207">
        <v>-211650.88</v>
      </c>
      <c r="BO44" s="207">
        <v>-5688.993367061019</v>
      </c>
      <c r="BP44" s="207">
        <v>556296</v>
      </c>
      <c r="BQ44" s="207">
        <v>167159</v>
      </c>
      <c r="BR44" s="207">
        <v>465718.1358928919</v>
      </c>
      <c r="BS44" s="207">
        <v>25047.13882048292</v>
      </c>
      <c r="BT44" s="207">
        <v>58430.7978963757</v>
      </c>
      <c r="BU44" s="207">
        <v>227888.47789942884</v>
      </c>
      <c r="BV44" s="207">
        <v>280256.68627585017</v>
      </c>
      <c r="BW44" s="207">
        <v>457311.2021084907</v>
      </c>
      <c r="BX44" s="207">
        <v>135148.88974832188</v>
      </c>
      <c r="BY44" s="207">
        <v>240926.38210982832</v>
      </c>
      <c r="BZ44" s="207">
        <v>447.57</v>
      </c>
      <c r="CA44" s="207">
        <v>-83139.71233609298</v>
      </c>
      <c r="CB44" s="207">
        <v>170605.864296846</v>
      </c>
      <c r="CC44" s="207">
        <v>-476885.6293890248</v>
      </c>
      <c r="CD44" s="207">
        <v>0</v>
      </c>
      <c r="CE44" s="207">
        <v>324536.21111186733</v>
      </c>
      <c r="CF44" s="207">
        <v>0</v>
      </c>
      <c r="CG44" s="207">
        <v>3175196.1946881693</v>
      </c>
      <c r="CH44" s="207">
        <v>-203605</v>
      </c>
      <c r="CI44" s="207">
        <v>110108.322</v>
      </c>
      <c r="CJ44" s="207">
        <v>65317.3441</v>
      </c>
      <c r="CK44" s="207">
        <v>44790.9779</v>
      </c>
      <c r="CL44" s="207">
        <v>18772859.851724703</v>
      </c>
      <c r="CM44" s="207">
        <v>21345652.61776966</v>
      </c>
      <c r="CN44" s="207">
        <v>5128</v>
      </c>
    </row>
    <row r="45" spans="1:92" ht="9.75">
      <c r="A45" s="207">
        <v>153</v>
      </c>
      <c r="B45" s="207" t="s">
        <v>102</v>
      </c>
      <c r="C45" s="207">
        <v>26932</v>
      </c>
      <c r="D45" s="207">
        <v>94495363.62</v>
      </c>
      <c r="E45" s="207">
        <v>43891242.328241915</v>
      </c>
      <c r="F45" s="207">
        <v>7592733.507889102</v>
      </c>
      <c r="G45" s="207">
        <v>145979339.456131</v>
      </c>
      <c r="H45" s="207">
        <v>3654.72</v>
      </c>
      <c r="I45" s="207">
        <v>98428919.03999999</v>
      </c>
      <c r="J45" s="207">
        <v>47550420.41613102</v>
      </c>
      <c r="K45" s="207">
        <v>1159354.3173544374</v>
      </c>
      <c r="L45" s="207">
        <v>-5082300.576881822</v>
      </c>
      <c r="M45" s="207">
        <v>0</v>
      </c>
      <c r="N45" s="207">
        <v>43627474.156603634</v>
      </c>
      <c r="O45" s="207">
        <v>7468064.865183357</v>
      </c>
      <c r="P45" s="207">
        <v>51095539.02178699</v>
      </c>
      <c r="Q45" s="207">
        <v>1178</v>
      </c>
      <c r="R45" s="207">
        <v>220</v>
      </c>
      <c r="S45" s="207">
        <v>1462</v>
      </c>
      <c r="T45" s="207">
        <v>787</v>
      </c>
      <c r="U45" s="207">
        <v>786</v>
      </c>
      <c r="V45" s="207">
        <v>14538</v>
      </c>
      <c r="W45" s="207">
        <v>4290</v>
      </c>
      <c r="X45" s="207">
        <v>2675</v>
      </c>
      <c r="Y45" s="207">
        <v>996</v>
      </c>
      <c r="Z45" s="207">
        <v>40</v>
      </c>
      <c r="AA45" s="207">
        <v>1</v>
      </c>
      <c r="AB45" s="207">
        <v>25217</v>
      </c>
      <c r="AC45" s="207">
        <v>1674</v>
      </c>
      <c r="AD45" s="207">
        <v>7961</v>
      </c>
      <c r="AE45" s="480">
        <v>1.3834516235015684</v>
      </c>
      <c r="AF45" s="207">
        <v>43891242.328241915</v>
      </c>
      <c r="AG45" s="175">
        <v>1665</v>
      </c>
      <c r="AH45" s="175">
        <v>12120</v>
      </c>
      <c r="AI45" s="175">
        <v>1.4081076465759053</v>
      </c>
      <c r="AJ45" s="175">
        <v>1674</v>
      </c>
      <c r="AK45" s="175">
        <v>0.06215654240308926</v>
      </c>
      <c r="AL45" s="175">
        <v>0.05887546329262626</v>
      </c>
      <c r="AM45" s="175">
        <v>0</v>
      </c>
      <c r="AN45" s="175">
        <v>40</v>
      </c>
      <c r="AO45" s="175">
        <v>1</v>
      </c>
      <c r="AP45" s="175">
        <v>0</v>
      </c>
      <c r="AQ45" s="175">
        <v>0</v>
      </c>
      <c r="AR45" s="175">
        <v>155.01</v>
      </c>
      <c r="AS45" s="175">
        <v>173.74362944326174</v>
      </c>
      <c r="AT45" s="175">
        <v>0.10446726708239087</v>
      </c>
      <c r="AU45" s="175">
        <v>1028</v>
      </c>
      <c r="AV45" s="175">
        <v>7630</v>
      </c>
      <c r="AW45" s="175">
        <v>0.1347313237221494</v>
      </c>
      <c r="AX45" s="175">
        <v>0.07927008999266441</v>
      </c>
      <c r="AY45" s="175">
        <v>0</v>
      </c>
      <c r="AZ45" s="207">
        <v>10316</v>
      </c>
      <c r="BA45" s="175">
        <v>9850</v>
      </c>
      <c r="BB45" s="175">
        <v>1.0473096446700507</v>
      </c>
      <c r="BC45" s="175">
        <v>0.6576147972463389</v>
      </c>
      <c r="BD45" s="175">
        <v>0</v>
      </c>
      <c r="BE45" s="175">
        <v>1</v>
      </c>
      <c r="BF45" s="207">
        <v>-172067.38999999998</v>
      </c>
      <c r="BG45" s="207">
        <v>-210516.68</v>
      </c>
      <c r="BH45" s="207">
        <v>-110421.2</v>
      </c>
      <c r="BI45" s="207">
        <v>-455392.3</v>
      </c>
      <c r="BJ45" s="207">
        <v>0</v>
      </c>
      <c r="BK45" s="207">
        <v>0</v>
      </c>
      <c r="BL45" s="207">
        <v>230653</v>
      </c>
      <c r="BM45" s="207">
        <v>-2314132.5924895415</v>
      </c>
      <c r="BN45" s="207">
        <v>-1146225.9200000002</v>
      </c>
      <c r="BO45" s="207">
        <v>-294628.57903369516</v>
      </c>
      <c r="BP45" s="207">
        <v>1915973</v>
      </c>
      <c r="BQ45" s="207">
        <v>590926</v>
      </c>
      <c r="BR45" s="207">
        <v>1235447.8154237953</v>
      </c>
      <c r="BS45" s="207">
        <v>58300.03887859348</v>
      </c>
      <c r="BT45" s="207">
        <v>191082.24648750428</v>
      </c>
      <c r="BU45" s="207">
        <v>765331.2197312817</v>
      </c>
      <c r="BV45" s="207">
        <v>1205978.6973517747</v>
      </c>
      <c r="BW45" s="207">
        <v>2041330.1325758654</v>
      </c>
      <c r="BX45" s="207">
        <v>579064.7244630834</v>
      </c>
      <c r="BY45" s="207">
        <v>1029037.6928032943</v>
      </c>
      <c r="BZ45" s="207">
        <v>2423.88</v>
      </c>
      <c r="CA45" s="207">
        <v>213742.32464141358</v>
      </c>
      <c r="CB45" s="207">
        <v>152190.62560771842</v>
      </c>
      <c r="CC45" s="207">
        <v>-5082300.576881822</v>
      </c>
      <c r="CD45" s="207">
        <v>0</v>
      </c>
      <c r="CE45" s="207">
        <v>1125786.4807557804</v>
      </c>
      <c r="CF45" s="207">
        <v>0</v>
      </c>
      <c r="CG45" s="207">
        <v>7468064.865183357</v>
      </c>
      <c r="CH45" s="207">
        <v>-1519499</v>
      </c>
      <c r="CI45" s="207">
        <v>568417.2203</v>
      </c>
      <c r="CJ45" s="207">
        <v>1364815.7603439998</v>
      </c>
      <c r="CK45" s="207">
        <v>-796398.5400439998</v>
      </c>
      <c r="CL45" s="207">
        <v>49576040.02178699</v>
      </c>
      <c r="CM45" s="207">
        <v>55181387.35926322</v>
      </c>
      <c r="CN45" s="207">
        <v>27269</v>
      </c>
    </row>
    <row r="46" spans="1:92" ht="9.75">
      <c r="A46" s="207">
        <v>148</v>
      </c>
      <c r="B46" s="207" t="s">
        <v>103</v>
      </c>
      <c r="C46" s="207">
        <v>6930</v>
      </c>
      <c r="D46" s="207">
        <v>21937707.27</v>
      </c>
      <c r="E46" s="207">
        <v>8792694.242869586</v>
      </c>
      <c r="F46" s="207">
        <v>6886350.876860773</v>
      </c>
      <c r="G46" s="207">
        <v>37616752.38973036</v>
      </c>
      <c r="H46" s="207">
        <v>3654.72</v>
      </c>
      <c r="I46" s="207">
        <v>25327209.599999998</v>
      </c>
      <c r="J46" s="207">
        <v>12289542.789730359</v>
      </c>
      <c r="K46" s="207">
        <v>8586826.082393572</v>
      </c>
      <c r="L46" s="207">
        <v>-171575.80101260543</v>
      </c>
      <c r="M46" s="207">
        <v>0</v>
      </c>
      <c r="N46" s="207">
        <v>20704793.071111325</v>
      </c>
      <c r="O46" s="207">
        <v>1797719.8494495815</v>
      </c>
      <c r="P46" s="207">
        <v>22502512.920560908</v>
      </c>
      <c r="Q46" s="207">
        <v>305</v>
      </c>
      <c r="R46" s="207">
        <v>49</v>
      </c>
      <c r="S46" s="207">
        <v>392</v>
      </c>
      <c r="T46" s="207">
        <v>186</v>
      </c>
      <c r="U46" s="207">
        <v>172</v>
      </c>
      <c r="V46" s="207">
        <v>4074</v>
      </c>
      <c r="W46" s="207">
        <v>1050</v>
      </c>
      <c r="X46" s="207">
        <v>516</v>
      </c>
      <c r="Y46" s="207">
        <v>186</v>
      </c>
      <c r="Z46" s="207">
        <v>23</v>
      </c>
      <c r="AA46" s="207">
        <v>454</v>
      </c>
      <c r="AB46" s="207">
        <v>6254</v>
      </c>
      <c r="AC46" s="207">
        <v>199</v>
      </c>
      <c r="AD46" s="207">
        <v>1752</v>
      </c>
      <c r="AE46" s="480">
        <v>1.0770688013863576</v>
      </c>
      <c r="AF46" s="207">
        <v>8792694.242869586</v>
      </c>
      <c r="AG46" s="175">
        <v>386</v>
      </c>
      <c r="AH46" s="175">
        <v>3343</v>
      </c>
      <c r="AI46" s="175">
        <v>1.1835188161770485</v>
      </c>
      <c r="AJ46" s="175">
        <v>199</v>
      </c>
      <c r="AK46" s="175">
        <v>0.028715728715728715</v>
      </c>
      <c r="AL46" s="175">
        <v>0.02543464960526572</v>
      </c>
      <c r="AM46" s="175">
        <v>0</v>
      </c>
      <c r="AN46" s="175">
        <v>23</v>
      </c>
      <c r="AO46" s="175">
        <v>454</v>
      </c>
      <c r="AP46" s="175">
        <v>0</v>
      </c>
      <c r="AQ46" s="175">
        <v>0</v>
      </c>
      <c r="AR46" s="175">
        <v>15056.29</v>
      </c>
      <c r="AS46" s="175">
        <v>0.460272749794272</v>
      </c>
      <c r="AT46" s="175">
        <v>39.43427489249778</v>
      </c>
      <c r="AU46" s="175">
        <v>309</v>
      </c>
      <c r="AV46" s="175">
        <v>2087</v>
      </c>
      <c r="AW46" s="175">
        <v>0.14805941542884524</v>
      </c>
      <c r="AX46" s="175">
        <v>0.09259818169936024</v>
      </c>
      <c r="AY46" s="175">
        <v>1.5751833333333334</v>
      </c>
      <c r="AZ46" s="207">
        <v>3010</v>
      </c>
      <c r="BA46" s="175">
        <v>2994</v>
      </c>
      <c r="BB46" s="175">
        <v>1.0053440213760856</v>
      </c>
      <c r="BC46" s="175">
        <v>0.6156491739523737</v>
      </c>
      <c r="BD46" s="175">
        <v>1</v>
      </c>
      <c r="BE46" s="175">
        <v>454</v>
      </c>
      <c r="BF46" s="207">
        <v>-43343.39</v>
      </c>
      <c r="BG46" s="207">
        <v>-53028.68</v>
      </c>
      <c r="BH46" s="207">
        <v>-28412.999999999996</v>
      </c>
      <c r="BI46" s="207">
        <v>-114712.29999999999</v>
      </c>
      <c r="BJ46" s="207">
        <v>0</v>
      </c>
      <c r="BK46" s="207">
        <v>0</v>
      </c>
      <c r="BL46" s="207">
        <v>479107</v>
      </c>
      <c r="BM46" s="207">
        <v>-150611.21393115257</v>
      </c>
      <c r="BN46" s="207">
        <v>-294940.8</v>
      </c>
      <c r="BO46" s="207">
        <v>241319.49110893905</v>
      </c>
      <c r="BP46" s="207">
        <v>499986</v>
      </c>
      <c r="BQ46" s="207">
        <v>180627</v>
      </c>
      <c r="BR46" s="207">
        <v>479629.9454780115</v>
      </c>
      <c r="BS46" s="207">
        <v>24832.544674204702</v>
      </c>
      <c r="BT46" s="207">
        <v>29639.119052726277</v>
      </c>
      <c r="BU46" s="207">
        <v>168703.85073378746</v>
      </c>
      <c r="BV46" s="207">
        <v>363400.90967335243</v>
      </c>
      <c r="BW46" s="207">
        <v>488515.4997240312</v>
      </c>
      <c r="BX46" s="207">
        <v>195332.8887430073</v>
      </c>
      <c r="BY46" s="207">
        <v>303505.35275989975</v>
      </c>
      <c r="BZ46" s="207">
        <v>623.6999999999999</v>
      </c>
      <c r="CA46" s="207">
        <v>4897.191809608004</v>
      </c>
      <c r="CB46" s="207">
        <v>725947.382918547</v>
      </c>
      <c r="CC46" s="207">
        <v>-171575.80101260543</v>
      </c>
      <c r="CD46" s="207">
        <v>0</v>
      </c>
      <c r="CE46" s="207">
        <v>413203.85396726686</v>
      </c>
      <c r="CF46" s="207">
        <v>0</v>
      </c>
      <c r="CG46" s="207">
        <v>1797719.8494495815</v>
      </c>
      <c r="CH46" s="207">
        <v>-542433</v>
      </c>
      <c r="CI46" s="207">
        <v>122478.51620000001</v>
      </c>
      <c r="CJ46" s="207">
        <v>92436.61600000001</v>
      </c>
      <c r="CK46" s="207">
        <v>30041.900200000004</v>
      </c>
      <c r="CL46" s="207">
        <v>21960079.920560908</v>
      </c>
      <c r="CM46" s="207">
        <v>23111664.981128313</v>
      </c>
      <c r="CN46" s="207">
        <v>6869</v>
      </c>
    </row>
    <row r="47" spans="1:92" ht="9.75">
      <c r="A47" s="207">
        <v>149</v>
      </c>
      <c r="B47" s="207" t="s">
        <v>104</v>
      </c>
      <c r="C47" s="207">
        <v>5403</v>
      </c>
      <c r="D47" s="207">
        <v>19566115.6</v>
      </c>
      <c r="E47" s="207">
        <v>5577568.13505169</v>
      </c>
      <c r="F47" s="207">
        <v>2066883.2877036757</v>
      </c>
      <c r="G47" s="207">
        <v>27210567.022755366</v>
      </c>
      <c r="H47" s="207">
        <v>3654.72</v>
      </c>
      <c r="I47" s="207">
        <v>19746452.16</v>
      </c>
      <c r="J47" s="207">
        <v>7464114.862755366</v>
      </c>
      <c r="K47" s="207">
        <v>51486.97255299848</v>
      </c>
      <c r="L47" s="207">
        <v>-878034.8406640014</v>
      </c>
      <c r="M47" s="207">
        <v>0</v>
      </c>
      <c r="N47" s="207">
        <v>6637566.994644363</v>
      </c>
      <c r="O47" s="207">
        <v>-441982.55914915114</v>
      </c>
      <c r="P47" s="207">
        <v>6195584.435495213</v>
      </c>
      <c r="Q47" s="207">
        <v>267</v>
      </c>
      <c r="R47" s="207">
        <v>57</v>
      </c>
      <c r="S47" s="207">
        <v>402</v>
      </c>
      <c r="T47" s="207">
        <v>223</v>
      </c>
      <c r="U47" s="207">
        <v>187</v>
      </c>
      <c r="V47" s="207">
        <v>2940</v>
      </c>
      <c r="W47" s="207">
        <v>760</v>
      </c>
      <c r="X47" s="207">
        <v>398</v>
      </c>
      <c r="Y47" s="207">
        <v>169</v>
      </c>
      <c r="Z47" s="207">
        <v>2839</v>
      </c>
      <c r="AA47" s="207">
        <v>0</v>
      </c>
      <c r="AB47" s="207">
        <v>2341</v>
      </c>
      <c r="AC47" s="207">
        <v>223</v>
      </c>
      <c r="AD47" s="207">
        <v>1327</v>
      </c>
      <c r="AE47" s="480">
        <v>0.8763238393076113</v>
      </c>
      <c r="AF47" s="207">
        <v>5577568.13505169</v>
      </c>
      <c r="AG47" s="175">
        <v>166</v>
      </c>
      <c r="AH47" s="175">
        <v>2624</v>
      </c>
      <c r="AI47" s="175">
        <v>0.6484380576382012</v>
      </c>
      <c r="AJ47" s="175">
        <v>223</v>
      </c>
      <c r="AK47" s="175">
        <v>0.04127336664815843</v>
      </c>
      <c r="AL47" s="175">
        <v>0.03799228753769543</v>
      </c>
      <c r="AM47" s="175">
        <v>3</v>
      </c>
      <c r="AN47" s="175">
        <v>2839</v>
      </c>
      <c r="AO47" s="175">
        <v>0</v>
      </c>
      <c r="AP47" s="175">
        <v>3</v>
      </c>
      <c r="AQ47" s="175">
        <v>223</v>
      </c>
      <c r="AR47" s="175">
        <v>349.89</v>
      </c>
      <c r="AS47" s="175">
        <v>15.441996055903285</v>
      </c>
      <c r="AT47" s="175">
        <v>1.175399998497892</v>
      </c>
      <c r="AU47" s="175">
        <v>234</v>
      </c>
      <c r="AV47" s="175">
        <v>1754</v>
      </c>
      <c r="AW47" s="175">
        <v>0.13340935005701254</v>
      </c>
      <c r="AX47" s="175">
        <v>0.07794811632752754</v>
      </c>
      <c r="AY47" s="175">
        <v>0</v>
      </c>
      <c r="AZ47" s="207">
        <v>1290</v>
      </c>
      <c r="BA47" s="175">
        <v>2410</v>
      </c>
      <c r="BB47" s="175">
        <v>0.5352697095435685</v>
      </c>
      <c r="BC47" s="175">
        <v>0.1455748621198566</v>
      </c>
      <c r="BD47" s="175">
        <v>0</v>
      </c>
      <c r="BE47" s="175">
        <v>0</v>
      </c>
      <c r="BF47" s="207">
        <v>-34585.11</v>
      </c>
      <c r="BG47" s="207">
        <v>-42313.32</v>
      </c>
      <c r="BH47" s="207">
        <v>-22152.3</v>
      </c>
      <c r="BI47" s="207">
        <v>-91532.7</v>
      </c>
      <c r="BJ47" s="207">
        <v>0</v>
      </c>
      <c r="BK47" s="207">
        <v>0</v>
      </c>
      <c r="BL47" s="207">
        <v>2429</v>
      </c>
      <c r="BM47" s="207">
        <v>-105070.28394086959</v>
      </c>
      <c r="BN47" s="207">
        <v>-229951.68000000002</v>
      </c>
      <c r="BO47" s="207">
        <v>-139329.01962335035</v>
      </c>
      <c r="BP47" s="207">
        <v>462664</v>
      </c>
      <c r="BQ47" s="207">
        <v>145911</v>
      </c>
      <c r="BR47" s="207">
        <v>289533.9898365389</v>
      </c>
      <c r="BS47" s="207">
        <v>4845.642708322306</v>
      </c>
      <c r="BT47" s="207">
        <v>-30972.378801288753</v>
      </c>
      <c r="BU47" s="207">
        <v>67000.9340491973</v>
      </c>
      <c r="BV47" s="207">
        <v>256786.39362548</v>
      </c>
      <c r="BW47" s="207">
        <v>420191.7238836958</v>
      </c>
      <c r="BX47" s="207">
        <v>127465.4856256947</v>
      </c>
      <c r="BY47" s="207">
        <v>209778.49629041774</v>
      </c>
      <c r="BZ47" s="207">
        <v>486.27</v>
      </c>
      <c r="CA47" s="207">
        <v>-50359.717099781425</v>
      </c>
      <c r="CB47" s="207">
        <v>-186773.46672313177</v>
      </c>
      <c r="CC47" s="207">
        <v>-878034.8406640014</v>
      </c>
      <c r="CD47" s="207">
        <v>0</v>
      </c>
      <c r="CE47" s="207">
        <v>270267.1870530653</v>
      </c>
      <c r="CF47" s="207">
        <v>0</v>
      </c>
      <c r="CG47" s="207">
        <v>-441982.55914915114</v>
      </c>
      <c r="CH47" s="207">
        <v>-1064327</v>
      </c>
      <c r="CI47" s="207">
        <v>74764.91</v>
      </c>
      <c r="CJ47" s="207">
        <v>2515349.8511800007</v>
      </c>
      <c r="CK47" s="207">
        <v>-2440584.9411800005</v>
      </c>
      <c r="CL47" s="207">
        <v>5131257.435495213</v>
      </c>
      <c r="CM47" s="207">
        <v>6630784.081475241</v>
      </c>
      <c r="CN47" s="207">
        <v>5481</v>
      </c>
    </row>
    <row r="48" spans="1:92" ht="9.75">
      <c r="A48" s="207">
        <v>151</v>
      </c>
      <c r="B48" s="207" t="s">
        <v>105</v>
      </c>
      <c r="C48" s="207">
        <v>1976</v>
      </c>
      <c r="D48" s="207">
        <v>7549761.470000001</v>
      </c>
      <c r="E48" s="207">
        <v>3552095.2436867147</v>
      </c>
      <c r="F48" s="207">
        <v>820059.5938122259</v>
      </c>
      <c r="G48" s="207">
        <v>11921916.307498941</v>
      </c>
      <c r="H48" s="207">
        <v>3654.72</v>
      </c>
      <c r="I48" s="207">
        <v>7221726.72</v>
      </c>
      <c r="J48" s="207">
        <v>4700189.587498941</v>
      </c>
      <c r="K48" s="207">
        <v>267769.54056112975</v>
      </c>
      <c r="L48" s="207">
        <v>-251352.78584065745</v>
      </c>
      <c r="M48" s="207">
        <v>0</v>
      </c>
      <c r="N48" s="207">
        <v>4716606.342219413</v>
      </c>
      <c r="O48" s="207">
        <v>1963123.16912643</v>
      </c>
      <c r="P48" s="207">
        <v>6679729.511345843</v>
      </c>
      <c r="Q48" s="207">
        <v>73</v>
      </c>
      <c r="R48" s="207">
        <v>14</v>
      </c>
      <c r="S48" s="207">
        <v>101</v>
      </c>
      <c r="T48" s="207">
        <v>63</v>
      </c>
      <c r="U48" s="207">
        <v>70</v>
      </c>
      <c r="V48" s="207">
        <v>1020</v>
      </c>
      <c r="W48" s="207">
        <v>342</v>
      </c>
      <c r="X48" s="207">
        <v>181</v>
      </c>
      <c r="Y48" s="207">
        <v>112</v>
      </c>
      <c r="Z48" s="207">
        <v>19</v>
      </c>
      <c r="AA48" s="207">
        <v>0</v>
      </c>
      <c r="AB48" s="207">
        <v>1888</v>
      </c>
      <c r="AC48" s="207">
        <v>69</v>
      </c>
      <c r="AD48" s="207">
        <v>635</v>
      </c>
      <c r="AE48" s="480">
        <v>1.5259924027578458</v>
      </c>
      <c r="AF48" s="207">
        <v>3552095.2436867147</v>
      </c>
      <c r="AG48" s="175">
        <v>49</v>
      </c>
      <c r="AH48" s="175">
        <v>875</v>
      </c>
      <c r="AI48" s="175">
        <v>0.5740004936240231</v>
      </c>
      <c r="AJ48" s="175">
        <v>69</v>
      </c>
      <c r="AK48" s="175">
        <v>0.034919028340080975</v>
      </c>
      <c r="AL48" s="175">
        <v>0.031637949229617976</v>
      </c>
      <c r="AM48" s="175">
        <v>0</v>
      </c>
      <c r="AN48" s="175">
        <v>19</v>
      </c>
      <c r="AO48" s="175">
        <v>0</v>
      </c>
      <c r="AP48" s="175">
        <v>0</v>
      </c>
      <c r="AQ48" s="175">
        <v>0</v>
      </c>
      <c r="AR48" s="175">
        <v>642.38</v>
      </c>
      <c r="AS48" s="175">
        <v>3.0760608985335782</v>
      </c>
      <c r="AT48" s="175">
        <v>5.900573083441197</v>
      </c>
      <c r="AU48" s="175">
        <v>106</v>
      </c>
      <c r="AV48" s="175">
        <v>494</v>
      </c>
      <c r="AW48" s="175">
        <v>0.2145748987854251</v>
      </c>
      <c r="AX48" s="175">
        <v>0.1591136650559401</v>
      </c>
      <c r="AY48" s="175">
        <v>0.4797166666666667</v>
      </c>
      <c r="AZ48" s="207">
        <v>698</v>
      </c>
      <c r="BA48" s="175">
        <v>794</v>
      </c>
      <c r="BB48" s="175">
        <v>0.8790931989924433</v>
      </c>
      <c r="BC48" s="175">
        <v>0.48939835156873146</v>
      </c>
      <c r="BD48" s="175">
        <v>0</v>
      </c>
      <c r="BE48" s="175">
        <v>0</v>
      </c>
      <c r="BF48" s="207">
        <v>-12821.92</v>
      </c>
      <c r="BG48" s="207">
        <v>-15687.039999999999</v>
      </c>
      <c r="BH48" s="207">
        <v>-8101.599999999999</v>
      </c>
      <c r="BI48" s="207">
        <v>-33934.4</v>
      </c>
      <c r="BJ48" s="207">
        <v>0</v>
      </c>
      <c r="BK48" s="207">
        <v>0</v>
      </c>
      <c r="BL48" s="207">
        <v>14391</v>
      </c>
      <c r="BM48" s="207">
        <v>-28276.039267459448</v>
      </c>
      <c r="BN48" s="207">
        <v>-84098.56</v>
      </c>
      <c r="BO48" s="207">
        <v>-10711.074828449637</v>
      </c>
      <c r="BP48" s="207">
        <v>269740</v>
      </c>
      <c r="BQ48" s="207">
        <v>77472</v>
      </c>
      <c r="BR48" s="207">
        <v>213295.79956305336</v>
      </c>
      <c r="BS48" s="207">
        <v>12038.590237768842</v>
      </c>
      <c r="BT48" s="207">
        <v>34652.234374850144</v>
      </c>
      <c r="BU48" s="207">
        <v>98865.7058690814</v>
      </c>
      <c r="BV48" s="207">
        <v>137259.29576889312</v>
      </c>
      <c r="BW48" s="207">
        <v>215846.0136425003</v>
      </c>
      <c r="BX48" s="207">
        <v>65816.83780627932</v>
      </c>
      <c r="BY48" s="207">
        <v>111410.15812594573</v>
      </c>
      <c r="BZ48" s="207">
        <v>177.84</v>
      </c>
      <c r="CA48" s="207">
        <v>-11706.83174474837</v>
      </c>
      <c r="CB48" s="207">
        <v>-7849.066573198006</v>
      </c>
      <c r="CC48" s="207">
        <v>-251352.78584065745</v>
      </c>
      <c r="CD48" s="207">
        <v>0</v>
      </c>
      <c r="CE48" s="207">
        <v>158179.8958285775</v>
      </c>
      <c r="CF48" s="207">
        <v>0</v>
      </c>
      <c r="CG48" s="207">
        <v>1963123.16912643</v>
      </c>
      <c r="CH48" s="207">
        <v>-491554</v>
      </c>
      <c r="CI48" s="207">
        <v>35343.412000000004</v>
      </c>
      <c r="CJ48" s="207">
        <v>49643.90024</v>
      </c>
      <c r="CK48" s="207">
        <v>-14300.488239999999</v>
      </c>
      <c r="CL48" s="207">
        <v>6188175.511345843</v>
      </c>
      <c r="CM48" s="207">
        <v>7729696.821816139</v>
      </c>
      <c r="CN48" s="207">
        <v>2032</v>
      </c>
    </row>
    <row r="49" spans="1:92" ht="9.75">
      <c r="A49" s="207">
        <v>152</v>
      </c>
      <c r="B49" s="207" t="s">
        <v>106</v>
      </c>
      <c r="C49" s="207">
        <v>4601</v>
      </c>
      <c r="D49" s="207">
        <v>17909905.56</v>
      </c>
      <c r="E49" s="207">
        <v>6486219.561274582</v>
      </c>
      <c r="F49" s="207">
        <v>693633.2542324843</v>
      </c>
      <c r="G49" s="207">
        <v>25089758.375507064</v>
      </c>
      <c r="H49" s="207">
        <v>3654.72</v>
      </c>
      <c r="I49" s="207">
        <v>16815366.72</v>
      </c>
      <c r="J49" s="207">
        <v>8274391.655507065</v>
      </c>
      <c r="K49" s="207">
        <v>97360.83828718624</v>
      </c>
      <c r="L49" s="207">
        <v>-670294.507410914</v>
      </c>
      <c r="M49" s="207">
        <v>0</v>
      </c>
      <c r="N49" s="207">
        <v>7701457.9863833375</v>
      </c>
      <c r="O49" s="207">
        <v>3623520.0486513665</v>
      </c>
      <c r="P49" s="207">
        <v>11324978.035034705</v>
      </c>
      <c r="Q49" s="207">
        <v>250</v>
      </c>
      <c r="R49" s="207">
        <v>57</v>
      </c>
      <c r="S49" s="207">
        <v>351</v>
      </c>
      <c r="T49" s="207">
        <v>176</v>
      </c>
      <c r="U49" s="207">
        <v>164</v>
      </c>
      <c r="V49" s="207">
        <v>2370</v>
      </c>
      <c r="W49" s="207">
        <v>645</v>
      </c>
      <c r="X49" s="207">
        <v>399</v>
      </c>
      <c r="Y49" s="207">
        <v>189</v>
      </c>
      <c r="Z49" s="207">
        <v>35</v>
      </c>
      <c r="AA49" s="207">
        <v>0</v>
      </c>
      <c r="AB49" s="207">
        <v>4522</v>
      </c>
      <c r="AC49" s="207">
        <v>44</v>
      </c>
      <c r="AD49" s="207">
        <v>1233</v>
      </c>
      <c r="AE49" s="480">
        <v>1.1967243338025693</v>
      </c>
      <c r="AF49" s="207">
        <v>6486219.561274582</v>
      </c>
      <c r="AG49" s="175">
        <v>139</v>
      </c>
      <c r="AH49" s="175">
        <v>2079</v>
      </c>
      <c r="AI49" s="175">
        <v>0.6853060246490346</v>
      </c>
      <c r="AJ49" s="175">
        <v>44</v>
      </c>
      <c r="AK49" s="175">
        <v>0.009563138448163443</v>
      </c>
      <c r="AL49" s="175">
        <v>0.006282059337700446</v>
      </c>
      <c r="AM49" s="175">
        <v>0</v>
      </c>
      <c r="AN49" s="175">
        <v>35</v>
      </c>
      <c r="AO49" s="175">
        <v>0</v>
      </c>
      <c r="AP49" s="175">
        <v>0</v>
      </c>
      <c r="AQ49" s="175">
        <v>0</v>
      </c>
      <c r="AR49" s="175">
        <v>354.13</v>
      </c>
      <c r="AS49" s="175">
        <v>12.992403919464603</v>
      </c>
      <c r="AT49" s="175">
        <v>1.397010303360483</v>
      </c>
      <c r="AU49" s="175">
        <v>133</v>
      </c>
      <c r="AV49" s="175">
        <v>1273</v>
      </c>
      <c r="AW49" s="175">
        <v>0.1044776119402985</v>
      </c>
      <c r="AX49" s="175">
        <v>0.0490163782108135</v>
      </c>
      <c r="AY49" s="175">
        <v>0</v>
      </c>
      <c r="AZ49" s="207">
        <v>1304</v>
      </c>
      <c r="BA49" s="175">
        <v>1829</v>
      </c>
      <c r="BB49" s="175">
        <v>0.7129579004920722</v>
      </c>
      <c r="BC49" s="175">
        <v>0.32326305306836034</v>
      </c>
      <c r="BD49" s="175">
        <v>0</v>
      </c>
      <c r="BE49" s="175">
        <v>0</v>
      </c>
      <c r="BF49" s="207">
        <v>-29486.629999999997</v>
      </c>
      <c r="BG49" s="207">
        <v>-36075.56</v>
      </c>
      <c r="BH49" s="207">
        <v>-18864.1</v>
      </c>
      <c r="BI49" s="207">
        <v>-78039.09999999999</v>
      </c>
      <c r="BJ49" s="207">
        <v>0</v>
      </c>
      <c r="BK49" s="207">
        <v>0</v>
      </c>
      <c r="BL49" s="207">
        <v>-42666</v>
      </c>
      <c r="BM49" s="207">
        <v>-128450.94572471708</v>
      </c>
      <c r="BN49" s="207">
        <v>-195818.56</v>
      </c>
      <c r="BO49" s="207">
        <v>-4805.183234481141</v>
      </c>
      <c r="BP49" s="207">
        <v>453574</v>
      </c>
      <c r="BQ49" s="207">
        <v>149113</v>
      </c>
      <c r="BR49" s="207">
        <v>365093.086581899</v>
      </c>
      <c r="BS49" s="207">
        <v>18504.183119397294</v>
      </c>
      <c r="BT49" s="207">
        <v>39985.40308242453</v>
      </c>
      <c r="BU49" s="207">
        <v>140431.9440813769</v>
      </c>
      <c r="BV49" s="207">
        <v>268667.9662523781</v>
      </c>
      <c r="BW49" s="207">
        <v>453481.51872165385</v>
      </c>
      <c r="BX49" s="207">
        <v>123945.84333360156</v>
      </c>
      <c r="BY49" s="207">
        <v>220230.03564561004</v>
      </c>
      <c r="BZ49" s="207">
        <v>414.09</v>
      </c>
      <c r="CA49" s="207">
        <v>4564.141548284166</v>
      </c>
      <c r="CB49" s="207">
        <v>-42492.951686196975</v>
      </c>
      <c r="CC49" s="207">
        <v>-670294.507410914</v>
      </c>
      <c r="CD49" s="207">
        <v>0</v>
      </c>
      <c r="CE49" s="207">
        <v>293845.323661813</v>
      </c>
      <c r="CF49" s="207">
        <v>0</v>
      </c>
      <c r="CG49" s="207">
        <v>3623520.0486513665</v>
      </c>
      <c r="CH49" s="207">
        <v>-158202</v>
      </c>
      <c r="CI49" s="207">
        <v>173998.336</v>
      </c>
      <c r="CJ49" s="207">
        <v>107457.5661</v>
      </c>
      <c r="CK49" s="207">
        <v>66540.76990000001</v>
      </c>
      <c r="CL49" s="207">
        <v>11166776.035034705</v>
      </c>
      <c r="CM49" s="207">
        <v>12977564.492243104</v>
      </c>
      <c r="CN49" s="207">
        <v>4673</v>
      </c>
    </row>
    <row r="50" spans="1:92" ht="9.75">
      <c r="A50" s="207">
        <v>165</v>
      </c>
      <c r="B50" s="207" t="s">
        <v>107</v>
      </c>
      <c r="C50" s="207">
        <v>16447</v>
      </c>
      <c r="D50" s="207">
        <v>58386508.03</v>
      </c>
      <c r="E50" s="207">
        <v>18535879.62419424</v>
      </c>
      <c r="F50" s="207">
        <v>2905649.9957738016</v>
      </c>
      <c r="G50" s="207">
        <v>79828037.64996804</v>
      </c>
      <c r="H50" s="207">
        <v>3654.72</v>
      </c>
      <c r="I50" s="207">
        <v>60109179.839999996</v>
      </c>
      <c r="J50" s="207">
        <v>19718857.809968047</v>
      </c>
      <c r="K50" s="207">
        <v>365154.94480689685</v>
      </c>
      <c r="L50" s="207">
        <v>-2418974.2492682966</v>
      </c>
      <c r="M50" s="207">
        <v>0</v>
      </c>
      <c r="N50" s="207">
        <v>17665038.505506646</v>
      </c>
      <c r="O50" s="207">
        <v>5121876.809545046</v>
      </c>
      <c r="P50" s="207">
        <v>22786915.31505169</v>
      </c>
      <c r="Q50" s="207">
        <v>938</v>
      </c>
      <c r="R50" s="207">
        <v>183</v>
      </c>
      <c r="S50" s="207">
        <v>1216</v>
      </c>
      <c r="T50" s="207">
        <v>618</v>
      </c>
      <c r="U50" s="207">
        <v>596</v>
      </c>
      <c r="V50" s="207">
        <v>8995</v>
      </c>
      <c r="W50" s="207">
        <v>2231</v>
      </c>
      <c r="X50" s="207">
        <v>1239</v>
      </c>
      <c r="Y50" s="207">
        <v>431</v>
      </c>
      <c r="Z50" s="207">
        <v>62</v>
      </c>
      <c r="AA50" s="207">
        <v>0</v>
      </c>
      <c r="AB50" s="207">
        <v>15910</v>
      </c>
      <c r="AC50" s="207">
        <v>475</v>
      </c>
      <c r="AD50" s="207">
        <v>3901</v>
      </c>
      <c r="AE50" s="480">
        <v>0.9567119915973467</v>
      </c>
      <c r="AF50" s="207">
        <v>18535879.62419424</v>
      </c>
      <c r="AG50" s="175">
        <v>591</v>
      </c>
      <c r="AH50" s="175">
        <v>7795</v>
      </c>
      <c r="AI50" s="175">
        <v>0.7771334457339815</v>
      </c>
      <c r="AJ50" s="175">
        <v>475</v>
      </c>
      <c r="AK50" s="175">
        <v>0.028880646926491154</v>
      </c>
      <c r="AL50" s="175">
        <v>0.02559956781602816</v>
      </c>
      <c r="AM50" s="175">
        <v>0</v>
      </c>
      <c r="AN50" s="175">
        <v>62</v>
      </c>
      <c r="AO50" s="175">
        <v>0</v>
      </c>
      <c r="AP50" s="175">
        <v>0</v>
      </c>
      <c r="AQ50" s="175">
        <v>0</v>
      </c>
      <c r="AR50" s="175">
        <v>547.44</v>
      </c>
      <c r="AS50" s="175">
        <v>30.04347508402747</v>
      </c>
      <c r="AT50" s="175">
        <v>0.6041419007005234</v>
      </c>
      <c r="AU50" s="175">
        <v>680</v>
      </c>
      <c r="AV50" s="175">
        <v>5184</v>
      </c>
      <c r="AW50" s="175">
        <v>0.13117283950617284</v>
      </c>
      <c r="AX50" s="175">
        <v>0.07571160577668784</v>
      </c>
      <c r="AY50" s="175">
        <v>0</v>
      </c>
      <c r="AZ50" s="207">
        <v>5043</v>
      </c>
      <c r="BA50" s="175">
        <v>6919</v>
      </c>
      <c r="BB50" s="175">
        <v>0.7288625523919642</v>
      </c>
      <c r="BC50" s="175">
        <v>0.3391677049682523</v>
      </c>
      <c r="BD50" s="175">
        <v>0</v>
      </c>
      <c r="BE50" s="175">
        <v>0</v>
      </c>
      <c r="BF50" s="207">
        <v>-104790.17</v>
      </c>
      <c r="BG50" s="207">
        <v>-128206.04</v>
      </c>
      <c r="BH50" s="207">
        <v>-67432.7</v>
      </c>
      <c r="BI50" s="207">
        <v>-277336.89999999997</v>
      </c>
      <c r="BJ50" s="207">
        <v>0</v>
      </c>
      <c r="BK50" s="207">
        <v>0</v>
      </c>
      <c r="BL50" s="207">
        <v>-107529</v>
      </c>
      <c r="BM50" s="207">
        <v>-474647.96198017336</v>
      </c>
      <c r="BN50" s="207">
        <v>-699984.3200000001</v>
      </c>
      <c r="BO50" s="207">
        <v>-98206.12784617394</v>
      </c>
      <c r="BP50" s="207">
        <v>1200523</v>
      </c>
      <c r="BQ50" s="207">
        <v>390977</v>
      </c>
      <c r="BR50" s="207">
        <v>770002.6127360079</v>
      </c>
      <c r="BS50" s="207">
        <v>16847.511053475086</v>
      </c>
      <c r="BT50" s="207">
        <v>79300.42876373355</v>
      </c>
      <c r="BU50" s="207">
        <v>347639.4998992068</v>
      </c>
      <c r="BV50" s="207">
        <v>766328.7059845112</v>
      </c>
      <c r="BW50" s="207">
        <v>1292371.9047316522</v>
      </c>
      <c r="BX50" s="207">
        <v>326396.5147712025</v>
      </c>
      <c r="BY50" s="207">
        <v>611765.1005247397</v>
      </c>
      <c r="BZ50" s="207">
        <v>1480.23</v>
      </c>
      <c r="CA50" s="207">
        <v>41943.760558050475</v>
      </c>
      <c r="CB50" s="207">
        <v>-162311.13728812346</v>
      </c>
      <c r="CC50" s="207">
        <v>-2418974.2492682966</v>
      </c>
      <c r="CD50" s="207">
        <v>0</v>
      </c>
      <c r="CE50" s="207">
        <v>776913.4007362706</v>
      </c>
      <c r="CF50" s="207">
        <v>0</v>
      </c>
      <c r="CG50" s="207">
        <v>5121876.809545046</v>
      </c>
      <c r="CH50" s="207">
        <v>-2294876</v>
      </c>
      <c r="CI50" s="207">
        <v>485496.1383</v>
      </c>
      <c r="CJ50" s="207">
        <v>361250.4515</v>
      </c>
      <c r="CK50" s="207">
        <v>124245.68679999997</v>
      </c>
      <c r="CL50" s="207">
        <v>20492039.31505169</v>
      </c>
      <c r="CM50" s="207">
        <v>23525928.059206825</v>
      </c>
      <c r="CN50" s="207">
        <v>16607</v>
      </c>
    </row>
    <row r="51" spans="1:92" ht="9.75">
      <c r="A51" s="207">
        <v>167</v>
      </c>
      <c r="B51" s="207" t="s">
        <v>108</v>
      </c>
      <c r="C51" s="207">
        <v>76551</v>
      </c>
      <c r="D51" s="207">
        <v>245352630.20999998</v>
      </c>
      <c r="E51" s="207">
        <v>101224851.18301676</v>
      </c>
      <c r="F51" s="207">
        <v>20097258.794285525</v>
      </c>
      <c r="G51" s="207">
        <v>366674740.1873023</v>
      </c>
      <c r="H51" s="207">
        <v>3654.72</v>
      </c>
      <c r="I51" s="207">
        <v>279772470.71999997</v>
      </c>
      <c r="J51" s="207">
        <v>86902269.46730232</v>
      </c>
      <c r="K51" s="207">
        <v>3858380.4521331405</v>
      </c>
      <c r="L51" s="207">
        <v>-12295070.264576467</v>
      </c>
      <c r="M51" s="207">
        <v>0</v>
      </c>
      <c r="N51" s="207">
        <v>78465579.65485899</v>
      </c>
      <c r="O51" s="207">
        <v>41043786.700901076</v>
      </c>
      <c r="P51" s="207">
        <v>119509366.35576007</v>
      </c>
      <c r="Q51" s="207">
        <v>4048</v>
      </c>
      <c r="R51" s="207">
        <v>760</v>
      </c>
      <c r="S51" s="207">
        <v>4368</v>
      </c>
      <c r="T51" s="207">
        <v>2155</v>
      </c>
      <c r="U51" s="207">
        <v>2361</v>
      </c>
      <c r="V51" s="207">
        <v>46463</v>
      </c>
      <c r="W51" s="207">
        <v>9482</v>
      </c>
      <c r="X51" s="207">
        <v>4912</v>
      </c>
      <c r="Y51" s="207">
        <v>2002</v>
      </c>
      <c r="Z51" s="207">
        <v>61</v>
      </c>
      <c r="AA51" s="207">
        <v>3</v>
      </c>
      <c r="AB51" s="207">
        <v>72864</v>
      </c>
      <c r="AC51" s="207">
        <v>3623</v>
      </c>
      <c r="AD51" s="207">
        <v>16396</v>
      </c>
      <c r="AE51" s="480">
        <v>1.122511988944871</v>
      </c>
      <c r="AF51" s="207">
        <v>101224851.18301676</v>
      </c>
      <c r="AG51" s="175">
        <v>5200</v>
      </c>
      <c r="AH51" s="175">
        <v>35419</v>
      </c>
      <c r="AI51" s="175">
        <v>1.5048433280588507</v>
      </c>
      <c r="AJ51" s="175">
        <v>3623</v>
      </c>
      <c r="AK51" s="175">
        <v>0.04732792517406696</v>
      </c>
      <c r="AL51" s="175">
        <v>0.04404684606360396</v>
      </c>
      <c r="AM51" s="175">
        <v>0</v>
      </c>
      <c r="AN51" s="175">
        <v>61</v>
      </c>
      <c r="AO51" s="175">
        <v>3</v>
      </c>
      <c r="AP51" s="175">
        <v>0</v>
      </c>
      <c r="AQ51" s="175">
        <v>0</v>
      </c>
      <c r="AR51" s="175">
        <v>2381.65</v>
      </c>
      <c r="AS51" s="175">
        <v>32.14200239329876</v>
      </c>
      <c r="AT51" s="175">
        <v>0.5646979276156532</v>
      </c>
      <c r="AU51" s="175">
        <v>1974</v>
      </c>
      <c r="AV51" s="175">
        <v>21387</v>
      </c>
      <c r="AW51" s="175">
        <v>0.09229906017674289</v>
      </c>
      <c r="AX51" s="175">
        <v>0.03683782644725788</v>
      </c>
      <c r="AY51" s="175">
        <v>0</v>
      </c>
      <c r="AZ51" s="207">
        <v>34571</v>
      </c>
      <c r="BA51" s="175">
        <v>29811</v>
      </c>
      <c r="BB51" s="175">
        <v>1.1596726040723222</v>
      </c>
      <c r="BC51" s="175">
        <v>0.7699777566486103</v>
      </c>
      <c r="BD51" s="175">
        <v>0</v>
      </c>
      <c r="BE51" s="175">
        <v>3</v>
      </c>
      <c r="BF51" s="207">
        <v>-479982.76999999996</v>
      </c>
      <c r="BG51" s="207">
        <v>-587237.24</v>
      </c>
      <c r="BH51" s="207">
        <v>-313859.1</v>
      </c>
      <c r="BI51" s="207">
        <v>-1270318.9</v>
      </c>
      <c r="BJ51" s="207">
        <v>0</v>
      </c>
      <c r="BK51" s="207">
        <v>0</v>
      </c>
      <c r="BL51" s="207">
        <v>1312533</v>
      </c>
      <c r="BM51" s="207">
        <v>-6072251.441822877</v>
      </c>
      <c r="BN51" s="207">
        <v>-3258010.56</v>
      </c>
      <c r="BO51" s="207">
        <v>12210.197223514318</v>
      </c>
      <c r="BP51" s="207">
        <v>5466814</v>
      </c>
      <c r="BQ51" s="207">
        <v>1850095</v>
      </c>
      <c r="BR51" s="207">
        <v>4594015.07155131</v>
      </c>
      <c r="BS51" s="207">
        <v>215631.76150351088</v>
      </c>
      <c r="BT51" s="207">
        <v>465003.0000221078</v>
      </c>
      <c r="BU51" s="207">
        <v>2009551.502761441</v>
      </c>
      <c r="BV51" s="207">
        <v>3964396.5649567964</v>
      </c>
      <c r="BW51" s="207">
        <v>5401227.402479835</v>
      </c>
      <c r="BX51" s="207">
        <v>2000363.9814795156</v>
      </c>
      <c r="BY51" s="207">
        <v>3459071.459052203</v>
      </c>
      <c r="BZ51" s="207">
        <v>6889.59</v>
      </c>
      <c r="CA51" s="207">
        <v>702010.620022894</v>
      </c>
      <c r="CB51" s="207">
        <v>2033643.4072464085</v>
      </c>
      <c r="CC51" s="207">
        <v>-12295070.264576467</v>
      </c>
      <c r="CD51" s="207">
        <v>0</v>
      </c>
      <c r="CE51" s="207">
        <v>4389661.791918925</v>
      </c>
      <c r="CF51" s="207">
        <v>0</v>
      </c>
      <c r="CG51" s="207">
        <v>41043786.700901076</v>
      </c>
      <c r="CH51" s="207">
        <v>-1788895</v>
      </c>
      <c r="CI51" s="207">
        <v>328965.604</v>
      </c>
      <c r="CJ51" s="207">
        <v>10545647.648704</v>
      </c>
      <c r="CK51" s="207">
        <v>-10216682.044704</v>
      </c>
      <c r="CL51" s="207">
        <v>117720471.35576007</v>
      </c>
      <c r="CM51" s="207">
        <v>145591732.644289</v>
      </c>
      <c r="CN51" s="207">
        <v>76067</v>
      </c>
    </row>
    <row r="52" spans="1:92" ht="9.75">
      <c r="A52" s="207">
        <v>169</v>
      </c>
      <c r="B52" s="207" t="s">
        <v>109</v>
      </c>
      <c r="C52" s="207">
        <v>5195</v>
      </c>
      <c r="D52" s="207">
        <v>18809813.470000003</v>
      </c>
      <c r="E52" s="207">
        <v>5707326.223224036</v>
      </c>
      <c r="F52" s="207">
        <v>907644.8974166234</v>
      </c>
      <c r="G52" s="207">
        <v>25424784.590640664</v>
      </c>
      <c r="H52" s="207">
        <v>3654.72</v>
      </c>
      <c r="I52" s="207">
        <v>18986270.4</v>
      </c>
      <c r="J52" s="207">
        <v>6438514.190640666</v>
      </c>
      <c r="K52" s="207">
        <v>131129.4295491182</v>
      </c>
      <c r="L52" s="207">
        <v>-502087.91795575165</v>
      </c>
      <c r="M52" s="207">
        <v>0</v>
      </c>
      <c r="N52" s="207">
        <v>6067555.702234033</v>
      </c>
      <c r="O52" s="207">
        <v>2349076.4404167994</v>
      </c>
      <c r="P52" s="207">
        <v>8416632.142650831</v>
      </c>
      <c r="Q52" s="207">
        <v>246</v>
      </c>
      <c r="R52" s="207">
        <v>57</v>
      </c>
      <c r="S52" s="207">
        <v>368</v>
      </c>
      <c r="T52" s="207">
        <v>211</v>
      </c>
      <c r="U52" s="207">
        <v>205</v>
      </c>
      <c r="V52" s="207">
        <v>2776</v>
      </c>
      <c r="W52" s="207">
        <v>799</v>
      </c>
      <c r="X52" s="207">
        <v>361</v>
      </c>
      <c r="Y52" s="207">
        <v>172</v>
      </c>
      <c r="Z52" s="207">
        <v>27</v>
      </c>
      <c r="AA52" s="207">
        <v>0</v>
      </c>
      <c r="AB52" s="207">
        <v>5052</v>
      </c>
      <c r="AC52" s="207">
        <v>116</v>
      </c>
      <c r="AD52" s="207">
        <v>1332</v>
      </c>
      <c r="AE52" s="480">
        <v>0.9326138368033838</v>
      </c>
      <c r="AF52" s="207">
        <v>5707326.223224036</v>
      </c>
      <c r="AG52" s="175">
        <v>208</v>
      </c>
      <c r="AH52" s="175">
        <v>2477</v>
      </c>
      <c r="AI52" s="175">
        <v>0.860719351417302</v>
      </c>
      <c r="AJ52" s="175">
        <v>116</v>
      </c>
      <c r="AK52" s="175">
        <v>0.022329162656400385</v>
      </c>
      <c r="AL52" s="175">
        <v>0.01904808354593739</v>
      </c>
      <c r="AM52" s="175">
        <v>0</v>
      </c>
      <c r="AN52" s="175">
        <v>27</v>
      </c>
      <c r="AO52" s="175">
        <v>0</v>
      </c>
      <c r="AP52" s="175">
        <v>0</v>
      </c>
      <c r="AQ52" s="175">
        <v>0</v>
      </c>
      <c r="AR52" s="175">
        <v>180.42</v>
      </c>
      <c r="AS52" s="175">
        <v>28.793925285445074</v>
      </c>
      <c r="AT52" s="175">
        <v>0.6303594234193561</v>
      </c>
      <c r="AU52" s="175">
        <v>215</v>
      </c>
      <c r="AV52" s="175">
        <v>1570</v>
      </c>
      <c r="AW52" s="175">
        <v>0.13694267515923567</v>
      </c>
      <c r="AX52" s="175">
        <v>0.08148144142975067</v>
      </c>
      <c r="AY52" s="175">
        <v>0</v>
      </c>
      <c r="AZ52" s="207">
        <v>1701</v>
      </c>
      <c r="BA52" s="175">
        <v>2194</v>
      </c>
      <c r="BB52" s="175">
        <v>0.7752962625341842</v>
      </c>
      <c r="BC52" s="175">
        <v>0.3856014151104723</v>
      </c>
      <c r="BD52" s="175">
        <v>0</v>
      </c>
      <c r="BE52" s="175">
        <v>0</v>
      </c>
      <c r="BF52" s="207">
        <v>-33354.659999999996</v>
      </c>
      <c r="BG52" s="207">
        <v>-40807.92</v>
      </c>
      <c r="BH52" s="207">
        <v>-21299.499999999996</v>
      </c>
      <c r="BI52" s="207">
        <v>-88276.2</v>
      </c>
      <c r="BJ52" s="207">
        <v>0</v>
      </c>
      <c r="BK52" s="207">
        <v>0</v>
      </c>
      <c r="BL52" s="207">
        <v>-15340</v>
      </c>
      <c r="BM52" s="207">
        <v>-158578.526645338</v>
      </c>
      <c r="BN52" s="207">
        <v>-221099.2</v>
      </c>
      <c r="BO52" s="207">
        <v>222840.09286955744</v>
      </c>
      <c r="BP52" s="207">
        <v>431133</v>
      </c>
      <c r="BQ52" s="207">
        <v>139452</v>
      </c>
      <c r="BR52" s="207">
        <v>326940.78055129474</v>
      </c>
      <c r="BS52" s="207">
        <v>12066.66858147358</v>
      </c>
      <c r="BT52" s="207">
        <v>33921.12678390197</v>
      </c>
      <c r="BU52" s="207">
        <v>152770.26811155965</v>
      </c>
      <c r="BV52" s="207">
        <v>274456.85582012346</v>
      </c>
      <c r="BW52" s="207">
        <v>465128.85788012884</v>
      </c>
      <c r="BX52" s="207">
        <v>118944.17022397346</v>
      </c>
      <c r="BY52" s="207">
        <v>221103.60443573224</v>
      </c>
      <c r="BZ52" s="207">
        <v>467.54999999999995</v>
      </c>
      <c r="CA52" s="207">
        <v>12639.145820028927</v>
      </c>
      <c r="CB52" s="207">
        <v>220606.78868958636</v>
      </c>
      <c r="CC52" s="207">
        <v>-502087.91795575165</v>
      </c>
      <c r="CD52" s="207">
        <v>0</v>
      </c>
      <c r="CE52" s="207">
        <v>289466.16991886846</v>
      </c>
      <c r="CF52" s="207">
        <v>0</v>
      </c>
      <c r="CG52" s="207">
        <v>2349076.4404167994</v>
      </c>
      <c r="CH52" s="207">
        <v>-1060803</v>
      </c>
      <c r="CI52" s="207">
        <v>184941.20010000002</v>
      </c>
      <c r="CJ52" s="207">
        <v>229147.65234000003</v>
      </c>
      <c r="CK52" s="207">
        <v>-44206.45224000001</v>
      </c>
      <c r="CL52" s="207">
        <v>7355829.1426508315</v>
      </c>
      <c r="CM52" s="207">
        <v>9252540.048454084</v>
      </c>
      <c r="CN52" s="207">
        <v>5286</v>
      </c>
    </row>
    <row r="53" spans="1:92" ht="9.75">
      <c r="A53" s="207">
        <v>171</v>
      </c>
      <c r="B53" s="207" t="s">
        <v>110</v>
      </c>
      <c r="C53" s="207">
        <v>4812</v>
      </c>
      <c r="D53" s="207">
        <v>16974645.810000002</v>
      </c>
      <c r="E53" s="207">
        <v>7313591.678625002</v>
      </c>
      <c r="F53" s="207">
        <v>1245473.802036608</v>
      </c>
      <c r="G53" s="207">
        <v>25533711.290661614</v>
      </c>
      <c r="H53" s="207">
        <v>3654.72</v>
      </c>
      <c r="I53" s="207">
        <v>17586512.64</v>
      </c>
      <c r="J53" s="207">
        <v>7947198.650661614</v>
      </c>
      <c r="K53" s="207">
        <v>120437.19383252917</v>
      </c>
      <c r="L53" s="207">
        <v>-823747.4013185535</v>
      </c>
      <c r="M53" s="207">
        <v>0</v>
      </c>
      <c r="N53" s="207">
        <v>7243888.443175589</v>
      </c>
      <c r="O53" s="207">
        <v>2937966.2398217167</v>
      </c>
      <c r="P53" s="207">
        <v>10181854.682997305</v>
      </c>
      <c r="Q53" s="207">
        <v>231</v>
      </c>
      <c r="R53" s="207">
        <v>45</v>
      </c>
      <c r="S53" s="207">
        <v>298</v>
      </c>
      <c r="T53" s="207">
        <v>168</v>
      </c>
      <c r="U53" s="207">
        <v>137</v>
      </c>
      <c r="V53" s="207">
        <v>2529</v>
      </c>
      <c r="W53" s="207">
        <v>832</v>
      </c>
      <c r="X53" s="207">
        <v>419</v>
      </c>
      <c r="Y53" s="207">
        <v>153</v>
      </c>
      <c r="Z53" s="207">
        <v>21</v>
      </c>
      <c r="AA53" s="207">
        <v>0</v>
      </c>
      <c r="AB53" s="207">
        <v>4652</v>
      </c>
      <c r="AC53" s="207">
        <v>139</v>
      </c>
      <c r="AD53" s="207">
        <v>1404</v>
      </c>
      <c r="AE53" s="480">
        <v>1.2902082087200295</v>
      </c>
      <c r="AF53" s="207">
        <v>7313591.678625002</v>
      </c>
      <c r="AG53" s="175">
        <v>203</v>
      </c>
      <c r="AH53" s="175">
        <v>2163</v>
      </c>
      <c r="AI53" s="175">
        <v>0.9619749373033211</v>
      </c>
      <c r="AJ53" s="175">
        <v>139</v>
      </c>
      <c r="AK53" s="175">
        <v>0.028886118038237738</v>
      </c>
      <c r="AL53" s="175">
        <v>0.025605038927774743</v>
      </c>
      <c r="AM53" s="175">
        <v>0</v>
      </c>
      <c r="AN53" s="175">
        <v>21</v>
      </c>
      <c r="AO53" s="175">
        <v>0</v>
      </c>
      <c r="AP53" s="175">
        <v>0</v>
      </c>
      <c r="AQ53" s="175">
        <v>0</v>
      </c>
      <c r="AR53" s="175">
        <v>575.12</v>
      </c>
      <c r="AS53" s="175">
        <v>8.366949506190013</v>
      </c>
      <c r="AT53" s="175">
        <v>2.1693117817294234</v>
      </c>
      <c r="AU53" s="175">
        <v>184</v>
      </c>
      <c r="AV53" s="175">
        <v>1332</v>
      </c>
      <c r="AW53" s="175">
        <v>0.13813813813813813</v>
      </c>
      <c r="AX53" s="175">
        <v>0.08267690440865313</v>
      </c>
      <c r="AY53" s="175">
        <v>0</v>
      </c>
      <c r="AZ53" s="207">
        <v>1436</v>
      </c>
      <c r="BA53" s="175">
        <v>1860</v>
      </c>
      <c r="BB53" s="175">
        <v>0.7720430107526882</v>
      </c>
      <c r="BC53" s="175">
        <v>0.38234816332897636</v>
      </c>
      <c r="BD53" s="175">
        <v>0</v>
      </c>
      <c r="BE53" s="175">
        <v>0</v>
      </c>
      <c r="BF53" s="207">
        <v>-31026.269999999997</v>
      </c>
      <c r="BG53" s="207">
        <v>-37959.24</v>
      </c>
      <c r="BH53" s="207">
        <v>-19729.199999999997</v>
      </c>
      <c r="BI53" s="207">
        <v>-82113.9</v>
      </c>
      <c r="BJ53" s="207">
        <v>0</v>
      </c>
      <c r="BK53" s="207">
        <v>0</v>
      </c>
      <c r="BL53" s="207">
        <v>-25108</v>
      </c>
      <c r="BM53" s="207">
        <v>-225986.80857143362</v>
      </c>
      <c r="BN53" s="207">
        <v>-204798.72</v>
      </c>
      <c r="BO53" s="207">
        <v>-48409.14895039052</v>
      </c>
      <c r="BP53" s="207">
        <v>458018</v>
      </c>
      <c r="BQ53" s="207">
        <v>146662</v>
      </c>
      <c r="BR53" s="207">
        <v>360067.20291200245</v>
      </c>
      <c r="BS53" s="207">
        <v>19282.32906391698</v>
      </c>
      <c r="BT53" s="207">
        <v>64627.10886705624</v>
      </c>
      <c r="BU53" s="207">
        <v>183244.2423845158</v>
      </c>
      <c r="BV53" s="207">
        <v>271733.55857463356</v>
      </c>
      <c r="BW53" s="207">
        <v>427994.98927957815</v>
      </c>
      <c r="BX53" s="207">
        <v>126552.7523738924</v>
      </c>
      <c r="BY53" s="207">
        <v>232621.35515414388</v>
      </c>
      <c r="BZ53" s="207">
        <v>433.08</v>
      </c>
      <c r="CA53" s="207">
        <v>-1513.2737967293433</v>
      </c>
      <c r="CB53" s="207">
        <v>-74597.34274711987</v>
      </c>
      <c r="CC53" s="207">
        <v>-823747.4013185535</v>
      </c>
      <c r="CD53" s="207">
        <v>0</v>
      </c>
      <c r="CE53" s="207">
        <v>306777.74972593767</v>
      </c>
      <c r="CF53" s="207">
        <v>0</v>
      </c>
      <c r="CG53" s="207">
        <v>2937966.2398217167</v>
      </c>
      <c r="CH53" s="207">
        <v>-190952</v>
      </c>
      <c r="CI53" s="207">
        <v>4146.0541</v>
      </c>
      <c r="CJ53" s="207">
        <v>161410.64388000002</v>
      </c>
      <c r="CK53" s="207">
        <v>-157264.58978</v>
      </c>
      <c r="CL53" s="207">
        <v>9990902.682997305</v>
      </c>
      <c r="CM53" s="207">
        <v>11427774.399227655</v>
      </c>
      <c r="CN53" s="207">
        <v>4917</v>
      </c>
    </row>
    <row r="54" spans="1:92" ht="9.75">
      <c r="A54" s="207">
        <v>172</v>
      </c>
      <c r="B54" s="207" t="s">
        <v>111</v>
      </c>
      <c r="C54" s="207">
        <v>4467</v>
      </c>
      <c r="D54" s="207">
        <v>16689810.61</v>
      </c>
      <c r="E54" s="207">
        <v>7320266.36729474</v>
      </c>
      <c r="F54" s="207">
        <v>1538000.5193906415</v>
      </c>
      <c r="G54" s="207">
        <v>25548077.496685382</v>
      </c>
      <c r="H54" s="207">
        <v>3654.72</v>
      </c>
      <c r="I54" s="207">
        <v>16325634.239999998</v>
      </c>
      <c r="J54" s="207">
        <v>9222443.256685384</v>
      </c>
      <c r="K54" s="207">
        <v>614515.5681335436</v>
      </c>
      <c r="L54" s="207">
        <v>-653960.1164514442</v>
      </c>
      <c r="M54" s="207">
        <v>0</v>
      </c>
      <c r="N54" s="207">
        <v>9182998.708367484</v>
      </c>
      <c r="O54" s="207">
        <v>3499403.1803284115</v>
      </c>
      <c r="P54" s="207">
        <v>12682401.888695896</v>
      </c>
      <c r="Q54" s="207">
        <v>142</v>
      </c>
      <c r="R54" s="207">
        <v>31</v>
      </c>
      <c r="S54" s="207">
        <v>228</v>
      </c>
      <c r="T54" s="207">
        <v>121</v>
      </c>
      <c r="U54" s="207">
        <v>98</v>
      </c>
      <c r="V54" s="207">
        <v>2156</v>
      </c>
      <c r="W54" s="207">
        <v>919</v>
      </c>
      <c r="X54" s="207">
        <v>548</v>
      </c>
      <c r="Y54" s="207">
        <v>224</v>
      </c>
      <c r="Z54" s="207">
        <v>11</v>
      </c>
      <c r="AA54" s="207">
        <v>0</v>
      </c>
      <c r="AB54" s="207">
        <v>4369</v>
      </c>
      <c r="AC54" s="207">
        <v>87</v>
      </c>
      <c r="AD54" s="207">
        <v>1691</v>
      </c>
      <c r="AE54" s="480">
        <v>1.3911233534306742</v>
      </c>
      <c r="AF54" s="207">
        <v>7320266.36729474</v>
      </c>
      <c r="AG54" s="175">
        <v>208</v>
      </c>
      <c r="AH54" s="175">
        <v>1888</v>
      </c>
      <c r="AI54" s="175">
        <v>1.1292382592482293</v>
      </c>
      <c r="AJ54" s="175">
        <v>87</v>
      </c>
      <c r="AK54" s="175">
        <v>0.019476158495634655</v>
      </c>
      <c r="AL54" s="175">
        <v>0.01619507938517166</v>
      </c>
      <c r="AM54" s="175">
        <v>0</v>
      </c>
      <c r="AN54" s="175">
        <v>11</v>
      </c>
      <c r="AO54" s="175">
        <v>0</v>
      </c>
      <c r="AP54" s="175">
        <v>3</v>
      </c>
      <c r="AQ54" s="175">
        <v>278</v>
      </c>
      <c r="AR54" s="175">
        <v>867.02</v>
      </c>
      <c r="AS54" s="175">
        <v>5.152130285345206</v>
      </c>
      <c r="AT54" s="175">
        <v>3.5229159853625567</v>
      </c>
      <c r="AU54" s="175">
        <v>198</v>
      </c>
      <c r="AV54" s="175">
        <v>1097</v>
      </c>
      <c r="AW54" s="175">
        <v>0.1804922515952598</v>
      </c>
      <c r="AX54" s="175">
        <v>0.1250310178657748</v>
      </c>
      <c r="AY54" s="175">
        <v>0.48133333333333334</v>
      </c>
      <c r="AZ54" s="207">
        <v>1413</v>
      </c>
      <c r="BA54" s="175">
        <v>1561</v>
      </c>
      <c r="BB54" s="175">
        <v>0.9051889814221653</v>
      </c>
      <c r="BC54" s="175">
        <v>0.5154941339984535</v>
      </c>
      <c r="BD54" s="175">
        <v>0</v>
      </c>
      <c r="BE54" s="175">
        <v>0</v>
      </c>
      <c r="BF54" s="207">
        <v>-28817.769999999997</v>
      </c>
      <c r="BG54" s="207">
        <v>-35257.24</v>
      </c>
      <c r="BH54" s="207">
        <v>-18314.699999999997</v>
      </c>
      <c r="BI54" s="207">
        <v>-76268.9</v>
      </c>
      <c r="BJ54" s="207">
        <v>0</v>
      </c>
      <c r="BK54" s="207">
        <v>0</v>
      </c>
      <c r="BL54" s="207">
        <v>46067</v>
      </c>
      <c r="BM54" s="207">
        <v>-192329.56268799698</v>
      </c>
      <c r="BN54" s="207">
        <v>-190115.52000000002</v>
      </c>
      <c r="BO54" s="207">
        <v>-40989.04836730845</v>
      </c>
      <c r="BP54" s="207">
        <v>509443</v>
      </c>
      <c r="BQ54" s="207">
        <v>157472</v>
      </c>
      <c r="BR54" s="207">
        <v>386498.84245449177</v>
      </c>
      <c r="BS54" s="207">
        <v>20618.110462585326</v>
      </c>
      <c r="BT54" s="207">
        <v>40447.19861348784</v>
      </c>
      <c r="BU54" s="207">
        <v>194577.63640664515</v>
      </c>
      <c r="BV54" s="207">
        <v>270506.83662957774</v>
      </c>
      <c r="BW54" s="207">
        <v>404843.30322021345</v>
      </c>
      <c r="BX54" s="207">
        <v>122326.54536871142</v>
      </c>
      <c r="BY54" s="207">
        <v>222307.7076019801</v>
      </c>
      <c r="BZ54" s="207">
        <v>402.03</v>
      </c>
      <c r="CA54" s="207">
        <v>18621.81460386124</v>
      </c>
      <c r="CB54" s="207">
        <v>24101.796236552786</v>
      </c>
      <c r="CC54" s="207">
        <v>-653960.1164514442</v>
      </c>
      <c r="CD54" s="207">
        <v>0</v>
      </c>
      <c r="CE54" s="207">
        <v>301320.5863602104</v>
      </c>
      <c r="CF54" s="207">
        <v>0</v>
      </c>
      <c r="CG54" s="207">
        <v>3499403.1803284115</v>
      </c>
      <c r="CH54" s="207">
        <v>34650</v>
      </c>
      <c r="CI54" s="207">
        <v>289748.0103</v>
      </c>
      <c r="CJ54" s="207">
        <v>320673.49580000003</v>
      </c>
      <c r="CK54" s="207">
        <v>-30925.48550000001</v>
      </c>
      <c r="CL54" s="207">
        <v>12717051.888695896</v>
      </c>
      <c r="CM54" s="207">
        <v>15008795.794109875</v>
      </c>
      <c r="CN54" s="207">
        <v>4567</v>
      </c>
    </row>
    <row r="55" spans="1:92" ht="9.75">
      <c r="A55" s="207">
        <v>176</v>
      </c>
      <c r="B55" s="207" t="s">
        <v>112</v>
      </c>
      <c r="C55" s="207">
        <v>4709</v>
      </c>
      <c r="D55" s="207">
        <v>16955523.34</v>
      </c>
      <c r="E55" s="207">
        <v>9452544.972655607</v>
      </c>
      <c r="F55" s="207">
        <v>2210855.1866661035</v>
      </c>
      <c r="G55" s="207">
        <v>28618923.49932171</v>
      </c>
      <c r="H55" s="207">
        <v>3654.72</v>
      </c>
      <c r="I55" s="207">
        <v>17210076.48</v>
      </c>
      <c r="J55" s="207">
        <v>11408847.01932171</v>
      </c>
      <c r="K55" s="207">
        <v>1820763.571459781</v>
      </c>
      <c r="L55" s="207">
        <v>-131466.84042520187</v>
      </c>
      <c r="M55" s="207">
        <v>0</v>
      </c>
      <c r="N55" s="207">
        <v>13098143.750356289</v>
      </c>
      <c r="O55" s="207">
        <v>4791049.629683626</v>
      </c>
      <c r="P55" s="207">
        <v>17889193.380039915</v>
      </c>
      <c r="Q55" s="207">
        <v>154</v>
      </c>
      <c r="R55" s="207">
        <v>21</v>
      </c>
      <c r="S55" s="207">
        <v>228</v>
      </c>
      <c r="T55" s="207">
        <v>149</v>
      </c>
      <c r="U55" s="207">
        <v>106</v>
      </c>
      <c r="V55" s="207">
        <v>2389</v>
      </c>
      <c r="W55" s="207">
        <v>918</v>
      </c>
      <c r="X55" s="207">
        <v>536</v>
      </c>
      <c r="Y55" s="207">
        <v>208</v>
      </c>
      <c r="Z55" s="207">
        <v>4</v>
      </c>
      <c r="AA55" s="207">
        <v>0</v>
      </c>
      <c r="AB55" s="207">
        <v>4612</v>
      </c>
      <c r="AC55" s="207">
        <v>93</v>
      </c>
      <c r="AD55" s="207">
        <v>1662</v>
      </c>
      <c r="AE55" s="480">
        <v>1.7040203282043105</v>
      </c>
      <c r="AF55" s="207">
        <v>9452544.972655607</v>
      </c>
      <c r="AG55" s="175">
        <v>297</v>
      </c>
      <c r="AH55" s="175">
        <v>1919</v>
      </c>
      <c r="AI55" s="175">
        <v>1.58637447523203</v>
      </c>
      <c r="AJ55" s="175">
        <v>93</v>
      </c>
      <c r="AK55" s="175">
        <v>0.01974941601189212</v>
      </c>
      <c r="AL55" s="175">
        <v>0.016468336901429126</v>
      </c>
      <c r="AM55" s="175">
        <v>0</v>
      </c>
      <c r="AN55" s="175">
        <v>4</v>
      </c>
      <c r="AO55" s="175">
        <v>0</v>
      </c>
      <c r="AP55" s="175">
        <v>3</v>
      </c>
      <c r="AQ55" s="175">
        <v>200</v>
      </c>
      <c r="AR55" s="175">
        <v>1501.72</v>
      </c>
      <c r="AS55" s="175">
        <v>3.135737687451722</v>
      </c>
      <c r="AT55" s="175">
        <v>5.788278213941842</v>
      </c>
      <c r="AU55" s="175">
        <v>199</v>
      </c>
      <c r="AV55" s="175">
        <v>1132</v>
      </c>
      <c r="AW55" s="175">
        <v>0.17579505300353357</v>
      </c>
      <c r="AX55" s="175">
        <v>0.12033381927404857</v>
      </c>
      <c r="AY55" s="175">
        <v>1.0774333333333335</v>
      </c>
      <c r="AZ55" s="207">
        <v>1440</v>
      </c>
      <c r="BA55" s="175">
        <v>1483</v>
      </c>
      <c r="BB55" s="175">
        <v>0.9710047201618341</v>
      </c>
      <c r="BC55" s="175">
        <v>0.5813098727381223</v>
      </c>
      <c r="BD55" s="175">
        <v>0</v>
      </c>
      <c r="BE55" s="175">
        <v>0</v>
      </c>
      <c r="BF55" s="207">
        <v>-30395.269999999997</v>
      </c>
      <c r="BG55" s="207">
        <v>-37187.24</v>
      </c>
      <c r="BH55" s="207">
        <v>-19306.899999999998</v>
      </c>
      <c r="BI55" s="207">
        <v>-80443.9</v>
      </c>
      <c r="BJ55" s="207">
        <v>0</v>
      </c>
      <c r="BK55" s="207">
        <v>0</v>
      </c>
      <c r="BL55" s="207">
        <v>323163</v>
      </c>
      <c r="BM55" s="207">
        <v>-137255.59615390637</v>
      </c>
      <c r="BN55" s="207">
        <v>-200415.04</v>
      </c>
      <c r="BO55" s="207">
        <v>155506.09383029118</v>
      </c>
      <c r="BP55" s="207">
        <v>547362</v>
      </c>
      <c r="BQ55" s="207">
        <v>154414</v>
      </c>
      <c r="BR55" s="207">
        <v>415752.7127668068</v>
      </c>
      <c r="BS55" s="207">
        <v>24771.699430695844</v>
      </c>
      <c r="BT55" s="207">
        <v>66604.4829469826</v>
      </c>
      <c r="BU55" s="207">
        <v>225061.96261168466</v>
      </c>
      <c r="BV55" s="207">
        <v>273299.08005427447</v>
      </c>
      <c r="BW55" s="207">
        <v>416617.9246992255</v>
      </c>
      <c r="BX55" s="207">
        <v>135404.7667914273</v>
      </c>
      <c r="BY55" s="207">
        <v>238022.65096683003</v>
      </c>
      <c r="BZ55" s="207">
        <v>423.81</v>
      </c>
      <c r="CA55" s="207">
        <v>38822.141898413305</v>
      </c>
      <c r="CB55" s="207">
        <v>517915.0457287045</v>
      </c>
      <c r="CC55" s="207">
        <v>-131466.84042520187</v>
      </c>
      <c r="CD55" s="207">
        <v>0</v>
      </c>
      <c r="CE55" s="207">
        <v>318006.4627669815</v>
      </c>
      <c r="CF55" s="207">
        <v>0</v>
      </c>
      <c r="CG55" s="207">
        <v>4791049.629683626</v>
      </c>
      <c r="CH55" s="207">
        <v>-263959</v>
      </c>
      <c r="CI55" s="207">
        <v>63890.014</v>
      </c>
      <c r="CJ55" s="207">
        <v>183649.8062</v>
      </c>
      <c r="CK55" s="207">
        <v>-119759.7922</v>
      </c>
      <c r="CL55" s="207">
        <v>17625234.380039915</v>
      </c>
      <c r="CM55" s="207">
        <v>20016474.609248657</v>
      </c>
      <c r="CN55" s="207">
        <v>4817</v>
      </c>
    </row>
    <row r="56" spans="1:92" ht="9.75">
      <c r="A56" s="207">
        <v>177</v>
      </c>
      <c r="B56" s="207" t="s">
        <v>113</v>
      </c>
      <c r="C56" s="207">
        <v>1884</v>
      </c>
      <c r="D56" s="207">
        <v>7246277.14</v>
      </c>
      <c r="E56" s="207">
        <v>2357736.1086054253</v>
      </c>
      <c r="F56" s="207">
        <v>419157.23739701096</v>
      </c>
      <c r="G56" s="207">
        <v>10023170.486002436</v>
      </c>
      <c r="H56" s="207">
        <v>3654.72</v>
      </c>
      <c r="I56" s="207">
        <v>6885492.4799999995</v>
      </c>
      <c r="J56" s="207">
        <v>3137678.0060024364</v>
      </c>
      <c r="K56" s="207">
        <v>74742.83296373398</v>
      </c>
      <c r="L56" s="207">
        <v>-107208.30540876172</v>
      </c>
      <c r="M56" s="207">
        <v>0</v>
      </c>
      <c r="N56" s="207">
        <v>3105212.5335574085</v>
      </c>
      <c r="O56" s="207">
        <v>766456.9698377624</v>
      </c>
      <c r="P56" s="207">
        <v>3871669.503395171</v>
      </c>
      <c r="Q56" s="207">
        <v>91</v>
      </c>
      <c r="R56" s="207">
        <v>30</v>
      </c>
      <c r="S56" s="207">
        <v>118</v>
      </c>
      <c r="T56" s="207">
        <v>76</v>
      </c>
      <c r="U56" s="207">
        <v>52</v>
      </c>
      <c r="V56" s="207">
        <v>938</v>
      </c>
      <c r="W56" s="207">
        <v>322</v>
      </c>
      <c r="X56" s="207">
        <v>181</v>
      </c>
      <c r="Y56" s="207">
        <v>76</v>
      </c>
      <c r="Z56" s="207">
        <v>2</v>
      </c>
      <c r="AA56" s="207">
        <v>0</v>
      </c>
      <c r="AB56" s="207">
        <v>1870</v>
      </c>
      <c r="AC56" s="207">
        <v>12</v>
      </c>
      <c r="AD56" s="207">
        <v>579</v>
      </c>
      <c r="AE56" s="480">
        <v>1.0623533845038666</v>
      </c>
      <c r="AF56" s="207">
        <v>2357736.1086054253</v>
      </c>
      <c r="AG56" s="175">
        <v>59</v>
      </c>
      <c r="AH56" s="175">
        <v>828</v>
      </c>
      <c r="AI56" s="175">
        <v>0.7303750242369168</v>
      </c>
      <c r="AJ56" s="175">
        <v>12</v>
      </c>
      <c r="AK56" s="175">
        <v>0.006369426751592357</v>
      </c>
      <c r="AL56" s="175">
        <v>0.0030883476411293605</v>
      </c>
      <c r="AM56" s="175">
        <v>0</v>
      </c>
      <c r="AN56" s="175">
        <v>2</v>
      </c>
      <c r="AO56" s="175">
        <v>0</v>
      </c>
      <c r="AP56" s="175">
        <v>0</v>
      </c>
      <c r="AQ56" s="175">
        <v>0</v>
      </c>
      <c r="AR56" s="175">
        <v>258.5</v>
      </c>
      <c r="AS56" s="175">
        <v>7.288201160541586</v>
      </c>
      <c r="AT56" s="175">
        <v>2.4903980750669086</v>
      </c>
      <c r="AU56" s="175">
        <v>92</v>
      </c>
      <c r="AV56" s="175">
        <v>513</v>
      </c>
      <c r="AW56" s="175">
        <v>0.1793372319688109</v>
      </c>
      <c r="AX56" s="175">
        <v>0.12387599823932591</v>
      </c>
      <c r="AY56" s="175">
        <v>0</v>
      </c>
      <c r="AZ56" s="207">
        <v>703</v>
      </c>
      <c r="BA56" s="175">
        <v>706</v>
      </c>
      <c r="BB56" s="175">
        <v>0.9957507082152974</v>
      </c>
      <c r="BC56" s="175">
        <v>0.6060558607915856</v>
      </c>
      <c r="BD56" s="175">
        <v>0</v>
      </c>
      <c r="BE56" s="175">
        <v>0</v>
      </c>
      <c r="BF56" s="207">
        <v>-12014.24</v>
      </c>
      <c r="BG56" s="207">
        <v>-14698.88</v>
      </c>
      <c r="BH56" s="207">
        <v>-7724.4</v>
      </c>
      <c r="BI56" s="207">
        <v>-31796.8</v>
      </c>
      <c r="BJ56" s="207">
        <v>0</v>
      </c>
      <c r="BK56" s="207">
        <v>0</v>
      </c>
      <c r="BL56" s="207">
        <v>74543</v>
      </c>
      <c r="BM56" s="207">
        <v>-35554.53269038418</v>
      </c>
      <c r="BN56" s="207">
        <v>-80183.04000000001</v>
      </c>
      <c r="BO56" s="207">
        <v>63092.34340299107</v>
      </c>
      <c r="BP56" s="207">
        <v>184962</v>
      </c>
      <c r="BQ56" s="207">
        <v>59201</v>
      </c>
      <c r="BR56" s="207">
        <v>142388.02164284655</v>
      </c>
      <c r="BS56" s="207">
        <v>7441.130700675454</v>
      </c>
      <c r="BT56" s="207">
        <v>16358.817618945292</v>
      </c>
      <c r="BU56" s="207">
        <v>62158.934686852546</v>
      </c>
      <c r="BV56" s="207">
        <v>102466.6999239395</v>
      </c>
      <c r="BW56" s="207">
        <v>189943.87181631447</v>
      </c>
      <c r="BX56" s="207">
        <v>45709.12819189026</v>
      </c>
      <c r="BY56" s="207">
        <v>86024.32833867977</v>
      </c>
      <c r="BZ56" s="207">
        <v>169.56</v>
      </c>
      <c r="CA56" s="207">
        <v>-5277.876121368623</v>
      </c>
      <c r="CB56" s="207">
        <v>132527.02728162246</v>
      </c>
      <c r="CC56" s="207">
        <v>-107208.30540876172</v>
      </c>
      <c r="CD56" s="207">
        <v>0</v>
      </c>
      <c r="CE56" s="207">
        <v>116895.3112175987</v>
      </c>
      <c r="CF56" s="207">
        <v>0</v>
      </c>
      <c r="CG56" s="207">
        <v>766456.9698377624</v>
      </c>
      <c r="CH56" s="207">
        <v>-434688</v>
      </c>
      <c r="CI56" s="207">
        <v>21749.792</v>
      </c>
      <c r="CJ56" s="207">
        <v>70686.82400000001</v>
      </c>
      <c r="CK56" s="207">
        <v>-48937.03200000001</v>
      </c>
      <c r="CL56" s="207">
        <v>3436981.503395171</v>
      </c>
      <c r="CM56" s="207">
        <v>4330943.042069845</v>
      </c>
      <c r="CN56" s="207">
        <v>1904</v>
      </c>
    </row>
    <row r="57" spans="1:92" ht="9.75">
      <c r="A57" s="207">
        <v>178</v>
      </c>
      <c r="B57" s="207" t="s">
        <v>114</v>
      </c>
      <c r="C57" s="207">
        <v>6225</v>
      </c>
      <c r="D57" s="207">
        <v>23245503.78</v>
      </c>
      <c r="E57" s="207">
        <v>12053254.00548822</v>
      </c>
      <c r="F57" s="207">
        <v>1831219.0287983236</v>
      </c>
      <c r="G57" s="207">
        <v>37129976.814286545</v>
      </c>
      <c r="H57" s="207">
        <v>3654.72</v>
      </c>
      <c r="I57" s="207">
        <v>22750632</v>
      </c>
      <c r="J57" s="207">
        <v>14379344.814286545</v>
      </c>
      <c r="K57" s="207">
        <v>801567.3021309229</v>
      </c>
      <c r="L57" s="207">
        <v>-916268.471631682</v>
      </c>
      <c r="M57" s="207">
        <v>0</v>
      </c>
      <c r="N57" s="207">
        <v>14264643.644785786</v>
      </c>
      <c r="O57" s="207">
        <v>5135795.298418064</v>
      </c>
      <c r="P57" s="207">
        <v>19400438.94320385</v>
      </c>
      <c r="Q57" s="207">
        <v>261</v>
      </c>
      <c r="R57" s="207">
        <v>46</v>
      </c>
      <c r="S57" s="207">
        <v>323</v>
      </c>
      <c r="T57" s="207">
        <v>180</v>
      </c>
      <c r="U57" s="207">
        <v>195</v>
      </c>
      <c r="V57" s="207">
        <v>3096</v>
      </c>
      <c r="W57" s="207">
        <v>1130</v>
      </c>
      <c r="X57" s="207">
        <v>706</v>
      </c>
      <c r="Y57" s="207">
        <v>288</v>
      </c>
      <c r="Z57" s="207">
        <v>20</v>
      </c>
      <c r="AA57" s="207">
        <v>0</v>
      </c>
      <c r="AB57" s="207">
        <v>6054</v>
      </c>
      <c r="AC57" s="207">
        <v>151</v>
      </c>
      <c r="AD57" s="207">
        <v>2124</v>
      </c>
      <c r="AE57" s="480">
        <v>1.6436890523708716</v>
      </c>
      <c r="AF57" s="207">
        <v>12053254.00548822</v>
      </c>
      <c r="AG57" s="175">
        <v>248</v>
      </c>
      <c r="AH57" s="175">
        <v>2695</v>
      </c>
      <c r="AI57" s="175">
        <v>0.9432290115210556</v>
      </c>
      <c r="AJ57" s="175">
        <v>151</v>
      </c>
      <c r="AK57" s="175">
        <v>0.0242570281124498</v>
      </c>
      <c r="AL57" s="175">
        <v>0.020975949001986804</v>
      </c>
      <c r="AM57" s="175">
        <v>0</v>
      </c>
      <c r="AN57" s="175">
        <v>20</v>
      </c>
      <c r="AO57" s="175">
        <v>0</v>
      </c>
      <c r="AP57" s="175">
        <v>0</v>
      </c>
      <c r="AQ57" s="175">
        <v>0</v>
      </c>
      <c r="AR57" s="175">
        <v>1163.18</v>
      </c>
      <c r="AS57" s="175">
        <v>5.351708248078543</v>
      </c>
      <c r="AT57" s="175">
        <v>3.3915380472076126</v>
      </c>
      <c r="AU57" s="175">
        <v>203</v>
      </c>
      <c r="AV57" s="175">
        <v>1538</v>
      </c>
      <c r="AW57" s="175">
        <v>0.13198959687906373</v>
      </c>
      <c r="AX57" s="175">
        <v>0.07652836314957873</v>
      </c>
      <c r="AY57" s="175">
        <v>0.4424</v>
      </c>
      <c r="AZ57" s="207">
        <v>2101</v>
      </c>
      <c r="BA57" s="175">
        <v>2337</v>
      </c>
      <c r="BB57" s="175">
        <v>0.8990158322635858</v>
      </c>
      <c r="BC57" s="175">
        <v>0.509320984839874</v>
      </c>
      <c r="BD57" s="175">
        <v>0</v>
      </c>
      <c r="BE57" s="175">
        <v>0</v>
      </c>
      <c r="BF57" s="207">
        <v>-39967.54</v>
      </c>
      <c r="BG57" s="207">
        <v>-48898.479999999996</v>
      </c>
      <c r="BH57" s="207">
        <v>-25522.499999999996</v>
      </c>
      <c r="BI57" s="207">
        <v>-105777.79999999999</v>
      </c>
      <c r="BJ57" s="207">
        <v>0</v>
      </c>
      <c r="BK57" s="207">
        <v>0</v>
      </c>
      <c r="BL57" s="207">
        <v>-95379</v>
      </c>
      <c r="BM57" s="207">
        <v>-190114.6396538018</v>
      </c>
      <c r="BN57" s="207">
        <v>-264936</v>
      </c>
      <c r="BO57" s="207">
        <v>90682.62796044722</v>
      </c>
      <c r="BP57" s="207">
        <v>705473</v>
      </c>
      <c r="BQ57" s="207">
        <v>224298</v>
      </c>
      <c r="BR57" s="207">
        <v>573341.1841903866</v>
      </c>
      <c r="BS57" s="207">
        <v>29992.922592651285</v>
      </c>
      <c r="BT57" s="207">
        <v>63985.8973245744</v>
      </c>
      <c r="BU57" s="207">
        <v>254616.91607701505</v>
      </c>
      <c r="BV57" s="207">
        <v>373516.89299610566</v>
      </c>
      <c r="BW57" s="207">
        <v>589182.0301147826</v>
      </c>
      <c r="BX57" s="207">
        <v>195151.42496183366</v>
      </c>
      <c r="BY57" s="207">
        <v>321168.96614469704</v>
      </c>
      <c r="BZ57" s="207">
        <v>560.25</v>
      </c>
      <c r="CA57" s="207">
        <v>-46056.889938327506</v>
      </c>
      <c r="CB57" s="207">
        <v>-50193.011977880284</v>
      </c>
      <c r="CC57" s="207">
        <v>-916268.471631682</v>
      </c>
      <c r="CD57" s="207">
        <v>0</v>
      </c>
      <c r="CE57" s="207">
        <v>451019.73569176643</v>
      </c>
      <c r="CF57" s="207">
        <v>0</v>
      </c>
      <c r="CG57" s="207">
        <v>5135795.298418064</v>
      </c>
      <c r="CH57" s="207">
        <v>-563524</v>
      </c>
      <c r="CI57" s="207">
        <v>97874.06400000001</v>
      </c>
      <c r="CJ57" s="207">
        <v>128147.05573999998</v>
      </c>
      <c r="CK57" s="207">
        <v>-30272.99173999997</v>
      </c>
      <c r="CL57" s="207">
        <v>18836914.94320385</v>
      </c>
      <c r="CM57" s="207">
        <v>20990368.30621352</v>
      </c>
      <c r="CN57" s="207">
        <v>6334</v>
      </c>
    </row>
    <row r="58" spans="1:92" ht="9.75">
      <c r="A58" s="207">
        <v>179</v>
      </c>
      <c r="B58" s="207" t="s">
        <v>115</v>
      </c>
      <c r="C58" s="207">
        <v>141305</v>
      </c>
      <c r="D58" s="207">
        <v>449958352.39</v>
      </c>
      <c r="E58" s="207">
        <v>159458263.39859962</v>
      </c>
      <c r="F58" s="207">
        <v>32237417.15998517</v>
      </c>
      <c r="G58" s="207">
        <v>641654032.9485848</v>
      </c>
      <c r="H58" s="207">
        <v>3654.72</v>
      </c>
      <c r="I58" s="207">
        <v>516430209.59999996</v>
      </c>
      <c r="J58" s="207">
        <v>125223823.34858483</v>
      </c>
      <c r="K58" s="207">
        <v>6304610.457099458</v>
      </c>
      <c r="L58" s="207">
        <v>-27291606.703915868</v>
      </c>
      <c r="M58" s="207">
        <v>0</v>
      </c>
      <c r="N58" s="207">
        <v>104236827.10176842</v>
      </c>
      <c r="O58" s="207">
        <v>52089690.18678937</v>
      </c>
      <c r="P58" s="207">
        <v>156326517.2885578</v>
      </c>
      <c r="Q58" s="207">
        <v>8511</v>
      </c>
      <c r="R58" s="207">
        <v>1515</v>
      </c>
      <c r="S58" s="207">
        <v>9277</v>
      </c>
      <c r="T58" s="207">
        <v>4217</v>
      </c>
      <c r="U58" s="207">
        <v>4337</v>
      </c>
      <c r="V58" s="207">
        <v>88044</v>
      </c>
      <c r="W58" s="207">
        <v>14876</v>
      </c>
      <c r="X58" s="207">
        <v>7517</v>
      </c>
      <c r="Y58" s="207">
        <v>3011</v>
      </c>
      <c r="Z58" s="207">
        <v>303</v>
      </c>
      <c r="AA58" s="207">
        <v>14</v>
      </c>
      <c r="AB58" s="207">
        <v>133864</v>
      </c>
      <c r="AC58" s="207">
        <v>7124</v>
      </c>
      <c r="AD58" s="207">
        <v>25404</v>
      </c>
      <c r="AE58" s="480">
        <v>0.9579530184505564</v>
      </c>
      <c r="AF58" s="207">
        <v>159458263.39859962</v>
      </c>
      <c r="AG58" s="175">
        <v>8391</v>
      </c>
      <c r="AH58" s="175">
        <v>68445</v>
      </c>
      <c r="AI58" s="175">
        <v>1.2565976180038136</v>
      </c>
      <c r="AJ58" s="175">
        <v>7124</v>
      </c>
      <c r="AK58" s="175">
        <v>0.050415767311843177</v>
      </c>
      <c r="AL58" s="175">
        <v>0.04713468820138018</v>
      </c>
      <c r="AM58" s="175">
        <v>0</v>
      </c>
      <c r="AN58" s="175">
        <v>303</v>
      </c>
      <c r="AO58" s="175">
        <v>14</v>
      </c>
      <c r="AP58" s="175">
        <v>3</v>
      </c>
      <c r="AQ58" s="175">
        <v>477</v>
      </c>
      <c r="AR58" s="175">
        <v>1170.97</v>
      </c>
      <c r="AS58" s="175">
        <v>120.67345875641561</v>
      </c>
      <c r="AT58" s="175">
        <v>0.15041022547924773</v>
      </c>
      <c r="AU58" s="175">
        <v>3751</v>
      </c>
      <c r="AV58" s="175">
        <v>43216</v>
      </c>
      <c r="AW58" s="175">
        <v>0.08679655683080341</v>
      </c>
      <c r="AX58" s="175">
        <v>0.0313353231013184</v>
      </c>
      <c r="AY58" s="175">
        <v>0</v>
      </c>
      <c r="AZ58" s="207">
        <v>63342</v>
      </c>
      <c r="BA58" s="175">
        <v>59127</v>
      </c>
      <c r="BB58" s="175">
        <v>1.0712872291846365</v>
      </c>
      <c r="BC58" s="175">
        <v>0.6815923817609246</v>
      </c>
      <c r="BD58" s="175">
        <v>0</v>
      </c>
      <c r="BE58" s="175">
        <v>14</v>
      </c>
      <c r="BF58" s="207">
        <v>-884586.2799999999</v>
      </c>
      <c r="BG58" s="207">
        <v>-1082251.3599999999</v>
      </c>
      <c r="BH58" s="207">
        <v>-579350.5</v>
      </c>
      <c r="BI58" s="207">
        <v>-2341139.6</v>
      </c>
      <c r="BJ58" s="207">
        <v>0</v>
      </c>
      <c r="BK58" s="207">
        <v>0</v>
      </c>
      <c r="BL58" s="207">
        <v>802550</v>
      </c>
      <c r="BM58" s="207">
        <v>-15809869.544672064</v>
      </c>
      <c r="BN58" s="207">
        <v>-6013940.800000001</v>
      </c>
      <c r="BO58" s="207">
        <v>1194022.427228272</v>
      </c>
      <c r="BP58" s="207">
        <v>8785583</v>
      </c>
      <c r="BQ58" s="207">
        <v>3161859</v>
      </c>
      <c r="BR58" s="207">
        <v>7430869.090428259</v>
      </c>
      <c r="BS58" s="207">
        <v>300591.73226042686</v>
      </c>
      <c r="BT58" s="207">
        <v>289311.7897391442</v>
      </c>
      <c r="BU58" s="207">
        <v>3241992.4344182685</v>
      </c>
      <c r="BV58" s="207">
        <v>6842359.596594489</v>
      </c>
      <c r="BW58" s="207">
        <v>9234603.101677883</v>
      </c>
      <c r="BX58" s="207">
        <v>3555495.819735662</v>
      </c>
      <c r="BY58" s="207">
        <v>5933426.192848912</v>
      </c>
      <c r="BZ58" s="207">
        <v>12717.449999999999</v>
      </c>
      <c r="CA58" s="207">
        <v>1742652.803527923</v>
      </c>
      <c r="CB58" s="207">
        <v>3751942.680756195</v>
      </c>
      <c r="CC58" s="207">
        <v>-27291606.703915868</v>
      </c>
      <c r="CD58" s="207">
        <v>0</v>
      </c>
      <c r="CE58" s="207">
        <v>7582047.633041279</v>
      </c>
      <c r="CF58" s="207">
        <v>0</v>
      </c>
      <c r="CG58" s="207">
        <v>52089690.18678937</v>
      </c>
      <c r="CH58" s="207">
        <v>-21838499</v>
      </c>
      <c r="CI58" s="207">
        <v>877196.2985999999</v>
      </c>
      <c r="CJ58" s="207">
        <v>10856131.366952002</v>
      </c>
      <c r="CK58" s="207">
        <v>-9978935.068352003</v>
      </c>
      <c r="CL58" s="207">
        <v>134488018.2885578</v>
      </c>
      <c r="CM58" s="207">
        <v>167550230.99465752</v>
      </c>
      <c r="CN58" s="207">
        <v>140188</v>
      </c>
    </row>
    <row r="59" spans="1:92" ht="9.75">
      <c r="A59" s="207">
        <v>181</v>
      </c>
      <c r="B59" s="207" t="s">
        <v>116</v>
      </c>
      <c r="C59" s="207">
        <v>1809</v>
      </c>
      <c r="D59" s="207">
        <v>6808992.43</v>
      </c>
      <c r="E59" s="207">
        <v>2173603.8685814543</v>
      </c>
      <c r="F59" s="207">
        <v>404359.4969093583</v>
      </c>
      <c r="G59" s="207">
        <v>9386955.795490813</v>
      </c>
      <c r="H59" s="207">
        <v>3654.72</v>
      </c>
      <c r="I59" s="207">
        <v>6611388.4799999995</v>
      </c>
      <c r="J59" s="207">
        <v>2775567.315490813</v>
      </c>
      <c r="K59" s="207">
        <v>30456.62883094089</v>
      </c>
      <c r="L59" s="207">
        <v>-109724.27413513449</v>
      </c>
      <c r="M59" s="207">
        <v>0</v>
      </c>
      <c r="N59" s="207">
        <v>2696299.6701866193</v>
      </c>
      <c r="O59" s="207">
        <v>1860255.7747875608</v>
      </c>
      <c r="P59" s="207">
        <v>4556555.44497418</v>
      </c>
      <c r="Q59" s="207">
        <v>100</v>
      </c>
      <c r="R59" s="207">
        <v>17</v>
      </c>
      <c r="S59" s="207">
        <v>106</v>
      </c>
      <c r="T59" s="207">
        <v>59</v>
      </c>
      <c r="U59" s="207">
        <v>60</v>
      </c>
      <c r="V59" s="207">
        <v>920</v>
      </c>
      <c r="W59" s="207">
        <v>315</v>
      </c>
      <c r="X59" s="207">
        <v>152</v>
      </c>
      <c r="Y59" s="207">
        <v>80</v>
      </c>
      <c r="Z59" s="207">
        <v>3</v>
      </c>
      <c r="AA59" s="207">
        <v>0</v>
      </c>
      <c r="AB59" s="207">
        <v>1773</v>
      </c>
      <c r="AC59" s="207">
        <v>33</v>
      </c>
      <c r="AD59" s="207">
        <v>547</v>
      </c>
      <c r="AE59" s="480">
        <v>1.0199914728289576</v>
      </c>
      <c r="AF59" s="207">
        <v>2173603.8685814543</v>
      </c>
      <c r="AG59" s="175">
        <v>61</v>
      </c>
      <c r="AH59" s="175">
        <v>798</v>
      </c>
      <c r="AI59" s="175">
        <v>0.7835219770646573</v>
      </c>
      <c r="AJ59" s="175">
        <v>33</v>
      </c>
      <c r="AK59" s="175">
        <v>0.01824212271973466</v>
      </c>
      <c r="AL59" s="175">
        <v>0.014961043609271665</v>
      </c>
      <c r="AM59" s="175">
        <v>0</v>
      </c>
      <c r="AN59" s="175">
        <v>3</v>
      </c>
      <c r="AO59" s="175">
        <v>0</v>
      </c>
      <c r="AP59" s="175">
        <v>0</v>
      </c>
      <c r="AQ59" s="175">
        <v>0</v>
      </c>
      <c r="AR59" s="175">
        <v>214.3</v>
      </c>
      <c r="AS59" s="175">
        <v>8.441437237517498</v>
      </c>
      <c r="AT59" s="175">
        <v>2.150169648865502</v>
      </c>
      <c r="AU59" s="175">
        <v>68</v>
      </c>
      <c r="AV59" s="175">
        <v>468</v>
      </c>
      <c r="AW59" s="175">
        <v>0.1452991452991453</v>
      </c>
      <c r="AX59" s="175">
        <v>0.08983791156966031</v>
      </c>
      <c r="AY59" s="175">
        <v>0</v>
      </c>
      <c r="AZ59" s="207">
        <v>458</v>
      </c>
      <c r="BA59" s="175">
        <v>708</v>
      </c>
      <c r="BB59" s="175">
        <v>0.6468926553672316</v>
      </c>
      <c r="BC59" s="175">
        <v>0.25719780794351976</v>
      </c>
      <c r="BD59" s="175">
        <v>0</v>
      </c>
      <c r="BE59" s="175">
        <v>0</v>
      </c>
      <c r="BF59" s="207">
        <v>-11780.769999999999</v>
      </c>
      <c r="BG59" s="207">
        <v>-14413.24</v>
      </c>
      <c r="BH59" s="207">
        <v>-7416.9</v>
      </c>
      <c r="BI59" s="207">
        <v>-31178.899999999998</v>
      </c>
      <c r="BJ59" s="207">
        <v>0</v>
      </c>
      <c r="BK59" s="207">
        <v>0</v>
      </c>
      <c r="BL59" s="207">
        <v>110216</v>
      </c>
      <c r="BM59" s="207">
        <v>-22974.167534247033</v>
      </c>
      <c r="BN59" s="207">
        <v>-76991.04000000001</v>
      </c>
      <c r="BO59" s="207">
        <v>3841.2930621225387</v>
      </c>
      <c r="BP59" s="207">
        <v>217242</v>
      </c>
      <c r="BQ59" s="207">
        <v>62326</v>
      </c>
      <c r="BR59" s="207">
        <v>163679.80649145006</v>
      </c>
      <c r="BS59" s="207">
        <v>9322.772986339844</v>
      </c>
      <c r="BT59" s="207">
        <v>20546.144547529064</v>
      </c>
      <c r="BU59" s="207">
        <v>83560.39822784677</v>
      </c>
      <c r="BV59" s="207">
        <v>128322.02545125858</v>
      </c>
      <c r="BW59" s="207">
        <v>196867.21888913724</v>
      </c>
      <c r="BX59" s="207">
        <v>55474.804142205925</v>
      </c>
      <c r="BY59" s="207">
        <v>100521.38449145175</v>
      </c>
      <c r="BZ59" s="207">
        <v>162.81</v>
      </c>
      <c r="CA59" s="207">
        <v>-3725.4196630100014</v>
      </c>
      <c r="CB59" s="207">
        <v>110494.68339911253</v>
      </c>
      <c r="CC59" s="207">
        <v>-109724.27413513449</v>
      </c>
      <c r="CD59" s="207">
        <v>0</v>
      </c>
      <c r="CE59" s="207">
        <v>133906.04585872657</v>
      </c>
      <c r="CF59" s="207">
        <v>0</v>
      </c>
      <c r="CG59" s="207">
        <v>1860255.7747875608</v>
      </c>
      <c r="CH59" s="207">
        <v>-415291</v>
      </c>
      <c r="CI59" s="207">
        <v>24468.516000000003</v>
      </c>
      <c r="CJ59" s="207">
        <v>100184.97940000001</v>
      </c>
      <c r="CK59" s="207">
        <v>-75716.46340000001</v>
      </c>
      <c r="CL59" s="207">
        <v>4141264.4449741803</v>
      </c>
      <c r="CM59" s="207">
        <v>5347866.236981495</v>
      </c>
      <c r="CN59" s="207">
        <v>1867</v>
      </c>
    </row>
    <row r="60" spans="1:92" ht="9.75">
      <c r="A60" s="207">
        <v>182</v>
      </c>
      <c r="B60" s="207" t="s">
        <v>117</v>
      </c>
      <c r="C60" s="207">
        <v>20607</v>
      </c>
      <c r="D60" s="207">
        <v>74112257.01</v>
      </c>
      <c r="E60" s="207">
        <v>32526337.29913769</v>
      </c>
      <c r="F60" s="207">
        <v>4673530.890851563</v>
      </c>
      <c r="G60" s="207">
        <v>111312125.19998926</v>
      </c>
      <c r="H60" s="207">
        <v>3654.72</v>
      </c>
      <c r="I60" s="207">
        <v>75312815.03999999</v>
      </c>
      <c r="J60" s="207">
        <v>35999310.15998927</v>
      </c>
      <c r="K60" s="207">
        <v>843365.6419690944</v>
      </c>
      <c r="L60" s="207">
        <v>-2916741.463702874</v>
      </c>
      <c r="M60" s="207">
        <v>0</v>
      </c>
      <c r="N60" s="207">
        <v>33925934.33825549</v>
      </c>
      <c r="O60" s="207">
        <v>4017261.105971723</v>
      </c>
      <c r="P60" s="207">
        <v>37943195.44422721</v>
      </c>
      <c r="Q60" s="207">
        <v>869</v>
      </c>
      <c r="R60" s="207">
        <v>206</v>
      </c>
      <c r="S60" s="207">
        <v>1256</v>
      </c>
      <c r="T60" s="207">
        <v>624</v>
      </c>
      <c r="U60" s="207">
        <v>700</v>
      </c>
      <c r="V60" s="207">
        <v>10730</v>
      </c>
      <c r="W60" s="207">
        <v>3482</v>
      </c>
      <c r="X60" s="207">
        <v>1949</v>
      </c>
      <c r="Y60" s="207">
        <v>791</v>
      </c>
      <c r="Z60" s="207">
        <v>35</v>
      </c>
      <c r="AA60" s="207">
        <v>1</v>
      </c>
      <c r="AB60" s="207">
        <v>20151</v>
      </c>
      <c r="AC60" s="207">
        <v>420</v>
      </c>
      <c r="AD60" s="207">
        <v>6222</v>
      </c>
      <c r="AE60" s="480">
        <v>1.3399083692421299</v>
      </c>
      <c r="AF60" s="207">
        <v>32526337.29913769</v>
      </c>
      <c r="AG60" s="175">
        <v>1148</v>
      </c>
      <c r="AH60" s="175">
        <v>9334</v>
      </c>
      <c r="AI60" s="175">
        <v>1.2606610369929798</v>
      </c>
      <c r="AJ60" s="175">
        <v>420</v>
      </c>
      <c r="AK60" s="175">
        <v>0.020381423788033193</v>
      </c>
      <c r="AL60" s="175">
        <v>0.017100344677570198</v>
      </c>
      <c r="AM60" s="175">
        <v>0</v>
      </c>
      <c r="AN60" s="175">
        <v>35</v>
      </c>
      <c r="AO60" s="175">
        <v>1</v>
      </c>
      <c r="AP60" s="175">
        <v>0</v>
      </c>
      <c r="AQ60" s="175">
        <v>0</v>
      </c>
      <c r="AR60" s="175">
        <v>1571.36</v>
      </c>
      <c r="AS60" s="175">
        <v>13.114117706954486</v>
      </c>
      <c r="AT60" s="175">
        <v>1.3840444737878064</v>
      </c>
      <c r="AU60" s="175">
        <v>622</v>
      </c>
      <c r="AV60" s="175">
        <v>5630</v>
      </c>
      <c r="AW60" s="175">
        <v>0.11047957371225577</v>
      </c>
      <c r="AX60" s="175">
        <v>0.05501833998277076</v>
      </c>
      <c r="AY60" s="175">
        <v>0</v>
      </c>
      <c r="AZ60" s="207">
        <v>7695</v>
      </c>
      <c r="BA60" s="175">
        <v>7582</v>
      </c>
      <c r="BB60" s="175">
        <v>1.0149037193352677</v>
      </c>
      <c r="BC60" s="175">
        <v>0.6252088719115558</v>
      </c>
      <c r="BD60" s="175">
        <v>0</v>
      </c>
      <c r="BE60" s="175">
        <v>1</v>
      </c>
      <c r="BF60" s="207">
        <v>-131733.87</v>
      </c>
      <c r="BG60" s="207">
        <v>-161170.44</v>
      </c>
      <c r="BH60" s="207">
        <v>-84488.7</v>
      </c>
      <c r="BI60" s="207">
        <v>-348645.89999999997</v>
      </c>
      <c r="BJ60" s="207">
        <v>0</v>
      </c>
      <c r="BK60" s="207">
        <v>0</v>
      </c>
      <c r="BL60" s="207">
        <v>679529</v>
      </c>
      <c r="BM60" s="207">
        <v>-1162503.823192343</v>
      </c>
      <c r="BN60" s="207">
        <v>-877033.92</v>
      </c>
      <c r="BO60" s="207">
        <v>-265582.5474530235</v>
      </c>
      <c r="BP60" s="207">
        <v>1709403</v>
      </c>
      <c r="BQ60" s="207">
        <v>519708</v>
      </c>
      <c r="BR60" s="207">
        <v>1219725.933246363</v>
      </c>
      <c r="BS60" s="207">
        <v>52030.81360531352</v>
      </c>
      <c r="BT60" s="207">
        <v>106519.75003969</v>
      </c>
      <c r="BU60" s="207">
        <v>662484.2833680044</v>
      </c>
      <c r="BV60" s="207">
        <v>949791.640446603</v>
      </c>
      <c r="BW60" s="207">
        <v>1573152.60032277</v>
      </c>
      <c r="BX60" s="207">
        <v>463806.8679394927</v>
      </c>
      <c r="BY60" s="207">
        <v>847753.7983554073</v>
      </c>
      <c r="BZ60" s="207">
        <v>1854.6299999999999</v>
      </c>
      <c r="CA60" s="207">
        <v>64844.726942492125</v>
      </c>
      <c r="CB60" s="207">
        <v>480645.80948946864</v>
      </c>
      <c r="CC60" s="207">
        <v>-2916741.463702874</v>
      </c>
      <c r="CD60" s="207">
        <v>0</v>
      </c>
      <c r="CE60" s="207">
        <v>1031286.6775387488</v>
      </c>
      <c r="CF60" s="207">
        <v>0</v>
      </c>
      <c r="CG60" s="207">
        <v>4017261.105971723</v>
      </c>
      <c r="CH60" s="207">
        <v>-1912489</v>
      </c>
      <c r="CI60" s="207">
        <v>296476.8522</v>
      </c>
      <c r="CJ60" s="207">
        <v>323079.56654</v>
      </c>
      <c r="CK60" s="207">
        <v>-26602.714340000006</v>
      </c>
      <c r="CL60" s="207">
        <v>36030706.44422721</v>
      </c>
      <c r="CM60" s="207">
        <v>41661940.36233819</v>
      </c>
      <c r="CN60" s="207">
        <v>20877</v>
      </c>
    </row>
    <row r="61" spans="1:92" ht="9.75">
      <c r="A61" s="207">
        <v>186</v>
      </c>
      <c r="B61" s="207" t="s">
        <v>118</v>
      </c>
      <c r="C61" s="207">
        <v>43410</v>
      </c>
      <c r="D61" s="207">
        <v>139682421.81</v>
      </c>
      <c r="E61" s="207">
        <v>44971369.04274467</v>
      </c>
      <c r="F61" s="207">
        <v>9511614.970335653</v>
      </c>
      <c r="G61" s="207">
        <v>194165405.82308033</v>
      </c>
      <c r="H61" s="207">
        <v>3654.72</v>
      </c>
      <c r="I61" s="207">
        <v>158651395.2</v>
      </c>
      <c r="J61" s="207">
        <v>35514010.62308034</v>
      </c>
      <c r="K61" s="207">
        <v>717096.2392442871</v>
      </c>
      <c r="L61" s="207">
        <v>-9382956.049178356</v>
      </c>
      <c r="M61" s="207">
        <v>0</v>
      </c>
      <c r="N61" s="207">
        <v>26848150.81314628</v>
      </c>
      <c r="O61" s="207">
        <v>-5372280.464928648</v>
      </c>
      <c r="P61" s="207">
        <v>21475870.34821763</v>
      </c>
      <c r="Q61" s="207">
        <v>2885</v>
      </c>
      <c r="R61" s="207">
        <v>513</v>
      </c>
      <c r="S61" s="207">
        <v>3101</v>
      </c>
      <c r="T61" s="207">
        <v>1505</v>
      </c>
      <c r="U61" s="207">
        <v>1417</v>
      </c>
      <c r="V61" s="207">
        <v>26343</v>
      </c>
      <c r="W61" s="207">
        <v>4875</v>
      </c>
      <c r="X61" s="207">
        <v>2102</v>
      </c>
      <c r="Y61" s="207">
        <v>669</v>
      </c>
      <c r="Z61" s="207">
        <v>447</v>
      </c>
      <c r="AA61" s="207">
        <v>1</v>
      </c>
      <c r="AB61" s="207">
        <v>40519</v>
      </c>
      <c r="AC61" s="207">
        <v>2443</v>
      </c>
      <c r="AD61" s="207">
        <v>7646</v>
      </c>
      <c r="AE61" s="480">
        <v>0.8794295056678096</v>
      </c>
      <c r="AF61" s="207">
        <v>44971369.04274467</v>
      </c>
      <c r="AG61" s="175">
        <v>1862</v>
      </c>
      <c r="AH61" s="175">
        <v>21632</v>
      </c>
      <c r="AI61" s="175">
        <v>0.882281638914514</v>
      </c>
      <c r="AJ61" s="175">
        <v>2443</v>
      </c>
      <c r="AK61" s="175">
        <v>0.05627735544805344</v>
      </c>
      <c r="AL61" s="175">
        <v>0.052996276337590444</v>
      </c>
      <c r="AM61" s="175">
        <v>0</v>
      </c>
      <c r="AN61" s="175">
        <v>447</v>
      </c>
      <c r="AO61" s="175">
        <v>1</v>
      </c>
      <c r="AP61" s="175">
        <v>0</v>
      </c>
      <c r="AQ61" s="175">
        <v>0</v>
      </c>
      <c r="AR61" s="175">
        <v>37.54</v>
      </c>
      <c r="AS61" s="175">
        <v>1156.3665423548216</v>
      </c>
      <c r="AT61" s="175">
        <v>0.015696166808797065</v>
      </c>
      <c r="AU61" s="175">
        <v>1970</v>
      </c>
      <c r="AV61" s="175">
        <v>14483</v>
      </c>
      <c r="AW61" s="175">
        <v>0.13602154249810122</v>
      </c>
      <c r="AX61" s="175">
        <v>0.08056030876861622</v>
      </c>
      <c r="AY61" s="175">
        <v>0</v>
      </c>
      <c r="AZ61" s="207">
        <v>12893</v>
      </c>
      <c r="BA61" s="175">
        <v>20081</v>
      </c>
      <c r="BB61" s="175">
        <v>0.6420496987201832</v>
      </c>
      <c r="BC61" s="175">
        <v>0.2523548512964714</v>
      </c>
      <c r="BD61" s="175">
        <v>0</v>
      </c>
      <c r="BE61" s="175">
        <v>1</v>
      </c>
      <c r="BF61" s="207">
        <v>-268629.32</v>
      </c>
      <c r="BG61" s="207">
        <v>-328655.83999999997</v>
      </c>
      <c r="BH61" s="207">
        <v>-177980.99999999997</v>
      </c>
      <c r="BI61" s="207">
        <v>-710952.4</v>
      </c>
      <c r="BJ61" s="207">
        <v>0</v>
      </c>
      <c r="BK61" s="207">
        <v>0</v>
      </c>
      <c r="BL61" s="207">
        <v>-411492</v>
      </c>
      <c r="BM61" s="207">
        <v>-4503142.529394914</v>
      </c>
      <c r="BN61" s="207">
        <v>-1847529.6</v>
      </c>
      <c r="BO61" s="207">
        <v>6565.417614400387</v>
      </c>
      <c r="BP61" s="207">
        <v>2359895</v>
      </c>
      <c r="BQ61" s="207">
        <v>788024</v>
      </c>
      <c r="BR61" s="207">
        <v>1560793.0796292792</v>
      </c>
      <c r="BS61" s="207">
        <v>16432.02133447396</v>
      </c>
      <c r="BT61" s="207">
        <v>-52180.45663947103</v>
      </c>
      <c r="BU61" s="207">
        <v>532891.3765182814</v>
      </c>
      <c r="BV61" s="207">
        <v>1745645.3373874046</v>
      </c>
      <c r="BW61" s="207">
        <v>2615186.796961021</v>
      </c>
      <c r="BX61" s="207">
        <v>832380.7624925362</v>
      </c>
      <c r="BY61" s="207">
        <v>1405740.983470449</v>
      </c>
      <c r="BZ61" s="207">
        <v>3906.8999999999996</v>
      </c>
      <c r="CA61" s="207">
        <v>185904.92260215647</v>
      </c>
      <c r="CB61" s="207">
        <v>-215114.75978344312</v>
      </c>
      <c r="CC61" s="207">
        <v>-9382956.049178356</v>
      </c>
      <c r="CD61" s="207">
        <v>0</v>
      </c>
      <c r="CE61" s="207">
        <v>1782545.3486394365</v>
      </c>
      <c r="CF61" s="207">
        <v>0</v>
      </c>
      <c r="CG61" s="207">
        <v>-5372280.464928648</v>
      </c>
      <c r="CH61" s="207">
        <v>-823418</v>
      </c>
      <c r="CI61" s="207">
        <v>744114.7588</v>
      </c>
      <c r="CJ61" s="207">
        <v>2356755.805364</v>
      </c>
      <c r="CK61" s="207">
        <v>-1612641.0465640002</v>
      </c>
      <c r="CL61" s="207">
        <v>20652452.34821763</v>
      </c>
      <c r="CM61" s="207">
        <v>27278113.230278492</v>
      </c>
      <c r="CN61" s="207">
        <v>42572</v>
      </c>
    </row>
    <row r="62" spans="1:92" ht="9.75">
      <c r="A62" s="207">
        <v>202</v>
      </c>
      <c r="B62" s="207" t="s">
        <v>119</v>
      </c>
      <c r="C62" s="207">
        <v>33458</v>
      </c>
      <c r="D62" s="207">
        <v>117934993.89000002</v>
      </c>
      <c r="E62" s="207">
        <v>32081377.6950992</v>
      </c>
      <c r="F62" s="207">
        <v>5979558.805974911</v>
      </c>
      <c r="G62" s="207">
        <v>155995930.39107412</v>
      </c>
      <c r="H62" s="207">
        <v>3654.72</v>
      </c>
      <c r="I62" s="207">
        <v>122279621.75999999</v>
      </c>
      <c r="J62" s="207">
        <v>33716308.63107413</v>
      </c>
      <c r="K62" s="207">
        <v>546916.3202823065</v>
      </c>
      <c r="L62" s="207">
        <v>-5795136.763638306</v>
      </c>
      <c r="M62" s="207">
        <v>0</v>
      </c>
      <c r="N62" s="207">
        <v>28468088.187718134</v>
      </c>
      <c r="O62" s="207">
        <v>-3478271.4268731037</v>
      </c>
      <c r="P62" s="207">
        <v>24989816.76084503</v>
      </c>
      <c r="Q62" s="207">
        <v>2320</v>
      </c>
      <c r="R62" s="207">
        <v>425</v>
      </c>
      <c r="S62" s="207">
        <v>2725</v>
      </c>
      <c r="T62" s="207">
        <v>1256</v>
      </c>
      <c r="U62" s="207">
        <v>1176</v>
      </c>
      <c r="V62" s="207">
        <v>18680</v>
      </c>
      <c r="W62" s="207">
        <v>4085</v>
      </c>
      <c r="X62" s="207">
        <v>2104</v>
      </c>
      <c r="Y62" s="207">
        <v>687</v>
      </c>
      <c r="Z62" s="207">
        <v>1470</v>
      </c>
      <c r="AA62" s="207">
        <v>0</v>
      </c>
      <c r="AB62" s="207">
        <v>30355</v>
      </c>
      <c r="AC62" s="207">
        <v>1633</v>
      </c>
      <c r="AD62" s="207">
        <v>6876</v>
      </c>
      <c r="AE62" s="480">
        <v>0.8139687711025079</v>
      </c>
      <c r="AF62" s="207">
        <v>32081377.6950992</v>
      </c>
      <c r="AG62" s="175">
        <v>1079</v>
      </c>
      <c r="AH62" s="175">
        <v>15817</v>
      </c>
      <c r="AI62" s="175">
        <v>0.699232440480316</v>
      </c>
      <c r="AJ62" s="175">
        <v>1633</v>
      </c>
      <c r="AK62" s="175">
        <v>0.048807460099228886</v>
      </c>
      <c r="AL62" s="175">
        <v>0.04552638098876589</v>
      </c>
      <c r="AM62" s="175">
        <v>0</v>
      </c>
      <c r="AN62" s="175">
        <v>1470</v>
      </c>
      <c r="AO62" s="175">
        <v>0</v>
      </c>
      <c r="AP62" s="175">
        <v>3</v>
      </c>
      <c r="AQ62" s="175">
        <v>240</v>
      </c>
      <c r="AR62" s="175">
        <v>150.64</v>
      </c>
      <c r="AS62" s="175">
        <v>222.10568242166758</v>
      </c>
      <c r="AT62" s="175">
        <v>0.08172020608844403</v>
      </c>
      <c r="AU62" s="175">
        <v>1179</v>
      </c>
      <c r="AV62" s="175">
        <v>11478</v>
      </c>
      <c r="AW62" s="175">
        <v>0.10271824359644538</v>
      </c>
      <c r="AX62" s="175">
        <v>0.047257009866960374</v>
      </c>
      <c r="AY62" s="175">
        <v>0</v>
      </c>
      <c r="AZ62" s="207">
        <v>9407</v>
      </c>
      <c r="BA62" s="175">
        <v>14712</v>
      </c>
      <c r="BB62" s="175">
        <v>0.6394100054377378</v>
      </c>
      <c r="BC62" s="175">
        <v>0.249715158014026</v>
      </c>
      <c r="BD62" s="175">
        <v>0</v>
      </c>
      <c r="BE62" s="175">
        <v>0</v>
      </c>
      <c r="BF62" s="207">
        <v>-208854.68999999997</v>
      </c>
      <c r="BG62" s="207">
        <v>-255524.28</v>
      </c>
      <c r="BH62" s="207">
        <v>-137177.8</v>
      </c>
      <c r="BI62" s="207">
        <v>-552753.2999999999</v>
      </c>
      <c r="BJ62" s="207">
        <v>0</v>
      </c>
      <c r="BK62" s="207">
        <v>0</v>
      </c>
      <c r="BL62" s="207">
        <v>-258828</v>
      </c>
      <c r="BM62" s="207">
        <v>-1303659.813861052</v>
      </c>
      <c r="BN62" s="207">
        <v>-1423972.48</v>
      </c>
      <c r="BO62" s="207">
        <v>-589213.1656560749</v>
      </c>
      <c r="BP62" s="207">
        <v>1895488</v>
      </c>
      <c r="BQ62" s="207">
        <v>618556</v>
      </c>
      <c r="BR62" s="207">
        <v>1109986.7560428085</v>
      </c>
      <c r="BS62" s="207">
        <v>-1846.6552465841792</v>
      </c>
      <c r="BT62" s="207">
        <v>-517236.3332715238</v>
      </c>
      <c r="BU62" s="207">
        <v>530666.280176738</v>
      </c>
      <c r="BV62" s="207">
        <v>1161563.2820562536</v>
      </c>
      <c r="BW62" s="207">
        <v>2246161.297196478</v>
      </c>
      <c r="BX62" s="207">
        <v>554637.8307877718</v>
      </c>
      <c r="BY62" s="207">
        <v>1065917.3026987626</v>
      </c>
      <c r="BZ62" s="207">
        <v>3011.22</v>
      </c>
      <c r="CA62" s="207">
        <v>-42342.1741211786</v>
      </c>
      <c r="CB62" s="207">
        <v>-887372.1197772535</v>
      </c>
      <c r="CC62" s="207">
        <v>-5795136.763638306</v>
      </c>
      <c r="CD62" s="207">
        <v>0</v>
      </c>
      <c r="CE62" s="207">
        <v>1326344.06973682</v>
      </c>
      <c r="CF62" s="207">
        <v>0</v>
      </c>
      <c r="CG62" s="207">
        <v>-3478271.4268731037</v>
      </c>
      <c r="CH62" s="207">
        <v>-2710044</v>
      </c>
      <c r="CI62" s="207">
        <v>966846.2225000001</v>
      </c>
      <c r="CJ62" s="207">
        <v>3088571.056788</v>
      </c>
      <c r="CK62" s="207">
        <v>-2121724.8342879997</v>
      </c>
      <c r="CL62" s="207">
        <v>22279772.76084503</v>
      </c>
      <c r="CM62" s="207">
        <v>27121841.981876567</v>
      </c>
      <c r="CN62" s="207">
        <v>33099</v>
      </c>
    </row>
    <row r="63" spans="1:92" ht="9.75">
      <c r="A63" s="207">
        <v>204</v>
      </c>
      <c r="B63" s="207" t="s">
        <v>120</v>
      </c>
      <c r="C63" s="207">
        <v>2990</v>
      </c>
      <c r="D63" s="207">
        <v>11074707.56</v>
      </c>
      <c r="E63" s="207">
        <v>6922164.738966699</v>
      </c>
      <c r="F63" s="207">
        <v>1098352.4390945795</v>
      </c>
      <c r="G63" s="207">
        <v>19095224.73806128</v>
      </c>
      <c r="H63" s="207">
        <v>3654.72</v>
      </c>
      <c r="I63" s="207">
        <v>10927612.799999999</v>
      </c>
      <c r="J63" s="207">
        <v>8167611.93806128</v>
      </c>
      <c r="K63" s="207">
        <v>262677.41330699157</v>
      </c>
      <c r="L63" s="207">
        <v>-687683.3757920321</v>
      </c>
      <c r="M63" s="207">
        <v>0</v>
      </c>
      <c r="N63" s="207">
        <v>7742605.975576239</v>
      </c>
      <c r="O63" s="207">
        <v>3185120.2432992784</v>
      </c>
      <c r="P63" s="207">
        <v>10927726.218875516</v>
      </c>
      <c r="Q63" s="207">
        <v>119</v>
      </c>
      <c r="R63" s="207">
        <v>22</v>
      </c>
      <c r="S63" s="207">
        <v>154</v>
      </c>
      <c r="T63" s="207">
        <v>103</v>
      </c>
      <c r="U63" s="207">
        <v>81</v>
      </c>
      <c r="V63" s="207">
        <v>1504</v>
      </c>
      <c r="W63" s="207">
        <v>536</v>
      </c>
      <c r="X63" s="207">
        <v>344</v>
      </c>
      <c r="Y63" s="207">
        <v>127</v>
      </c>
      <c r="Z63" s="207">
        <v>2</v>
      </c>
      <c r="AA63" s="207">
        <v>0</v>
      </c>
      <c r="AB63" s="207">
        <v>2926</v>
      </c>
      <c r="AC63" s="207">
        <v>62</v>
      </c>
      <c r="AD63" s="207">
        <v>1007</v>
      </c>
      <c r="AE63" s="480">
        <v>1.9652846043025987</v>
      </c>
      <c r="AF63" s="207">
        <v>6922164.738966699</v>
      </c>
      <c r="AG63" s="175">
        <v>145</v>
      </c>
      <c r="AH63" s="175">
        <v>1133</v>
      </c>
      <c r="AI63" s="175">
        <v>1.3117840054136198</v>
      </c>
      <c r="AJ63" s="175">
        <v>62</v>
      </c>
      <c r="AK63" s="175">
        <v>0.02073578595317726</v>
      </c>
      <c r="AL63" s="175">
        <v>0.017454706842714263</v>
      </c>
      <c r="AM63" s="175">
        <v>0</v>
      </c>
      <c r="AN63" s="175">
        <v>2</v>
      </c>
      <c r="AO63" s="175">
        <v>0</v>
      </c>
      <c r="AP63" s="175">
        <v>0</v>
      </c>
      <c r="AQ63" s="175">
        <v>0</v>
      </c>
      <c r="AR63" s="175">
        <v>674.03</v>
      </c>
      <c r="AS63" s="175">
        <v>4.436004332151388</v>
      </c>
      <c r="AT63" s="175">
        <v>4.091637604896223</v>
      </c>
      <c r="AU63" s="175">
        <v>135</v>
      </c>
      <c r="AV63" s="175">
        <v>760</v>
      </c>
      <c r="AW63" s="175">
        <v>0.17763157894736842</v>
      </c>
      <c r="AX63" s="175">
        <v>0.12217034521788342</v>
      </c>
      <c r="AY63" s="175">
        <v>0.241</v>
      </c>
      <c r="AZ63" s="207">
        <v>857</v>
      </c>
      <c r="BA63" s="175">
        <v>914</v>
      </c>
      <c r="BB63" s="175">
        <v>0.937636761487965</v>
      </c>
      <c r="BC63" s="175">
        <v>0.5479419140642532</v>
      </c>
      <c r="BD63" s="175">
        <v>0</v>
      </c>
      <c r="BE63" s="175">
        <v>0</v>
      </c>
      <c r="BF63" s="207">
        <v>-19232.879999999997</v>
      </c>
      <c r="BG63" s="207">
        <v>-23530.559999999998</v>
      </c>
      <c r="BH63" s="207">
        <v>-12258.999999999998</v>
      </c>
      <c r="BI63" s="207">
        <v>-50901.6</v>
      </c>
      <c r="BJ63" s="207">
        <v>0</v>
      </c>
      <c r="BK63" s="207">
        <v>0</v>
      </c>
      <c r="BL63" s="207">
        <v>-75363</v>
      </c>
      <c r="BM63" s="207">
        <v>-181959.914688372</v>
      </c>
      <c r="BN63" s="207">
        <v>-127254.40000000001</v>
      </c>
      <c r="BO63" s="207">
        <v>-95514.19307007454</v>
      </c>
      <c r="BP63" s="207">
        <v>355721</v>
      </c>
      <c r="BQ63" s="207">
        <v>98791</v>
      </c>
      <c r="BR63" s="207">
        <v>249680.168300314</v>
      </c>
      <c r="BS63" s="207">
        <v>13431.18733569948</v>
      </c>
      <c r="BT63" s="207">
        <v>37694.39862510979</v>
      </c>
      <c r="BU63" s="207">
        <v>138561.89410991914</v>
      </c>
      <c r="BV63" s="207">
        <v>169510.2915271634</v>
      </c>
      <c r="BW63" s="207">
        <v>257725.92299652047</v>
      </c>
      <c r="BX63" s="207">
        <v>73820.34447128476</v>
      </c>
      <c r="BY63" s="207">
        <v>151372.51474612678</v>
      </c>
      <c r="BZ63" s="207">
        <v>269.09999999999997</v>
      </c>
      <c r="CA63" s="207">
        <v>-10263.528033585499</v>
      </c>
      <c r="CB63" s="207">
        <v>-180871.62110366003</v>
      </c>
      <c r="CC63" s="207">
        <v>-687683.3757920321</v>
      </c>
      <c r="CD63" s="207">
        <v>0</v>
      </c>
      <c r="CE63" s="207">
        <v>210947.05753419004</v>
      </c>
      <c r="CF63" s="207">
        <v>0</v>
      </c>
      <c r="CG63" s="207">
        <v>3185120.2432992784</v>
      </c>
      <c r="CH63" s="207">
        <v>-536287</v>
      </c>
      <c r="CI63" s="207">
        <v>31333.294100000003</v>
      </c>
      <c r="CJ63" s="207">
        <v>1134006.96764</v>
      </c>
      <c r="CK63" s="207">
        <v>-1102673.6735399999</v>
      </c>
      <c r="CL63" s="207">
        <v>10391439.218875516</v>
      </c>
      <c r="CM63" s="207">
        <v>12315874.53647548</v>
      </c>
      <c r="CN63" s="207">
        <v>3048</v>
      </c>
    </row>
    <row r="64" spans="1:92" ht="9.75">
      <c r="A64" s="207">
        <v>205</v>
      </c>
      <c r="B64" s="207" t="s">
        <v>121</v>
      </c>
      <c r="C64" s="207">
        <v>36973</v>
      </c>
      <c r="D64" s="207">
        <v>127312160.49000001</v>
      </c>
      <c r="E64" s="207">
        <v>54947927.1631858</v>
      </c>
      <c r="F64" s="207">
        <v>7747258.974959511</v>
      </c>
      <c r="G64" s="207">
        <v>190007346.62814534</v>
      </c>
      <c r="H64" s="207">
        <v>3654.72</v>
      </c>
      <c r="I64" s="207">
        <v>135125962.56</v>
      </c>
      <c r="J64" s="207">
        <v>54881384.068145335</v>
      </c>
      <c r="K64" s="207">
        <v>2467142.103221437</v>
      </c>
      <c r="L64" s="207">
        <v>-4906854.844692731</v>
      </c>
      <c r="M64" s="207">
        <v>0</v>
      </c>
      <c r="N64" s="207">
        <v>52441671.326674044</v>
      </c>
      <c r="O64" s="207">
        <v>16366906.039978987</v>
      </c>
      <c r="P64" s="207">
        <v>68808577.36665303</v>
      </c>
      <c r="Q64" s="207">
        <v>2150</v>
      </c>
      <c r="R64" s="207">
        <v>418</v>
      </c>
      <c r="S64" s="207">
        <v>2538</v>
      </c>
      <c r="T64" s="207">
        <v>1179</v>
      </c>
      <c r="U64" s="207">
        <v>1212</v>
      </c>
      <c r="V64" s="207">
        <v>21129</v>
      </c>
      <c r="W64" s="207">
        <v>4760</v>
      </c>
      <c r="X64" s="207">
        <v>2552</v>
      </c>
      <c r="Y64" s="207">
        <v>1035</v>
      </c>
      <c r="Z64" s="207">
        <v>37</v>
      </c>
      <c r="AA64" s="207">
        <v>2</v>
      </c>
      <c r="AB64" s="207">
        <v>35677</v>
      </c>
      <c r="AC64" s="207">
        <v>1257</v>
      </c>
      <c r="AD64" s="207">
        <v>8347</v>
      </c>
      <c r="AE64" s="480">
        <v>1.2615989900578988</v>
      </c>
      <c r="AF64" s="207">
        <v>54947927.1631858</v>
      </c>
      <c r="AG64" s="175">
        <v>1839</v>
      </c>
      <c r="AH64" s="175">
        <v>17215</v>
      </c>
      <c r="AI64" s="175">
        <v>1.094961731644515</v>
      </c>
      <c r="AJ64" s="175">
        <v>1257</v>
      </c>
      <c r="AK64" s="175">
        <v>0.033997782165363914</v>
      </c>
      <c r="AL64" s="175">
        <v>0.03071670305490092</v>
      </c>
      <c r="AM64" s="175">
        <v>0</v>
      </c>
      <c r="AN64" s="175">
        <v>37</v>
      </c>
      <c r="AO64" s="175">
        <v>2</v>
      </c>
      <c r="AP64" s="175">
        <v>0</v>
      </c>
      <c r="AQ64" s="175">
        <v>0</v>
      </c>
      <c r="AR64" s="175">
        <v>1834.78</v>
      </c>
      <c r="AS64" s="175">
        <v>20.1511897884215</v>
      </c>
      <c r="AT64" s="175">
        <v>0.9007171453142746</v>
      </c>
      <c r="AU64" s="175">
        <v>902</v>
      </c>
      <c r="AV64" s="175">
        <v>10455</v>
      </c>
      <c r="AW64" s="175">
        <v>0.08627450980392157</v>
      </c>
      <c r="AX64" s="175">
        <v>0.03081327607443656</v>
      </c>
      <c r="AY64" s="175">
        <v>0.1089</v>
      </c>
      <c r="AZ64" s="207">
        <v>15452</v>
      </c>
      <c r="BA64" s="175">
        <v>14713</v>
      </c>
      <c r="BB64" s="175">
        <v>1.0502276897981377</v>
      </c>
      <c r="BC64" s="175">
        <v>0.6605328423744259</v>
      </c>
      <c r="BD64" s="175">
        <v>0</v>
      </c>
      <c r="BE64" s="175">
        <v>2</v>
      </c>
      <c r="BF64" s="207">
        <v>-234978.09</v>
      </c>
      <c r="BG64" s="207">
        <v>-287485.08</v>
      </c>
      <c r="BH64" s="207">
        <v>-151589.3</v>
      </c>
      <c r="BI64" s="207">
        <v>-621891.2999999999</v>
      </c>
      <c r="BJ64" s="207">
        <v>0</v>
      </c>
      <c r="BK64" s="207">
        <v>0</v>
      </c>
      <c r="BL64" s="207">
        <v>1371592</v>
      </c>
      <c r="BM64" s="207">
        <v>-1959790.1951040563</v>
      </c>
      <c r="BN64" s="207">
        <v>-1573570.8800000001</v>
      </c>
      <c r="BO64" s="207">
        <v>-536331.1401641965</v>
      </c>
      <c r="BP64" s="207">
        <v>2592766</v>
      </c>
      <c r="BQ64" s="207">
        <v>851137</v>
      </c>
      <c r="BR64" s="207">
        <v>1854193.7933830146</v>
      </c>
      <c r="BS64" s="207">
        <v>75734.94462794969</v>
      </c>
      <c r="BT64" s="207">
        <v>347880.491883763</v>
      </c>
      <c r="BU64" s="207">
        <v>1027227.4196650238</v>
      </c>
      <c r="BV64" s="207">
        <v>1791204.8751561167</v>
      </c>
      <c r="BW64" s="207">
        <v>2813546.3021177156</v>
      </c>
      <c r="BX64" s="207">
        <v>835976.783384323</v>
      </c>
      <c r="BY64" s="207">
        <v>1533689.289289748</v>
      </c>
      <c r="BZ64" s="207">
        <v>3327.5699999999997</v>
      </c>
      <c r="CA64" s="207">
        <v>217453.75057552074</v>
      </c>
      <c r="CB64" s="207">
        <v>1056042.1804113241</v>
      </c>
      <c r="CC64" s="207">
        <v>-4906854.844692731</v>
      </c>
      <c r="CD64" s="207">
        <v>0</v>
      </c>
      <c r="CE64" s="207">
        <v>1872950.2847681872</v>
      </c>
      <c r="CF64" s="207">
        <v>0</v>
      </c>
      <c r="CG64" s="207">
        <v>16366906.039978987</v>
      </c>
      <c r="CH64" s="207">
        <v>27443706</v>
      </c>
      <c r="CI64" s="207">
        <v>436491.1382000001</v>
      </c>
      <c r="CJ64" s="207">
        <v>587502.66278</v>
      </c>
      <c r="CK64" s="207">
        <v>-151011.5245799999</v>
      </c>
      <c r="CL64" s="207">
        <v>96252283.36665303</v>
      </c>
      <c r="CM64" s="207">
        <v>102148875.82932805</v>
      </c>
      <c r="CN64" s="207">
        <v>37239</v>
      </c>
    </row>
    <row r="65" spans="1:92" ht="9.75">
      <c r="A65" s="207">
        <v>208</v>
      </c>
      <c r="B65" s="207" t="s">
        <v>122</v>
      </c>
      <c r="C65" s="207">
        <v>12387</v>
      </c>
      <c r="D65" s="207">
        <v>46948724.08000001</v>
      </c>
      <c r="E65" s="207">
        <v>15259235.204348104</v>
      </c>
      <c r="F65" s="207">
        <v>2306338.0568984654</v>
      </c>
      <c r="G65" s="207">
        <v>64514297.34124658</v>
      </c>
      <c r="H65" s="207">
        <v>3654.72</v>
      </c>
      <c r="I65" s="207">
        <v>45271016.64</v>
      </c>
      <c r="J65" s="207">
        <v>19243280.701246582</v>
      </c>
      <c r="K65" s="207">
        <v>431041.59459406807</v>
      </c>
      <c r="L65" s="207">
        <v>-1349633.296853635</v>
      </c>
      <c r="M65" s="207">
        <v>0</v>
      </c>
      <c r="N65" s="207">
        <v>18324688.998987015</v>
      </c>
      <c r="O65" s="207">
        <v>10345690.798041612</v>
      </c>
      <c r="P65" s="207">
        <v>28670379.797028627</v>
      </c>
      <c r="Q65" s="207">
        <v>796</v>
      </c>
      <c r="R65" s="207">
        <v>164</v>
      </c>
      <c r="S65" s="207">
        <v>980</v>
      </c>
      <c r="T65" s="207">
        <v>512</v>
      </c>
      <c r="U65" s="207">
        <v>438</v>
      </c>
      <c r="V65" s="207">
        <v>6427</v>
      </c>
      <c r="W65" s="207">
        <v>1761</v>
      </c>
      <c r="X65" s="207">
        <v>924</v>
      </c>
      <c r="Y65" s="207">
        <v>385</v>
      </c>
      <c r="Z65" s="207">
        <v>56</v>
      </c>
      <c r="AA65" s="207">
        <v>1</v>
      </c>
      <c r="AB65" s="207">
        <v>12046</v>
      </c>
      <c r="AC65" s="207">
        <v>284</v>
      </c>
      <c r="AD65" s="207">
        <v>3070</v>
      </c>
      <c r="AE65" s="480">
        <v>1.0457342665881644</v>
      </c>
      <c r="AF65" s="207">
        <v>15259235.204348104</v>
      </c>
      <c r="AG65" s="175">
        <v>399</v>
      </c>
      <c r="AH65" s="175">
        <v>5532</v>
      </c>
      <c r="AI65" s="175">
        <v>0.7392902236209624</v>
      </c>
      <c r="AJ65" s="175">
        <v>284</v>
      </c>
      <c r="AK65" s="175">
        <v>0.022927262452571245</v>
      </c>
      <c r="AL65" s="175">
        <v>0.01964618334210825</v>
      </c>
      <c r="AM65" s="175">
        <v>0</v>
      </c>
      <c r="AN65" s="175">
        <v>56</v>
      </c>
      <c r="AO65" s="175">
        <v>1</v>
      </c>
      <c r="AP65" s="175">
        <v>0</v>
      </c>
      <c r="AQ65" s="175">
        <v>0</v>
      </c>
      <c r="AR65" s="175">
        <v>922.97</v>
      </c>
      <c r="AS65" s="175">
        <v>13.420804576530115</v>
      </c>
      <c r="AT65" s="175">
        <v>1.3524168418825084</v>
      </c>
      <c r="AU65" s="175">
        <v>414</v>
      </c>
      <c r="AV65" s="175">
        <v>3487</v>
      </c>
      <c r="AW65" s="175">
        <v>0.11872669916833954</v>
      </c>
      <c r="AX65" s="175">
        <v>0.06326546543885453</v>
      </c>
      <c r="AY65" s="175">
        <v>0</v>
      </c>
      <c r="AZ65" s="207">
        <v>4588</v>
      </c>
      <c r="BA65" s="175">
        <v>4980</v>
      </c>
      <c r="BB65" s="175">
        <v>0.921285140562249</v>
      </c>
      <c r="BC65" s="175">
        <v>0.5315902931385371</v>
      </c>
      <c r="BD65" s="175">
        <v>0</v>
      </c>
      <c r="BE65" s="175">
        <v>1</v>
      </c>
      <c r="BF65" s="207">
        <v>-78975.95999999999</v>
      </c>
      <c r="BG65" s="207">
        <v>-96623.52</v>
      </c>
      <c r="BH65" s="207">
        <v>-50786.7</v>
      </c>
      <c r="BI65" s="207">
        <v>-209017.19999999998</v>
      </c>
      <c r="BJ65" s="207">
        <v>0</v>
      </c>
      <c r="BK65" s="207">
        <v>0</v>
      </c>
      <c r="BL65" s="207">
        <v>27931</v>
      </c>
      <c r="BM65" s="207">
        <v>-191755.90630205238</v>
      </c>
      <c r="BN65" s="207">
        <v>-527190.72</v>
      </c>
      <c r="BO65" s="207">
        <v>174079.73907664046</v>
      </c>
      <c r="BP65" s="207">
        <v>1129537</v>
      </c>
      <c r="BQ65" s="207">
        <v>361572</v>
      </c>
      <c r="BR65" s="207">
        <v>874686.7781186404</v>
      </c>
      <c r="BS65" s="207">
        <v>40153.21745856467</v>
      </c>
      <c r="BT65" s="207">
        <v>-24432.856551359495</v>
      </c>
      <c r="BU65" s="207">
        <v>371268.24533248646</v>
      </c>
      <c r="BV65" s="207">
        <v>697889.440491932</v>
      </c>
      <c r="BW65" s="207">
        <v>1075183.5111417584</v>
      </c>
      <c r="BX65" s="207">
        <v>341540.5014360135</v>
      </c>
      <c r="BY65" s="207">
        <v>582309.9376593543</v>
      </c>
      <c r="BZ65" s="207">
        <v>1114.83</v>
      </c>
      <c r="CA65" s="207">
        <v>-18623.43962822322</v>
      </c>
      <c r="CB65" s="207">
        <v>184502.12944841722</v>
      </c>
      <c r="CC65" s="207">
        <v>-1349633.296853635</v>
      </c>
      <c r="CD65" s="207">
        <v>0</v>
      </c>
      <c r="CE65" s="207">
        <v>841522.2256852281</v>
      </c>
      <c r="CF65" s="207">
        <v>0</v>
      </c>
      <c r="CG65" s="207">
        <v>10345690.798041612</v>
      </c>
      <c r="CH65" s="207">
        <v>-641378</v>
      </c>
      <c r="CI65" s="207">
        <v>81629.6881</v>
      </c>
      <c r="CJ65" s="207">
        <v>106805.07234000001</v>
      </c>
      <c r="CK65" s="207">
        <v>-25175.384240000014</v>
      </c>
      <c r="CL65" s="207">
        <v>28029001.797028627</v>
      </c>
      <c r="CM65" s="207">
        <v>31299658.712016463</v>
      </c>
      <c r="CN65" s="207">
        <v>12516</v>
      </c>
    </row>
    <row r="66" spans="1:92" ht="9.75">
      <c r="A66" s="207">
        <v>211</v>
      </c>
      <c r="B66" s="207" t="s">
        <v>123</v>
      </c>
      <c r="C66" s="207">
        <v>31676</v>
      </c>
      <c r="D66" s="207">
        <v>114267315.6</v>
      </c>
      <c r="E66" s="207">
        <v>32414292.5380508</v>
      </c>
      <c r="F66" s="207">
        <v>4139515.000329751</v>
      </c>
      <c r="G66" s="207">
        <v>150821123.13838056</v>
      </c>
      <c r="H66" s="207">
        <v>3654.72</v>
      </c>
      <c r="I66" s="207">
        <v>115766910.72</v>
      </c>
      <c r="J66" s="207">
        <v>35054212.41838056</v>
      </c>
      <c r="K66" s="207">
        <v>518968.2591290322</v>
      </c>
      <c r="L66" s="207">
        <v>-4540338.509284196</v>
      </c>
      <c r="M66" s="207">
        <v>0</v>
      </c>
      <c r="N66" s="207">
        <v>31032842.168225393</v>
      </c>
      <c r="O66" s="207">
        <v>3289220.209956865</v>
      </c>
      <c r="P66" s="207">
        <v>34322062.378182255</v>
      </c>
      <c r="Q66" s="207">
        <v>2203</v>
      </c>
      <c r="R66" s="207">
        <v>438</v>
      </c>
      <c r="S66" s="207">
        <v>2675</v>
      </c>
      <c r="T66" s="207">
        <v>1304</v>
      </c>
      <c r="U66" s="207">
        <v>1124</v>
      </c>
      <c r="V66" s="207">
        <v>17619</v>
      </c>
      <c r="W66" s="207">
        <v>3661</v>
      </c>
      <c r="X66" s="207">
        <v>1972</v>
      </c>
      <c r="Y66" s="207">
        <v>680</v>
      </c>
      <c r="Z66" s="207">
        <v>77</v>
      </c>
      <c r="AA66" s="207">
        <v>0</v>
      </c>
      <c r="AB66" s="207">
        <v>30870</v>
      </c>
      <c r="AC66" s="207">
        <v>729</v>
      </c>
      <c r="AD66" s="207">
        <v>6313</v>
      </c>
      <c r="AE66" s="480">
        <v>0.8686821999863109</v>
      </c>
      <c r="AF66" s="207">
        <v>32414292.5380508</v>
      </c>
      <c r="AG66" s="175">
        <v>1057</v>
      </c>
      <c r="AH66" s="175">
        <v>15107</v>
      </c>
      <c r="AI66" s="175">
        <v>0.7171681549714328</v>
      </c>
      <c r="AJ66" s="175">
        <v>729</v>
      </c>
      <c r="AK66" s="175">
        <v>0.023014269478469504</v>
      </c>
      <c r="AL66" s="175">
        <v>0.01973319036800651</v>
      </c>
      <c r="AM66" s="175">
        <v>0</v>
      </c>
      <c r="AN66" s="175">
        <v>77</v>
      </c>
      <c r="AO66" s="175">
        <v>0</v>
      </c>
      <c r="AP66" s="175">
        <v>0</v>
      </c>
      <c r="AQ66" s="175">
        <v>0</v>
      </c>
      <c r="AR66" s="175">
        <v>658.07</v>
      </c>
      <c r="AS66" s="175">
        <v>48.134696916741376</v>
      </c>
      <c r="AT66" s="175">
        <v>0.37707772778351856</v>
      </c>
      <c r="AU66" s="175">
        <v>878</v>
      </c>
      <c r="AV66" s="175">
        <v>10670</v>
      </c>
      <c r="AW66" s="175">
        <v>0.08228678537956889</v>
      </c>
      <c r="AX66" s="175">
        <v>0.026825551650083886</v>
      </c>
      <c r="AY66" s="175">
        <v>0</v>
      </c>
      <c r="AZ66" s="207">
        <v>8801</v>
      </c>
      <c r="BA66" s="175">
        <v>13752</v>
      </c>
      <c r="BB66" s="175">
        <v>0.6399796393251891</v>
      </c>
      <c r="BC66" s="175">
        <v>0.25028479190147723</v>
      </c>
      <c r="BD66" s="175">
        <v>0</v>
      </c>
      <c r="BE66" s="175">
        <v>0</v>
      </c>
      <c r="BF66" s="207">
        <v>-198367.47</v>
      </c>
      <c r="BG66" s="207">
        <v>-242693.63999999998</v>
      </c>
      <c r="BH66" s="207">
        <v>-129871.59999999999</v>
      </c>
      <c r="BI66" s="207">
        <v>-524997.9</v>
      </c>
      <c r="BJ66" s="207">
        <v>0</v>
      </c>
      <c r="BK66" s="207">
        <v>0</v>
      </c>
      <c r="BL66" s="207">
        <v>273558</v>
      </c>
      <c r="BM66" s="207">
        <v>-1322207.6800330873</v>
      </c>
      <c r="BN66" s="207">
        <v>-1348130.56</v>
      </c>
      <c r="BO66" s="207">
        <v>-235774.60303405012</v>
      </c>
      <c r="BP66" s="207">
        <v>2052330</v>
      </c>
      <c r="BQ66" s="207">
        <v>652472</v>
      </c>
      <c r="BR66" s="207">
        <v>1279438.3668590477</v>
      </c>
      <c r="BS66" s="207">
        <v>18609.676418183368</v>
      </c>
      <c r="BT66" s="207">
        <v>58558.191724880795</v>
      </c>
      <c r="BU66" s="207">
        <v>669339.416188655</v>
      </c>
      <c r="BV66" s="207">
        <v>1323883.3820436788</v>
      </c>
      <c r="BW66" s="207">
        <v>2274364.3120675283</v>
      </c>
      <c r="BX66" s="207">
        <v>569612.1484228717</v>
      </c>
      <c r="BY66" s="207">
        <v>1105365.9695999913</v>
      </c>
      <c r="BZ66" s="207">
        <v>2850.8399999999997</v>
      </c>
      <c r="CA66" s="207">
        <v>156482.2637829409</v>
      </c>
      <c r="CB66" s="207">
        <v>197116.50074889077</v>
      </c>
      <c r="CC66" s="207">
        <v>-4540338.509284196</v>
      </c>
      <c r="CD66" s="207">
        <v>0</v>
      </c>
      <c r="CE66" s="207">
        <v>1397718.227602798</v>
      </c>
      <c r="CF66" s="207">
        <v>0</v>
      </c>
      <c r="CG66" s="207">
        <v>3289220.209956865</v>
      </c>
      <c r="CH66" s="207">
        <v>-4017642</v>
      </c>
      <c r="CI66" s="207">
        <v>610557.4422999999</v>
      </c>
      <c r="CJ66" s="207">
        <v>1509809.3893499998</v>
      </c>
      <c r="CK66" s="207">
        <v>-899251.94705</v>
      </c>
      <c r="CL66" s="207">
        <v>30304420.378182255</v>
      </c>
      <c r="CM66" s="207">
        <v>37215305.242948934</v>
      </c>
      <c r="CN66" s="207">
        <v>31437</v>
      </c>
    </row>
    <row r="67" spans="1:92" ht="9.75">
      <c r="A67" s="207">
        <v>213</v>
      </c>
      <c r="B67" s="207" t="s">
        <v>124</v>
      </c>
      <c r="C67" s="207">
        <v>5452</v>
      </c>
      <c r="D67" s="207">
        <v>20525544.22</v>
      </c>
      <c r="E67" s="207">
        <v>9699789.393192986</v>
      </c>
      <c r="F67" s="207">
        <v>1552342.6979039381</v>
      </c>
      <c r="G67" s="207">
        <v>31777676.31109692</v>
      </c>
      <c r="H67" s="207">
        <v>3654.72</v>
      </c>
      <c r="I67" s="207">
        <v>19925533.439999998</v>
      </c>
      <c r="J67" s="207">
        <v>11852142.871096924</v>
      </c>
      <c r="K67" s="207">
        <v>833095.0369162341</v>
      </c>
      <c r="L67" s="207">
        <v>-647966.5440850673</v>
      </c>
      <c r="M67" s="207">
        <v>0</v>
      </c>
      <c r="N67" s="207">
        <v>12037271.36392809</v>
      </c>
      <c r="O67" s="207">
        <v>4043172.222832259</v>
      </c>
      <c r="P67" s="207">
        <v>16080443.58676035</v>
      </c>
      <c r="Q67" s="207">
        <v>214</v>
      </c>
      <c r="R67" s="207">
        <v>46</v>
      </c>
      <c r="S67" s="207">
        <v>298</v>
      </c>
      <c r="T67" s="207">
        <v>151</v>
      </c>
      <c r="U67" s="207">
        <v>132</v>
      </c>
      <c r="V67" s="207">
        <v>2634</v>
      </c>
      <c r="W67" s="207">
        <v>1088</v>
      </c>
      <c r="X67" s="207">
        <v>626</v>
      </c>
      <c r="Y67" s="207">
        <v>263</v>
      </c>
      <c r="Z67" s="207">
        <v>7</v>
      </c>
      <c r="AA67" s="207">
        <v>0</v>
      </c>
      <c r="AB67" s="207">
        <v>5371</v>
      </c>
      <c r="AC67" s="207">
        <v>74</v>
      </c>
      <c r="AD67" s="207">
        <v>1977</v>
      </c>
      <c r="AE67" s="480">
        <v>1.5102928526397044</v>
      </c>
      <c r="AF67" s="207">
        <v>9699789.393192986</v>
      </c>
      <c r="AG67" s="175">
        <v>207</v>
      </c>
      <c r="AH67" s="175">
        <v>2213</v>
      </c>
      <c r="AI67" s="175">
        <v>0.9587672049913883</v>
      </c>
      <c r="AJ67" s="175">
        <v>74</v>
      </c>
      <c r="AK67" s="175">
        <v>0.013573000733675716</v>
      </c>
      <c r="AL67" s="175">
        <v>0.01029192162321272</v>
      </c>
      <c r="AM67" s="175">
        <v>0</v>
      </c>
      <c r="AN67" s="175">
        <v>7</v>
      </c>
      <c r="AO67" s="175">
        <v>0</v>
      </c>
      <c r="AP67" s="175">
        <v>0</v>
      </c>
      <c r="AQ67" s="175">
        <v>0</v>
      </c>
      <c r="AR67" s="175">
        <v>1068.84</v>
      </c>
      <c r="AS67" s="175">
        <v>5.100857003854647</v>
      </c>
      <c r="AT67" s="175">
        <v>3.5583279686525375</v>
      </c>
      <c r="AU67" s="175">
        <v>188</v>
      </c>
      <c r="AV67" s="175">
        <v>1333</v>
      </c>
      <c r="AW67" s="175">
        <v>0.14103525881470366</v>
      </c>
      <c r="AX67" s="175">
        <v>0.08557402508521866</v>
      </c>
      <c r="AY67" s="175">
        <v>0.5625333333333333</v>
      </c>
      <c r="AZ67" s="207">
        <v>1632</v>
      </c>
      <c r="BA67" s="175">
        <v>1875</v>
      </c>
      <c r="BB67" s="175">
        <v>0.8704</v>
      </c>
      <c r="BC67" s="175">
        <v>0.4807051525762881</v>
      </c>
      <c r="BD67" s="175">
        <v>0</v>
      </c>
      <c r="BE67" s="175">
        <v>0</v>
      </c>
      <c r="BF67" s="207">
        <v>-35014.189999999995</v>
      </c>
      <c r="BG67" s="207">
        <v>-42838.28</v>
      </c>
      <c r="BH67" s="207">
        <v>-22353.199999999997</v>
      </c>
      <c r="BI67" s="207">
        <v>-92668.3</v>
      </c>
      <c r="BJ67" s="207">
        <v>0</v>
      </c>
      <c r="BK67" s="207">
        <v>0</v>
      </c>
      <c r="BL67" s="207">
        <v>138646</v>
      </c>
      <c r="BM67" s="207">
        <v>-233552.7585058459</v>
      </c>
      <c r="BN67" s="207">
        <v>-232037.12000000002</v>
      </c>
      <c r="BO67" s="207">
        <v>104150.07537831739</v>
      </c>
      <c r="BP67" s="207">
        <v>651314</v>
      </c>
      <c r="BQ67" s="207">
        <v>187331</v>
      </c>
      <c r="BR67" s="207">
        <v>420197.3912115596</v>
      </c>
      <c r="BS67" s="207">
        <v>23328.6713788262</v>
      </c>
      <c r="BT67" s="207">
        <v>53778.54215605336</v>
      </c>
      <c r="BU67" s="207">
        <v>224519.7381976081</v>
      </c>
      <c r="BV67" s="207">
        <v>316250.0427699233</v>
      </c>
      <c r="BW67" s="207">
        <v>487700.4287774703</v>
      </c>
      <c r="BX67" s="207">
        <v>147284.1095061954</v>
      </c>
      <c r="BY67" s="207">
        <v>262226.2418956169</v>
      </c>
      <c r="BZ67" s="207">
        <v>490.68</v>
      </c>
      <c r="CA67" s="207">
        <v>-65631.13095753879</v>
      </c>
      <c r="CB67" s="207">
        <v>177655.6244207786</v>
      </c>
      <c r="CC67" s="207">
        <v>-647966.5440850673</v>
      </c>
      <c r="CD67" s="207">
        <v>0</v>
      </c>
      <c r="CE67" s="207">
        <v>371316.05710509483</v>
      </c>
      <c r="CF67" s="207">
        <v>0</v>
      </c>
      <c r="CG67" s="207">
        <v>4043172.222832259</v>
      </c>
      <c r="CH67" s="207">
        <v>-503278</v>
      </c>
      <c r="CI67" s="207">
        <v>6796.81</v>
      </c>
      <c r="CJ67" s="207">
        <v>197189.05172000002</v>
      </c>
      <c r="CK67" s="207">
        <v>-190392.24172000002</v>
      </c>
      <c r="CL67" s="207">
        <v>15577165.58676035</v>
      </c>
      <c r="CM67" s="207">
        <v>18131889.88205746</v>
      </c>
      <c r="CN67" s="207">
        <v>5549</v>
      </c>
    </row>
    <row r="68" spans="1:92" ht="9.75">
      <c r="A68" s="207">
        <v>214</v>
      </c>
      <c r="B68" s="207" t="s">
        <v>125</v>
      </c>
      <c r="C68" s="207">
        <v>11471</v>
      </c>
      <c r="D68" s="207">
        <v>39486502.64</v>
      </c>
      <c r="E68" s="207">
        <v>14477270.089501057</v>
      </c>
      <c r="F68" s="207">
        <v>2637465.8925456344</v>
      </c>
      <c r="G68" s="207">
        <v>56601238.62204669</v>
      </c>
      <c r="H68" s="207">
        <v>3654.72</v>
      </c>
      <c r="I68" s="207">
        <v>41923293.12</v>
      </c>
      <c r="J68" s="207">
        <v>14677945.50204669</v>
      </c>
      <c r="K68" s="207">
        <v>545106.3336881421</v>
      </c>
      <c r="L68" s="207">
        <v>-917830.7253388925</v>
      </c>
      <c r="M68" s="207">
        <v>0</v>
      </c>
      <c r="N68" s="207">
        <v>14305221.110395938</v>
      </c>
      <c r="O68" s="207">
        <v>7974992.98025606</v>
      </c>
      <c r="P68" s="207">
        <v>22280214.090651996</v>
      </c>
      <c r="Q68" s="207">
        <v>638</v>
      </c>
      <c r="R68" s="207">
        <v>123</v>
      </c>
      <c r="S68" s="207">
        <v>692</v>
      </c>
      <c r="T68" s="207">
        <v>345</v>
      </c>
      <c r="U68" s="207">
        <v>384</v>
      </c>
      <c r="V68" s="207">
        <v>6288</v>
      </c>
      <c r="W68" s="207">
        <v>1744</v>
      </c>
      <c r="X68" s="207">
        <v>923</v>
      </c>
      <c r="Y68" s="207">
        <v>334</v>
      </c>
      <c r="Z68" s="207">
        <v>8</v>
      </c>
      <c r="AA68" s="207">
        <v>0</v>
      </c>
      <c r="AB68" s="207">
        <v>11099</v>
      </c>
      <c r="AC68" s="207">
        <v>364</v>
      </c>
      <c r="AD68" s="207">
        <v>3001</v>
      </c>
      <c r="AE68" s="480">
        <v>1.0713715423437369</v>
      </c>
      <c r="AF68" s="207">
        <v>14477270.089501057</v>
      </c>
      <c r="AG68" s="175">
        <v>498</v>
      </c>
      <c r="AH68" s="175">
        <v>5135</v>
      </c>
      <c r="AI68" s="175">
        <v>0.9940612248739862</v>
      </c>
      <c r="AJ68" s="175">
        <v>364</v>
      </c>
      <c r="AK68" s="175">
        <v>0.03173219422892511</v>
      </c>
      <c r="AL68" s="175">
        <v>0.028451115118462118</v>
      </c>
      <c r="AM68" s="175">
        <v>0</v>
      </c>
      <c r="AN68" s="175">
        <v>8</v>
      </c>
      <c r="AO68" s="175">
        <v>0</v>
      </c>
      <c r="AP68" s="175">
        <v>0</v>
      </c>
      <c r="AQ68" s="175">
        <v>0</v>
      </c>
      <c r="AR68" s="175">
        <v>689.62</v>
      </c>
      <c r="AS68" s="175">
        <v>16.633798323714508</v>
      </c>
      <c r="AT68" s="175">
        <v>1.0911832515749755</v>
      </c>
      <c r="AU68" s="175">
        <v>477</v>
      </c>
      <c r="AV68" s="175">
        <v>3144</v>
      </c>
      <c r="AW68" s="175">
        <v>0.15171755725190839</v>
      </c>
      <c r="AX68" s="175">
        <v>0.09625632352242339</v>
      </c>
      <c r="AY68" s="175">
        <v>0</v>
      </c>
      <c r="AZ68" s="207">
        <v>5036</v>
      </c>
      <c r="BA68" s="175">
        <v>4514</v>
      </c>
      <c r="BB68" s="175">
        <v>1.1156402303943287</v>
      </c>
      <c r="BC68" s="175">
        <v>0.7259453829706168</v>
      </c>
      <c r="BD68" s="175">
        <v>0</v>
      </c>
      <c r="BE68" s="175">
        <v>0</v>
      </c>
      <c r="BF68" s="207">
        <v>-73101.34999999999</v>
      </c>
      <c r="BG68" s="207">
        <v>-89436.2</v>
      </c>
      <c r="BH68" s="207">
        <v>-47031.1</v>
      </c>
      <c r="BI68" s="207">
        <v>-193469.5</v>
      </c>
      <c r="BJ68" s="207">
        <v>0</v>
      </c>
      <c r="BK68" s="207">
        <v>0</v>
      </c>
      <c r="BL68" s="207">
        <v>376644</v>
      </c>
      <c r="BM68" s="207">
        <v>-412255.0094083483</v>
      </c>
      <c r="BN68" s="207">
        <v>-488205.76</v>
      </c>
      <c r="BO68" s="207">
        <v>366490.2791329548</v>
      </c>
      <c r="BP68" s="207">
        <v>1057264</v>
      </c>
      <c r="BQ68" s="207">
        <v>346030</v>
      </c>
      <c r="BR68" s="207">
        <v>864422.5563986355</v>
      </c>
      <c r="BS68" s="207">
        <v>42245.25755368333</v>
      </c>
      <c r="BT68" s="207">
        <v>88537.4090538738</v>
      </c>
      <c r="BU68" s="207">
        <v>399714.71127646166</v>
      </c>
      <c r="BV68" s="207">
        <v>641321.649444843</v>
      </c>
      <c r="BW68" s="207">
        <v>977715.8377379086</v>
      </c>
      <c r="BX68" s="207">
        <v>303463.1997737731</v>
      </c>
      <c r="BY68" s="207">
        <v>541499.894606079</v>
      </c>
      <c r="BZ68" s="207">
        <v>1032.3899999999999</v>
      </c>
      <c r="CA68" s="207">
        <v>-6797.615063499135</v>
      </c>
      <c r="CB68" s="207">
        <v>737369.0540694557</v>
      </c>
      <c r="CC68" s="207">
        <v>-917830.7253388925</v>
      </c>
      <c r="CD68" s="207">
        <v>0</v>
      </c>
      <c r="CE68" s="207">
        <v>727077.0520680542</v>
      </c>
      <c r="CF68" s="207">
        <v>0</v>
      </c>
      <c r="CG68" s="207">
        <v>7974992.98025606</v>
      </c>
      <c r="CH68" s="207">
        <v>567207</v>
      </c>
      <c r="CI68" s="207">
        <v>447501.97040000005</v>
      </c>
      <c r="CJ68" s="207">
        <v>169920.25</v>
      </c>
      <c r="CK68" s="207">
        <v>277581.72040000005</v>
      </c>
      <c r="CL68" s="207">
        <v>22847421.090651996</v>
      </c>
      <c r="CM68" s="207">
        <v>27024755.094770867</v>
      </c>
      <c r="CN68" s="207">
        <v>11585</v>
      </c>
    </row>
    <row r="69" spans="1:92" ht="9.75">
      <c r="A69" s="207">
        <v>216</v>
      </c>
      <c r="B69" s="207" t="s">
        <v>126</v>
      </c>
      <c r="C69" s="207">
        <v>1353</v>
      </c>
      <c r="D69" s="207">
        <v>5494343.2</v>
      </c>
      <c r="E69" s="207">
        <v>2526883.9187230472</v>
      </c>
      <c r="F69" s="207">
        <v>593307.3151477552</v>
      </c>
      <c r="G69" s="207">
        <v>8614534.433870804</v>
      </c>
      <c r="H69" s="207">
        <v>3654.72</v>
      </c>
      <c r="I69" s="207">
        <v>4944836.16</v>
      </c>
      <c r="J69" s="207">
        <v>3669698.2738708034</v>
      </c>
      <c r="K69" s="207">
        <v>320826.88687418203</v>
      </c>
      <c r="L69" s="207">
        <v>-105742.59194719454</v>
      </c>
      <c r="M69" s="207">
        <v>0</v>
      </c>
      <c r="N69" s="207">
        <v>3884782.568797791</v>
      </c>
      <c r="O69" s="207">
        <v>1369620.4152693513</v>
      </c>
      <c r="P69" s="207">
        <v>5254402.984067142</v>
      </c>
      <c r="Q69" s="207">
        <v>51</v>
      </c>
      <c r="R69" s="207">
        <v>9</v>
      </c>
      <c r="S69" s="207">
        <v>83</v>
      </c>
      <c r="T69" s="207">
        <v>58</v>
      </c>
      <c r="U69" s="207">
        <v>42</v>
      </c>
      <c r="V69" s="207">
        <v>643</v>
      </c>
      <c r="W69" s="207">
        <v>245</v>
      </c>
      <c r="X69" s="207">
        <v>148</v>
      </c>
      <c r="Y69" s="207">
        <v>74</v>
      </c>
      <c r="Z69" s="207">
        <v>1</v>
      </c>
      <c r="AA69" s="207">
        <v>0</v>
      </c>
      <c r="AB69" s="207">
        <v>1328</v>
      </c>
      <c r="AC69" s="207">
        <v>24</v>
      </c>
      <c r="AD69" s="207">
        <v>467</v>
      </c>
      <c r="AE69" s="480">
        <v>1.5854122315893922</v>
      </c>
      <c r="AF69" s="207">
        <v>2526883.9187230472</v>
      </c>
      <c r="AG69" s="175">
        <v>70</v>
      </c>
      <c r="AH69" s="175">
        <v>551</v>
      </c>
      <c r="AI69" s="175">
        <v>1.3021789782759143</v>
      </c>
      <c r="AJ69" s="175">
        <v>24</v>
      </c>
      <c r="AK69" s="175">
        <v>0.017738359201773836</v>
      </c>
      <c r="AL69" s="175">
        <v>0.01445728009131084</v>
      </c>
      <c r="AM69" s="175">
        <v>0</v>
      </c>
      <c r="AN69" s="175">
        <v>1</v>
      </c>
      <c r="AO69" s="175">
        <v>0</v>
      </c>
      <c r="AP69" s="175">
        <v>0</v>
      </c>
      <c r="AQ69" s="175">
        <v>0</v>
      </c>
      <c r="AR69" s="175">
        <v>445.01</v>
      </c>
      <c r="AS69" s="175">
        <v>3.040381115031123</v>
      </c>
      <c r="AT69" s="175">
        <v>5.96981807681284</v>
      </c>
      <c r="AU69" s="175">
        <v>58</v>
      </c>
      <c r="AV69" s="175">
        <v>313</v>
      </c>
      <c r="AW69" s="175">
        <v>0.1853035143769968</v>
      </c>
      <c r="AX69" s="175">
        <v>0.1298422806475118</v>
      </c>
      <c r="AY69" s="175">
        <v>0.9497666666666666</v>
      </c>
      <c r="AZ69" s="207">
        <v>398</v>
      </c>
      <c r="BA69" s="175">
        <v>451</v>
      </c>
      <c r="BB69" s="175">
        <v>0.8824833702882483</v>
      </c>
      <c r="BC69" s="175">
        <v>0.49278852286453645</v>
      </c>
      <c r="BD69" s="175">
        <v>0</v>
      </c>
      <c r="BE69" s="175">
        <v>0</v>
      </c>
      <c r="BF69" s="207">
        <v>-8884.48</v>
      </c>
      <c r="BG69" s="207">
        <v>-10869.76</v>
      </c>
      <c r="BH69" s="207">
        <v>-5547.299999999999</v>
      </c>
      <c r="BI69" s="207">
        <v>-23513.6</v>
      </c>
      <c r="BJ69" s="207">
        <v>0</v>
      </c>
      <c r="BK69" s="207">
        <v>0</v>
      </c>
      <c r="BL69" s="207">
        <v>12874</v>
      </c>
      <c r="BM69" s="207">
        <v>-28881.009839300626</v>
      </c>
      <c r="BN69" s="207">
        <v>-57583.68</v>
      </c>
      <c r="BO69" s="207">
        <v>53822.27823724039</v>
      </c>
      <c r="BP69" s="207">
        <v>158615</v>
      </c>
      <c r="BQ69" s="207">
        <v>47512</v>
      </c>
      <c r="BR69" s="207">
        <v>119051.56090819609</v>
      </c>
      <c r="BS69" s="207">
        <v>7616.3543238918255</v>
      </c>
      <c r="BT69" s="207">
        <v>21503.490366428287</v>
      </c>
      <c r="BU69" s="207">
        <v>69878.34002194715</v>
      </c>
      <c r="BV69" s="207">
        <v>85699.80887111144</v>
      </c>
      <c r="BW69" s="207">
        <v>125186.9110305073</v>
      </c>
      <c r="BX69" s="207">
        <v>40962.804342577336</v>
      </c>
      <c r="BY69" s="207">
        <v>73882.99939650185</v>
      </c>
      <c r="BZ69" s="207">
        <v>121.77</v>
      </c>
      <c r="CA69" s="207">
        <v>4202.1696548657055</v>
      </c>
      <c r="CB69" s="207">
        <v>71020.2178921061</v>
      </c>
      <c r="CC69" s="207">
        <v>-105742.59194719454</v>
      </c>
      <c r="CD69" s="207">
        <v>0</v>
      </c>
      <c r="CE69" s="207">
        <v>102594.63270089612</v>
      </c>
      <c r="CF69" s="207">
        <v>0</v>
      </c>
      <c r="CG69" s="207">
        <v>1369620.4152693513</v>
      </c>
      <c r="CH69" s="207">
        <v>-314250</v>
      </c>
      <c r="CI69" s="207">
        <v>63957.9821</v>
      </c>
      <c r="CJ69" s="207">
        <v>67968.1</v>
      </c>
      <c r="CK69" s="207">
        <v>-4010.1179000000047</v>
      </c>
      <c r="CL69" s="207">
        <v>4940152.984067142</v>
      </c>
      <c r="CM69" s="207">
        <v>5668675.536999847</v>
      </c>
      <c r="CN69" s="207">
        <v>1408</v>
      </c>
    </row>
    <row r="70" spans="1:92" ht="9.75">
      <c r="A70" s="207">
        <v>217</v>
      </c>
      <c r="B70" s="207" t="s">
        <v>127</v>
      </c>
      <c r="C70" s="207">
        <v>5502</v>
      </c>
      <c r="D70" s="207">
        <v>20589605.419999998</v>
      </c>
      <c r="E70" s="207">
        <v>7024283.284137018</v>
      </c>
      <c r="F70" s="207">
        <v>1061010.5606856842</v>
      </c>
      <c r="G70" s="207">
        <v>28674899.2648227</v>
      </c>
      <c r="H70" s="207">
        <v>3654.72</v>
      </c>
      <c r="I70" s="207">
        <v>20108269.439999998</v>
      </c>
      <c r="J70" s="207">
        <v>8566629.824822702</v>
      </c>
      <c r="K70" s="207">
        <v>201136.69420942396</v>
      </c>
      <c r="L70" s="207">
        <v>-780034.6505843193</v>
      </c>
      <c r="M70" s="207">
        <v>0</v>
      </c>
      <c r="N70" s="207">
        <v>7987731.868447807</v>
      </c>
      <c r="O70" s="207">
        <v>4358480.651127778</v>
      </c>
      <c r="P70" s="207">
        <v>12346212.519575585</v>
      </c>
      <c r="Q70" s="207">
        <v>398</v>
      </c>
      <c r="R70" s="207">
        <v>81</v>
      </c>
      <c r="S70" s="207">
        <v>395</v>
      </c>
      <c r="T70" s="207">
        <v>223</v>
      </c>
      <c r="U70" s="207">
        <v>229</v>
      </c>
      <c r="V70" s="207">
        <v>2917</v>
      </c>
      <c r="W70" s="207">
        <v>732</v>
      </c>
      <c r="X70" s="207">
        <v>367</v>
      </c>
      <c r="Y70" s="207">
        <v>160</v>
      </c>
      <c r="Z70" s="207">
        <v>23</v>
      </c>
      <c r="AA70" s="207">
        <v>0</v>
      </c>
      <c r="AB70" s="207">
        <v>5391</v>
      </c>
      <c r="AC70" s="207">
        <v>88</v>
      </c>
      <c r="AD70" s="207">
        <v>1259</v>
      </c>
      <c r="AE70" s="480">
        <v>1.0837675455779652</v>
      </c>
      <c r="AF70" s="207">
        <v>7024283.284137018</v>
      </c>
      <c r="AG70" s="175">
        <v>184</v>
      </c>
      <c r="AH70" s="175">
        <v>2480</v>
      </c>
      <c r="AI70" s="175">
        <v>0.7604845249627032</v>
      </c>
      <c r="AJ70" s="175">
        <v>88</v>
      </c>
      <c r="AK70" s="175">
        <v>0.01599418393311523</v>
      </c>
      <c r="AL70" s="175">
        <v>0.012713104822652234</v>
      </c>
      <c r="AM70" s="175">
        <v>0</v>
      </c>
      <c r="AN70" s="175">
        <v>23</v>
      </c>
      <c r="AO70" s="175">
        <v>0</v>
      </c>
      <c r="AP70" s="175">
        <v>0</v>
      </c>
      <c r="AQ70" s="175">
        <v>0</v>
      </c>
      <c r="AR70" s="175">
        <v>468.33</v>
      </c>
      <c r="AS70" s="175">
        <v>11.748126321183781</v>
      </c>
      <c r="AT70" s="175">
        <v>1.5449716528996487</v>
      </c>
      <c r="AU70" s="175">
        <v>219</v>
      </c>
      <c r="AV70" s="175">
        <v>1507</v>
      </c>
      <c r="AW70" s="175">
        <v>0.1453218314532183</v>
      </c>
      <c r="AX70" s="175">
        <v>0.08986059772373331</v>
      </c>
      <c r="AY70" s="175">
        <v>0</v>
      </c>
      <c r="AZ70" s="207">
        <v>2085</v>
      </c>
      <c r="BA70" s="175">
        <v>2199</v>
      </c>
      <c r="BB70" s="175">
        <v>0.9481582537517054</v>
      </c>
      <c r="BC70" s="175">
        <v>0.5584634063279935</v>
      </c>
      <c r="BD70" s="175">
        <v>0</v>
      </c>
      <c r="BE70" s="175">
        <v>0</v>
      </c>
      <c r="BF70" s="207">
        <v>-34831.2</v>
      </c>
      <c r="BG70" s="207">
        <v>-42614.4</v>
      </c>
      <c r="BH70" s="207">
        <v>-22558.199999999997</v>
      </c>
      <c r="BI70" s="207">
        <v>-92184</v>
      </c>
      <c r="BJ70" s="207">
        <v>0</v>
      </c>
      <c r="BK70" s="207">
        <v>0</v>
      </c>
      <c r="BL70" s="207">
        <v>-39125</v>
      </c>
      <c r="BM70" s="207">
        <v>-93118.81252369279</v>
      </c>
      <c r="BN70" s="207">
        <v>-234165.12000000002</v>
      </c>
      <c r="BO70" s="207">
        <v>-29314.746329082176</v>
      </c>
      <c r="BP70" s="207">
        <v>472563</v>
      </c>
      <c r="BQ70" s="207">
        <v>155789</v>
      </c>
      <c r="BR70" s="207">
        <v>373453.802525867</v>
      </c>
      <c r="BS70" s="207">
        <v>18040.573836712447</v>
      </c>
      <c r="BT70" s="207">
        <v>72786.55766004905</v>
      </c>
      <c r="BU70" s="207">
        <v>176020.8346108859</v>
      </c>
      <c r="BV70" s="207">
        <v>301129.87290488865</v>
      </c>
      <c r="BW70" s="207">
        <v>492919.3720727344</v>
      </c>
      <c r="BX70" s="207">
        <v>137422.61225023714</v>
      </c>
      <c r="BY70" s="207">
        <v>254096.82971160897</v>
      </c>
      <c r="BZ70" s="207">
        <v>495.18</v>
      </c>
      <c r="CA70" s="207">
        <v>-23927.031731544248</v>
      </c>
      <c r="CB70" s="207">
        <v>-91871.59806062643</v>
      </c>
      <c r="CC70" s="207">
        <v>-780034.6505843193</v>
      </c>
      <c r="CD70" s="207">
        <v>0</v>
      </c>
      <c r="CE70" s="207">
        <v>352688.1636357854</v>
      </c>
      <c r="CF70" s="207">
        <v>0</v>
      </c>
      <c r="CG70" s="207">
        <v>4358480.651127778</v>
      </c>
      <c r="CH70" s="207">
        <v>-31405</v>
      </c>
      <c r="CI70" s="207">
        <v>31265.326000000005</v>
      </c>
      <c r="CJ70" s="207">
        <v>57297.10830000001</v>
      </c>
      <c r="CK70" s="207">
        <v>-26031.782300000003</v>
      </c>
      <c r="CL70" s="207">
        <v>12314807.519575585</v>
      </c>
      <c r="CM70" s="207">
        <v>13451016.490133042</v>
      </c>
      <c r="CN70" s="207">
        <v>5520</v>
      </c>
    </row>
    <row r="71" spans="1:92" ht="9.75">
      <c r="A71" s="207">
        <v>218</v>
      </c>
      <c r="B71" s="207" t="s">
        <v>128</v>
      </c>
      <c r="C71" s="207">
        <v>1274</v>
      </c>
      <c r="D71" s="207">
        <v>5106673.359999999</v>
      </c>
      <c r="E71" s="207">
        <v>2730194.3742434634</v>
      </c>
      <c r="F71" s="207">
        <v>285555.7538744302</v>
      </c>
      <c r="G71" s="207">
        <v>8122423.488117893</v>
      </c>
      <c r="H71" s="207">
        <v>3654.72</v>
      </c>
      <c r="I71" s="207">
        <v>4656113.279999999</v>
      </c>
      <c r="J71" s="207">
        <v>3466310.208117894</v>
      </c>
      <c r="K71" s="207">
        <v>49648.44902630897</v>
      </c>
      <c r="L71" s="207">
        <v>-90074.51519523877</v>
      </c>
      <c r="M71" s="207">
        <v>0</v>
      </c>
      <c r="N71" s="207">
        <v>3425884.141948964</v>
      </c>
      <c r="O71" s="207">
        <v>1290788.4723960583</v>
      </c>
      <c r="P71" s="207">
        <v>4716672.6143450225</v>
      </c>
      <c r="Q71" s="207">
        <v>53</v>
      </c>
      <c r="R71" s="207">
        <v>14</v>
      </c>
      <c r="S71" s="207">
        <v>50</v>
      </c>
      <c r="T71" s="207">
        <v>35</v>
      </c>
      <c r="U71" s="207">
        <v>26</v>
      </c>
      <c r="V71" s="207">
        <v>655</v>
      </c>
      <c r="W71" s="207">
        <v>212</v>
      </c>
      <c r="X71" s="207">
        <v>142</v>
      </c>
      <c r="Y71" s="207">
        <v>87</v>
      </c>
      <c r="Z71" s="207">
        <v>22</v>
      </c>
      <c r="AA71" s="207">
        <v>0</v>
      </c>
      <c r="AB71" s="207">
        <v>1245</v>
      </c>
      <c r="AC71" s="207">
        <v>7</v>
      </c>
      <c r="AD71" s="207">
        <v>441</v>
      </c>
      <c r="AE71" s="480">
        <v>1.8191933046748363</v>
      </c>
      <c r="AF71" s="207">
        <v>2730194.3742434634</v>
      </c>
      <c r="AG71" s="175">
        <v>42</v>
      </c>
      <c r="AH71" s="175">
        <v>605</v>
      </c>
      <c r="AI71" s="175">
        <v>0.7115708598644914</v>
      </c>
      <c r="AJ71" s="175">
        <v>7</v>
      </c>
      <c r="AK71" s="175">
        <v>0.005494505494505495</v>
      </c>
      <c r="AL71" s="175">
        <v>0.0022134263840424984</v>
      </c>
      <c r="AM71" s="175">
        <v>0</v>
      </c>
      <c r="AN71" s="175">
        <v>22</v>
      </c>
      <c r="AO71" s="175">
        <v>0</v>
      </c>
      <c r="AP71" s="175">
        <v>0</v>
      </c>
      <c r="AQ71" s="175">
        <v>0</v>
      </c>
      <c r="AR71" s="175">
        <v>185.72</v>
      </c>
      <c r="AS71" s="175">
        <v>6.859788929571398</v>
      </c>
      <c r="AT71" s="175">
        <v>2.6459301193174216</v>
      </c>
      <c r="AU71" s="175">
        <v>56</v>
      </c>
      <c r="AV71" s="175">
        <v>317</v>
      </c>
      <c r="AW71" s="175">
        <v>0.17665615141955837</v>
      </c>
      <c r="AX71" s="175">
        <v>0.12119491769007337</v>
      </c>
      <c r="AY71" s="175">
        <v>0.062266666666666665</v>
      </c>
      <c r="AZ71" s="207">
        <v>418</v>
      </c>
      <c r="BA71" s="175">
        <v>536</v>
      </c>
      <c r="BB71" s="175">
        <v>0.7798507462686567</v>
      </c>
      <c r="BC71" s="175">
        <v>0.39015589884494484</v>
      </c>
      <c r="BD71" s="175">
        <v>0</v>
      </c>
      <c r="BE71" s="175">
        <v>0</v>
      </c>
      <c r="BF71" s="207">
        <v>-8385.99</v>
      </c>
      <c r="BG71" s="207">
        <v>-10259.88</v>
      </c>
      <c r="BH71" s="207">
        <v>-5223.4</v>
      </c>
      <c r="BI71" s="207">
        <v>-22194.3</v>
      </c>
      <c r="BJ71" s="207">
        <v>0</v>
      </c>
      <c r="BK71" s="207">
        <v>0</v>
      </c>
      <c r="BL71" s="207">
        <v>-17238</v>
      </c>
      <c r="BM71" s="207">
        <v>-17848.020019640855</v>
      </c>
      <c r="BN71" s="207">
        <v>-54221.44</v>
      </c>
      <c r="BO71" s="207">
        <v>87483.34700512048</v>
      </c>
      <c r="BP71" s="207">
        <v>162602</v>
      </c>
      <c r="BQ71" s="207">
        <v>51113</v>
      </c>
      <c r="BR71" s="207">
        <v>118966.60017293353</v>
      </c>
      <c r="BS71" s="207">
        <v>8090.23369131995</v>
      </c>
      <c r="BT71" s="207">
        <v>21888.878572067195</v>
      </c>
      <c r="BU71" s="207">
        <v>65271.60570674855</v>
      </c>
      <c r="BV71" s="207">
        <v>96252.52713104039</v>
      </c>
      <c r="BW71" s="207">
        <v>159066.5523161456</v>
      </c>
      <c r="BX71" s="207">
        <v>50378.74084016659</v>
      </c>
      <c r="BY71" s="207">
        <v>77954.38721156617</v>
      </c>
      <c r="BZ71" s="207">
        <v>114.66</v>
      </c>
      <c r="CA71" s="207">
        <v>-3240.6521807183854</v>
      </c>
      <c r="CB71" s="207">
        <v>67119.3548244021</v>
      </c>
      <c r="CC71" s="207">
        <v>-90074.51519523877</v>
      </c>
      <c r="CD71" s="207">
        <v>0</v>
      </c>
      <c r="CE71" s="207">
        <v>108771.4209370696</v>
      </c>
      <c r="CF71" s="207">
        <v>0</v>
      </c>
      <c r="CG71" s="207">
        <v>1290788.4723960583</v>
      </c>
      <c r="CH71" s="207">
        <v>-297390</v>
      </c>
      <c r="CI71" s="207">
        <v>20390.43</v>
      </c>
      <c r="CJ71" s="207">
        <v>463542.44200000004</v>
      </c>
      <c r="CK71" s="207">
        <v>-443152.01200000005</v>
      </c>
      <c r="CL71" s="207">
        <v>4419282.6143450225</v>
      </c>
      <c r="CM71" s="207">
        <v>4790665.372735388</v>
      </c>
      <c r="CN71" s="207">
        <v>1329</v>
      </c>
    </row>
    <row r="72" spans="1:92" ht="9.75">
      <c r="A72" s="207">
        <v>224</v>
      </c>
      <c r="B72" s="207" t="s">
        <v>129</v>
      </c>
      <c r="C72" s="207">
        <v>8778</v>
      </c>
      <c r="D72" s="207">
        <v>31775091.54</v>
      </c>
      <c r="E72" s="207">
        <v>10573174.241910502</v>
      </c>
      <c r="F72" s="207">
        <v>2464914.638279662</v>
      </c>
      <c r="G72" s="207">
        <v>44813180.42019016</v>
      </c>
      <c r="H72" s="207">
        <v>3654.72</v>
      </c>
      <c r="I72" s="207">
        <v>32081132.159999996</v>
      </c>
      <c r="J72" s="207">
        <v>12732048.260190167</v>
      </c>
      <c r="K72" s="207">
        <v>222442.65933862457</v>
      </c>
      <c r="L72" s="207">
        <v>-1665892.458551381</v>
      </c>
      <c r="M72" s="207">
        <v>0</v>
      </c>
      <c r="N72" s="207">
        <v>11288598.46097741</v>
      </c>
      <c r="O72" s="207">
        <v>4812912.934395582</v>
      </c>
      <c r="P72" s="207">
        <v>16101511.395372994</v>
      </c>
      <c r="Q72" s="207">
        <v>458</v>
      </c>
      <c r="R72" s="207">
        <v>83</v>
      </c>
      <c r="S72" s="207">
        <v>641</v>
      </c>
      <c r="T72" s="207">
        <v>331</v>
      </c>
      <c r="U72" s="207">
        <v>300</v>
      </c>
      <c r="V72" s="207">
        <v>4737</v>
      </c>
      <c r="W72" s="207">
        <v>1320</v>
      </c>
      <c r="X72" s="207">
        <v>610</v>
      </c>
      <c r="Y72" s="207">
        <v>298</v>
      </c>
      <c r="Z72" s="207">
        <v>72</v>
      </c>
      <c r="AA72" s="207">
        <v>0</v>
      </c>
      <c r="AB72" s="207">
        <v>8180</v>
      </c>
      <c r="AC72" s="207">
        <v>526</v>
      </c>
      <c r="AD72" s="207">
        <v>2228</v>
      </c>
      <c r="AE72" s="480">
        <v>1.022502838543196</v>
      </c>
      <c r="AF72" s="207">
        <v>10573174.241910502</v>
      </c>
      <c r="AG72" s="175">
        <v>373</v>
      </c>
      <c r="AH72" s="175">
        <v>4053</v>
      </c>
      <c r="AI72" s="175">
        <v>0.943314406091434</v>
      </c>
      <c r="AJ72" s="175">
        <v>526</v>
      </c>
      <c r="AK72" s="175">
        <v>0.059922533606744134</v>
      </c>
      <c r="AL72" s="175">
        <v>0.056641454496281135</v>
      </c>
      <c r="AM72" s="175">
        <v>0</v>
      </c>
      <c r="AN72" s="175">
        <v>72</v>
      </c>
      <c r="AO72" s="175">
        <v>0</v>
      </c>
      <c r="AP72" s="175">
        <v>0</v>
      </c>
      <c r="AQ72" s="175">
        <v>0</v>
      </c>
      <c r="AR72" s="175">
        <v>242.36</v>
      </c>
      <c r="AS72" s="175">
        <v>36.2188479947186</v>
      </c>
      <c r="AT72" s="175">
        <v>0.5011347170279924</v>
      </c>
      <c r="AU72" s="175">
        <v>574</v>
      </c>
      <c r="AV72" s="175">
        <v>2748</v>
      </c>
      <c r="AW72" s="175">
        <v>0.2088791848617176</v>
      </c>
      <c r="AX72" s="175">
        <v>0.1534179511322326</v>
      </c>
      <c r="AY72" s="175">
        <v>0</v>
      </c>
      <c r="AZ72" s="207">
        <v>2781</v>
      </c>
      <c r="BA72" s="175">
        <v>3580</v>
      </c>
      <c r="BB72" s="175">
        <v>0.7768156424581005</v>
      </c>
      <c r="BC72" s="175">
        <v>0.3871207950343887</v>
      </c>
      <c r="BD72" s="175">
        <v>0</v>
      </c>
      <c r="BE72" s="175">
        <v>0</v>
      </c>
      <c r="BF72" s="207">
        <v>-56159</v>
      </c>
      <c r="BG72" s="207">
        <v>-68708</v>
      </c>
      <c r="BH72" s="207">
        <v>-35989.799999999996</v>
      </c>
      <c r="BI72" s="207">
        <v>-148630</v>
      </c>
      <c r="BJ72" s="207">
        <v>0</v>
      </c>
      <c r="BK72" s="207">
        <v>0</v>
      </c>
      <c r="BL72" s="207">
        <v>-176375</v>
      </c>
      <c r="BM72" s="207">
        <v>-561323.4439813623</v>
      </c>
      <c r="BN72" s="207">
        <v>-373591.68</v>
      </c>
      <c r="BO72" s="207">
        <v>-10497.994075188413</v>
      </c>
      <c r="BP72" s="207">
        <v>685735</v>
      </c>
      <c r="BQ72" s="207">
        <v>228313</v>
      </c>
      <c r="BR72" s="207">
        <v>466962.71765660605</v>
      </c>
      <c r="BS72" s="207">
        <v>11345.00072373815</v>
      </c>
      <c r="BT72" s="207">
        <v>67552.37743129855</v>
      </c>
      <c r="BU72" s="207">
        <v>178336.21752535802</v>
      </c>
      <c r="BV72" s="207">
        <v>429863.58683494903</v>
      </c>
      <c r="BW72" s="207">
        <v>726820.3431030754</v>
      </c>
      <c r="BX72" s="207">
        <v>196777.54589011226</v>
      </c>
      <c r="BY72" s="207">
        <v>363343.8147733445</v>
      </c>
      <c r="BZ72" s="207">
        <v>790.02</v>
      </c>
      <c r="CA72" s="207">
        <v>33725.91950516996</v>
      </c>
      <c r="CB72" s="207">
        <v>-152357.05457001846</v>
      </c>
      <c r="CC72" s="207">
        <v>-1665892.458551381</v>
      </c>
      <c r="CD72" s="207">
        <v>0</v>
      </c>
      <c r="CE72" s="207">
        <v>456143.48341494775</v>
      </c>
      <c r="CF72" s="207">
        <v>0</v>
      </c>
      <c r="CG72" s="207">
        <v>4812912.934395582</v>
      </c>
      <c r="CH72" s="207">
        <v>-566525</v>
      </c>
      <c r="CI72" s="207">
        <v>186436.4983</v>
      </c>
      <c r="CJ72" s="207">
        <v>91784.12224</v>
      </c>
      <c r="CK72" s="207">
        <v>94652.37606000001</v>
      </c>
      <c r="CL72" s="207">
        <v>15534986.395372994</v>
      </c>
      <c r="CM72" s="207">
        <v>17684510.5101157</v>
      </c>
      <c r="CN72" s="207">
        <v>8900</v>
      </c>
    </row>
    <row r="73" spans="1:92" ht="9.75">
      <c r="A73" s="207">
        <v>226</v>
      </c>
      <c r="B73" s="207" t="s">
        <v>130</v>
      </c>
      <c r="C73" s="207">
        <v>4031</v>
      </c>
      <c r="D73" s="207">
        <v>15273617.129999999</v>
      </c>
      <c r="E73" s="207">
        <v>6258259.665266801</v>
      </c>
      <c r="F73" s="207">
        <v>1308079.9532929226</v>
      </c>
      <c r="G73" s="207">
        <v>22839956.74855972</v>
      </c>
      <c r="H73" s="207">
        <v>3654.72</v>
      </c>
      <c r="I73" s="207">
        <v>14732176.319999998</v>
      </c>
      <c r="J73" s="207">
        <v>8107780.428559722</v>
      </c>
      <c r="K73" s="207">
        <v>1012760.9972910513</v>
      </c>
      <c r="L73" s="207">
        <v>-439389.9623408547</v>
      </c>
      <c r="M73" s="207">
        <v>0</v>
      </c>
      <c r="N73" s="207">
        <v>8681151.46350992</v>
      </c>
      <c r="O73" s="207">
        <v>3974257.3586650137</v>
      </c>
      <c r="P73" s="207">
        <v>12655408.822174933</v>
      </c>
      <c r="Q73" s="207">
        <v>158</v>
      </c>
      <c r="R73" s="207">
        <v>36</v>
      </c>
      <c r="S73" s="207">
        <v>241</v>
      </c>
      <c r="T73" s="207">
        <v>145</v>
      </c>
      <c r="U73" s="207">
        <v>141</v>
      </c>
      <c r="V73" s="207">
        <v>1978</v>
      </c>
      <c r="W73" s="207">
        <v>723</v>
      </c>
      <c r="X73" s="207">
        <v>435</v>
      </c>
      <c r="Y73" s="207">
        <v>174</v>
      </c>
      <c r="Z73" s="207">
        <v>1</v>
      </c>
      <c r="AA73" s="207">
        <v>0</v>
      </c>
      <c r="AB73" s="207">
        <v>3987</v>
      </c>
      <c r="AC73" s="207">
        <v>43</v>
      </c>
      <c r="AD73" s="207">
        <v>1332</v>
      </c>
      <c r="AE73" s="480">
        <v>1.3179395477213733</v>
      </c>
      <c r="AF73" s="207">
        <v>6258259.665266801</v>
      </c>
      <c r="AG73" s="175">
        <v>227</v>
      </c>
      <c r="AH73" s="175">
        <v>1733</v>
      </c>
      <c r="AI73" s="175">
        <v>1.3426151188345277</v>
      </c>
      <c r="AJ73" s="175">
        <v>43</v>
      </c>
      <c r="AK73" s="175">
        <v>0.010667328206400397</v>
      </c>
      <c r="AL73" s="175">
        <v>0.0073862490959374005</v>
      </c>
      <c r="AM73" s="175">
        <v>0</v>
      </c>
      <c r="AN73" s="175">
        <v>1</v>
      </c>
      <c r="AO73" s="175">
        <v>0</v>
      </c>
      <c r="AP73" s="175">
        <v>0</v>
      </c>
      <c r="AQ73" s="175">
        <v>0</v>
      </c>
      <c r="AR73" s="175">
        <v>887.07</v>
      </c>
      <c r="AS73" s="175">
        <v>4.544173515055181</v>
      </c>
      <c r="AT73" s="175">
        <v>3.994240554586914</v>
      </c>
      <c r="AU73" s="175">
        <v>129</v>
      </c>
      <c r="AV73" s="175">
        <v>1042</v>
      </c>
      <c r="AW73" s="175">
        <v>0.1238003838771593</v>
      </c>
      <c r="AX73" s="175">
        <v>0.0683391501476743</v>
      </c>
      <c r="AY73" s="175">
        <v>0.9754333333333334</v>
      </c>
      <c r="AZ73" s="207">
        <v>1414</v>
      </c>
      <c r="BA73" s="175">
        <v>1395</v>
      </c>
      <c r="BB73" s="175">
        <v>1.0136200716845878</v>
      </c>
      <c r="BC73" s="175">
        <v>0.6239252242608759</v>
      </c>
      <c r="BD73" s="175">
        <v>0</v>
      </c>
      <c r="BE73" s="175">
        <v>0</v>
      </c>
      <c r="BF73" s="207">
        <v>-26161.26</v>
      </c>
      <c r="BG73" s="207">
        <v>-32007.12</v>
      </c>
      <c r="BH73" s="207">
        <v>-16527.1</v>
      </c>
      <c r="BI73" s="207">
        <v>-69238.2</v>
      </c>
      <c r="BJ73" s="207">
        <v>0</v>
      </c>
      <c r="BK73" s="207">
        <v>0</v>
      </c>
      <c r="BL73" s="207">
        <v>77843</v>
      </c>
      <c r="BM73" s="207">
        <v>-103847.67368914996</v>
      </c>
      <c r="BN73" s="207">
        <v>-171559.36000000002</v>
      </c>
      <c r="BO73" s="207">
        <v>29320.945028565824</v>
      </c>
      <c r="BP73" s="207">
        <v>418140</v>
      </c>
      <c r="BQ73" s="207">
        <v>130108</v>
      </c>
      <c r="BR73" s="207">
        <v>326875.1375349644</v>
      </c>
      <c r="BS73" s="207">
        <v>18659.542831763487</v>
      </c>
      <c r="BT73" s="207">
        <v>35891.78501852707</v>
      </c>
      <c r="BU73" s="207">
        <v>158948.51525087937</v>
      </c>
      <c r="BV73" s="207">
        <v>230569.23956807284</v>
      </c>
      <c r="BW73" s="207">
        <v>370414.3147754081</v>
      </c>
      <c r="BX73" s="207">
        <v>114099.50544567108</v>
      </c>
      <c r="BY73" s="207">
        <v>203734.1396641163</v>
      </c>
      <c r="BZ73" s="207">
        <v>362.78999999999996</v>
      </c>
      <c r="CA73" s="207">
        <v>-3985.5236802705986</v>
      </c>
      <c r="CB73" s="207">
        <v>103541.21134829521</v>
      </c>
      <c r="CC73" s="207">
        <v>-439389.9623408547</v>
      </c>
      <c r="CD73" s="207">
        <v>0</v>
      </c>
      <c r="CE73" s="207">
        <v>278815.83560663444</v>
      </c>
      <c r="CF73" s="207">
        <v>0</v>
      </c>
      <c r="CG73" s="207">
        <v>3974257.3586650137</v>
      </c>
      <c r="CH73" s="207">
        <v>78083</v>
      </c>
      <c r="CI73" s="207">
        <v>191670.04200000002</v>
      </c>
      <c r="CJ73" s="207">
        <v>66608.738</v>
      </c>
      <c r="CK73" s="207">
        <v>125061.30400000002</v>
      </c>
      <c r="CL73" s="207">
        <v>12733491.822174933</v>
      </c>
      <c r="CM73" s="207">
        <v>14427552.114422297</v>
      </c>
      <c r="CN73" s="207">
        <v>4146</v>
      </c>
    </row>
    <row r="74" spans="1:92" ht="9.75">
      <c r="A74" s="207">
        <v>230</v>
      </c>
      <c r="B74" s="207" t="s">
        <v>131</v>
      </c>
      <c r="C74" s="207">
        <v>2390</v>
      </c>
      <c r="D74" s="207">
        <v>8955114.48</v>
      </c>
      <c r="E74" s="207">
        <v>3121245.439170468</v>
      </c>
      <c r="F74" s="207">
        <v>855278.3335827058</v>
      </c>
      <c r="G74" s="207">
        <v>12931638.252753176</v>
      </c>
      <c r="H74" s="207">
        <v>3654.72</v>
      </c>
      <c r="I74" s="207">
        <v>8734780.799999999</v>
      </c>
      <c r="J74" s="207">
        <v>4196857.452753177</v>
      </c>
      <c r="K74" s="207">
        <v>363456.7252541354</v>
      </c>
      <c r="L74" s="207">
        <v>-155493.96484865068</v>
      </c>
      <c r="M74" s="207">
        <v>0</v>
      </c>
      <c r="N74" s="207">
        <v>4404820.2131586615</v>
      </c>
      <c r="O74" s="207">
        <v>2621268.2893917295</v>
      </c>
      <c r="P74" s="207">
        <v>7026088.5025503915</v>
      </c>
      <c r="Q74" s="207">
        <v>118</v>
      </c>
      <c r="R74" s="207">
        <v>22</v>
      </c>
      <c r="S74" s="207">
        <v>104</v>
      </c>
      <c r="T74" s="207">
        <v>71</v>
      </c>
      <c r="U74" s="207">
        <v>67</v>
      </c>
      <c r="V74" s="207">
        <v>1222</v>
      </c>
      <c r="W74" s="207">
        <v>426</v>
      </c>
      <c r="X74" s="207">
        <v>242</v>
      </c>
      <c r="Y74" s="207">
        <v>118</v>
      </c>
      <c r="Z74" s="207">
        <v>2</v>
      </c>
      <c r="AA74" s="207">
        <v>0</v>
      </c>
      <c r="AB74" s="207">
        <v>2323</v>
      </c>
      <c r="AC74" s="207">
        <v>65</v>
      </c>
      <c r="AD74" s="207">
        <v>786</v>
      </c>
      <c r="AE74" s="480">
        <v>1.108625156875517</v>
      </c>
      <c r="AF74" s="207">
        <v>3121245.439170468</v>
      </c>
      <c r="AG74" s="175">
        <v>106</v>
      </c>
      <c r="AH74" s="175">
        <v>1025</v>
      </c>
      <c r="AI74" s="175">
        <v>1.0600009115704954</v>
      </c>
      <c r="AJ74" s="175">
        <v>65</v>
      </c>
      <c r="AK74" s="175">
        <v>0.027196652719665274</v>
      </c>
      <c r="AL74" s="175">
        <v>0.023915573609202278</v>
      </c>
      <c r="AM74" s="175">
        <v>0</v>
      </c>
      <c r="AN74" s="175">
        <v>2</v>
      </c>
      <c r="AO74" s="175">
        <v>0</v>
      </c>
      <c r="AP74" s="175">
        <v>0</v>
      </c>
      <c r="AQ74" s="175">
        <v>0</v>
      </c>
      <c r="AR74" s="175">
        <v>502.18</v>
      </c>
      <c r="AS74" s="175">
        <v>4.759249671432554</v>
      </c>
      <c r="AT74" s="175">
        <v>3.8137360705957235</v>
      </c>
      <c r="AU74" s="175">
        <v>127</v>
      </c>
      <c r="AV74" s="175">
        <v>614</v>
      </c>
      <c r="AW74" s="175">
        <v>0.20684039087947884</v>
      </c>
      <c r="AX74" s="175">
        <v>0.15137915714999384</v>
      </c>
      <c r="AY74" s="175">
        <v>0.5588</v>
      </c>
      <c r="AZ74" s="207">
        <v>753</v>
      </c>
      <c r="BA74" s="175">
        <v>864</v>
      </c>
      <c r="BB74" s="175">
        <v>0.8715277777777778</v>
      </c>
      <c r="BC74" s="175">
        <v>0.48183293035406594</v>
      </c>
      <c r="BD74" s="175">
        <v>0</v>
      </c>
      <c r="BE74" s="175">
        <v>0</v>
      </c>
      <c r="BF74" s="207">
        <v>-15162.929999999998</v>
      </c>
      <c r="BG74" s="207">
        <v>-18551.16</v>
      </c>
      <c r="BH74" s="207">
        <v>-9799</v>
      </c>
      <c r="BI74" s="207">
        <v>-40130.1</v>
      </c>
      <c r="BJ74" s="207">
        <v>0</v>
      </c>
      <c r="BK74" s="207">
        <v>0</v>
      </c>
      <c r="BL74" s="207">
        <v>139899</v>
      </c>
      <c r="BM74" s="207">
        <v>-33534.22064284436</v>
      </c>
      <c r="BN74" s="207">
        <v>-101718.40000000001</v>
      </c>
      <c r="BO74" s="207">
        <v>9185.336451798677</v>
      </c>
      <c r="BP74" s="207">
        <v>291060</v>
      </c>
      <c r="BQ74" s="207">
        <v>92413</v>
      </c>
      <c r="BR74" s="207">
        <v>256894.05377211169</v>
      </c>
      <c r="BS74" s="207">
        <v>15394.886270220215</v>
      </c>
      <c r="BT74" s="207">
        <v>35647.9445174762</v>
      </c>
      <c r="BU74" s="207">
        <v>106520.14217974393</v>
      </c>
      <c r="BV74" s="207">
        <v>169559.83785104705</v>
      </c>
      <c r="BW74" s="207">
        <v>240230.03207086163</v>
      </c>
      <c r="BX74" s="207">
        <v>84367.24290657333</v>
      </c>
      <c r="BY74" s="207">
        <v>135286.7709038614</v>
      </c>
      <c r="BZ74" s="207">
        <v>215.1</v>
      </c>
      <c r="CA74" s="207">
        <v>-12620.190657605053</v>
      </c>
      <c r="CB74" s="207">
        <v>136679.24579419364</v>
      </c>
      <c r="CC74" s="207">
        <v>-155493.96484865068</v>
      </c>
      <c r="CD74" s="207">
        <v>0</v>
      </c>
      <c r="CE74" s="207">
        <v>187251.82395396824</v>
      </c>
      <c r="CF74" s="207">
        <v>0</v>
      </c>
      <c r="CG74" s="207">
        <v>2621268.2893917295</v>
      </c>
      <c r="CH74" s="207">
        <v>-440169</v>
      </c>
      <c r="CI74" s="207">
        <v>44858.945999999996</v>
      </c>
      <c r="CJ74" s="207">
        <v>17671.706000000002</v>
      </c>
      <c r="CK74" s="207">
        <v>27187.239999999994</v>
      </c>
      <c r="CL74" s="207">
        <v>6585919.5025503915</v>
      </c>
      <c r="CM74" s="207">
        <v>7746857.442659037</v>
      </c>
      <c r="CN74" s="207">
        <v>2403</v>
      </c>
    </row>
    <row r="75" spans="1:92" ht="9.75">
      <c r="A75" s="207">
        <v>231</v>
      </c>
      <c r="B75" s="207" t="s">
        <v>132</v>
      </c>
      <c r="C75" s="207">
        <v>1262</v>
      </c>
      <c r="D75" s="207">
        <v>4340570.659999999</v>
      </c>
      <c r="E75" s="207">
        <v>1756811.6272458879</v>
      </c>
      <c r="F75" s="207">
        <v>453395.4893210593</v>
      </c>
      <c r="G75" s="207">
        <v>6550777.776566947</v>
      </c>
      <c r="H75" s="207">
        <v>3654.72</v>
      </c>
      <c r="I75" s="207">
        <v>4612256.64</v>
      </c>
      <c r="J75" s="207">
        <v>1938521.1365669472</v>
      </c>
      <c r="K75" s="207">
        <v>165702.49632396322</v>
      </c>
      <c r="L75" s="207">
        <v>-137526.94948797353</v>
      </c>
      <c r="M75" s="207">
        <v>0</v>
      </c>
      <c r="N75" s="207">
        <v>1966696.683402937</v>
      </c>
      <c r="O75" s="207">
        <v>-216788.9804402989</v>
      </c>
      <c r="P75" s="207">
        <v>1749907.7029626379</v>
      </c>
      <c r="Q75" s="207">
        <v>54</v>
      </c>
      <c r="R75" s="207">
        <v>10</v>
      </c>
      <c r="S75" s="207">
        <v>53</v>
      </c>
      <c r="T75" s="207">
        <v>30</v>
      </c>
      <c r="U75" s="207">
        <v>32</v>
      </c>
      <c r="V75" s="207">
        <v>580</v>
      </c>
      <c r="W75" s="207">
        <v>311</v>
      </c>
      <c r="X75" s="207">
        <v>151</v>
      </c>
      <c r="Y75" s="207">
        <v>41</v>
      </c>
      <c r="Z75" s="207">
        <v>368</v>
      </c>
      <c r="AA75" s="207">
        <v>0</v>
      </c>
      <c r="AB75" s="207">
        <v>801</v>
      </c>
      <c r="AC75" s="207">
        <v>93</v>
      </c>
      <c r="AD75" s="207">
        <v>503</v>
      </c>
      <c r="AE75" s="480">
        <v>1.18173623351371</v>
      </c>
      <c r="AF75" s="207">
        <v>1756811.6272458879</v>
      </c>
      <c r="AG75" s="175">
        <v>37</v>
      </c>
      <c r="AH75" s="175">
        <v>516</v>
      </c>
      <c r="AI75" s="175">
        <v>0.7349812522179143</v>
      </c>
      <c r="AJ75" s="175">
        <v>93</v>
      </c>
      <c r="AK75" s="175">
        <v>0.07369255150554675</v>
      </c>
      <c r="AL75" s="175">
        <v>0.07041147239508376</v>
      </c>
      <c r="AM75" s="175">
        <v>1</v>
      </c>
      <c r="AN75" s="175">
        <v>368</v>
      </c>
      <c r="AO75" s="175">
        <v>0</v>
      </c>
      <c r="AP75" s="175">
        <v>0</v>
      </c>
      <c r="AQ75" s="175">
        <v>0</v>
      </c>
      <c r="AR75" s="175">
        <v>10.63</v>
      </c>
      <c r="AS75" s="175">
        <v>118.72060206961429</v>
      </c>
      <c r="AT75" s="175">
        <v>0.15288435052132096</v>
      </c>
      <c r="AU75" s="175">
        <v>49</v>
      </c>
      <c r="AV75" s="175">
        <v>274</v>
      </c>
      <c r="AW75" s="175">
        <v>0.17883211678832117</v>
      </c>
      <c r="AX75" s="175">
        <v>0.12337088305883617</v>
      </c>
      <c r="AY75" s="175">
        <v>0.40968333333333334</v>
      </c>
      <c r="AZ75" s="207">
        <v>459</v>
      </c>
      <c r="BA75" s="175">
        <v>439</v>
      </c>
      <c r="BB75" s="175">
        <v>1.0455580865603644</v>
      </c>
      <c r="BC75" s="175">
        <v>0.6558632391366526</v>
      </c>
      <c r="BD75" s="175">
        <v>0</v>
      </c>
      <c r="BE75" s="175">
        <v>0</v>
      </c>
      <c r="BF75" s="207">
        <v>-8038.94</v>
      </c>
      <c r="BG75" s="207">
        <v>-9835.279999999999</v>
      </c>
      <c r="BH75" s="207">
        <v>-5174.2</v>
      </c>
      <c r="BI75" s="207">
        <v>-21275.8</v>
      </c>
      <c r="BJ75" s="207">
        <v>0</v>
      </c>
      <c r="BK75" s="207">
        <v>0</v>
      </c>
      <c r="BL75" s="207">
        <v>23962</v>
      </c>
      <c r="BM75" s="207">
        <v>-6437.454270962142</v>
      </c>
      <c r="BN75" s="207">
        <v>-53710.72</v>
      </c>
      <c r="BO75" s="207">
        <v>10795.96809515229</v>
      </c>
      <c r="BP75" s="207">
        <v>96307</v>
      </c>
      <c r="BQ75" s="207">
        <v>37918</v>
      </c>
      <c r="BR75" s="207">
        <v>84599.72105985375</v>
      </c>
      <c r="BS75" s="207">
        <v>4667.110441196863</v>
      </c>
      <c r="BT75" s="207">
        <v>14013.607726811122</v>
      </c>
      <c r="BU75" s="207">
        <v>34434.394086437955</v>
      </c>
      <c r="BV75" s="207">
        <v>64977.746840366635</v>
      </c>
      <c r="BW75" s="207">
        <v>108592.87659227524</v>
      </c>
      <c r="BX75" s="207">
        <v>32056.051184232758</v>
      </c>
      <c r="BY75" s="207">
        <v>55307.081604828636</v>
      </c>
      <c r="BZ75" s="207">
        <v>113.58</v>
      </c>
      <c r="CA75" s="207">
        <v>-29233.183312163666</v>
      </c>
      <c r="CB75" s="207">
        <v>5638.364782988625</v>
      </c>
      <c r="CC75" s="207">
        <v>-137526.94948797353</v>
      </c>
      <c r="CD75" s="207">
        <v>0</v>
      </c>
      <c r="CE75" s="207">
        <v>63409.49882340392</v>
      </c>
      <c r="CF75" s="207">
        <v>0</v>
      </c>
      <c r="CG75" s="207">
        <v>-216788.9804402989</v>
      </c>
      <c r="CH75" s="207">
        <v>-207587</v>
      </c>
      <c r="CI75" s="207">
        <v>47577.670000000006</v>
      </c>
      <c r="CJ75" s="207">
        <v>339840.50000000006</v>
      </c>
      <c r="CK75" s="207">
        <v>-292262.8300000001</v>
      </c>
      <c r="CL75" s="207">
        <v>1542320.7029626379</v>
      </c>
      <c r="CM75" s="207">
        <v>1737420.5548274638</v>
      </c>
      <c r="CN75" s="207">
        <v>1274</v>
      </c>
    </row>
    <row r="76" spans="1:92" ht="9.75">
      <c r="A76" s="207">
        <v>232</v>
      </c>
      <c r="B76" s="207" t="s">
        <v>133</v>
      </c>
      <c r="C76" s="207">
        <v>13375</v>
      </c>
      <c r="D76" s="207">
        <v>48461851.84</v>
      </c>
      <c r="E76" s="207">
        <v>21961132.799671475</v>
      </c>
      <c r="F76" s="207">
        <v>2943202.1591925374</v>
      </c>
      <c r="G76" s="207">
        <v>73366186.798864</v>
      </c>
      <c r="H76" s="207">
        <v>3654.72</v>
      </c>
      <c r="I76" s="207">
        <v>48881880</v>
      </c>
      <c r="J76" s="207">
        <v>24484306.798864007</v>
      </c>
      <c r="K76" s="207">
        <v>552821.9327757735</v>
      </c>
      <c r="L76" s="207">
        <v>-2021362.5984888861</v>
      </c>
      <c r="M76" s="207">
        <v>0</v>
      </c>
      <c r="N76" s="207">
        <v>23015766.133150894</v>
      </c>
      <c r="O76" s="207">
        <v>10892768.069827521</v>
      </c>
      <c r="P76" s="207">
        <v>33908534.20297842</v>
      </c>
      <c r="Q76" s="207">
        <v>744</v>
      </c>
      <c r="R76" s="207">
        <v>135</v>
      </c>
      <c r="S76" s="207">
        <v>906</v>
      </c>
      <c r="T76" s="207">
        <v>465</v>
      </c>
      <c r="U76" s="207">
        <v>477</v>
      </c>
      <c r="V76" s="207">
        <v>7140</v>
      </c>
      <c r="W76" s="207">
        <v>2058</v>
      </c>
      <c r="X76" s="207">
        <v>985</v>
      </c>
      <c r="Y76" s="207">
        <v>465</v>
      </c>
      <c r="Z76" s="207">
        <v>37</v>
      </c>
      <c r="AA76" s="207">
        <v>0</v>
      </c>
      <c r="AB76" s="207">
        <v>13032</v>
      </c>
      <c r="AC76" s="207">
        <v>306</v>
      </c>
      <c r="AD76" s="207">
        <v>3508</v>
      </c>
      <c r="AE76" s="480">
        <v>1.3938487726494437</v>
      </c>
      <c r="AF76" s="207">
        <v>21961132.799671475</v>
      </c>
      <c r="AG76" s="175">
        <v>495</v>
      </c>
      <c r="AH76" s="175">
        <v>6055</v>
      </c>
      <c r="AI76" s="175">
        <v>0.8379445686678406</v>
      </c>
      <c r="AJ76" s="175">
        <v>306</v>
      </c>
      <c r="AK76" s="175">
        <v>0.022878504672897197</v>
      </c>
      <c r="AL76" s="175">
        <v>0.0195974255624342</v>
      </c>
      <c r="AM76" s="175">
        <v>0</v>
      </c>
      <c r="AN76" s="175">
        <v>37</v>
      </c>
      <c r="AO76" s="175">
        <v>0</v>
      </c>
      <c r="AP76" s="175">
        <v>0</v>
      </c>
      <c r="AQ76" s="175">
        <v>0</v>
      </c>
      <c r="AR76" s="175">
        <v>1298.98</v>
      </c>
      <c r="AS76" s="175">
        <v>10.29654036243822</v>
      </c>
      <c r="AT76" s="175">
        <v>1.7627787103254877</v>
      </c>
      <c r="AU76" s="175">
        <v>534</v>
      </c>
      <c r="AV76" s="175">
        <v>3818</v>
      </c>
      <c r="AW76" s="175">
        <v>0.13986380303823992</v>
      </c>
      <c r="AX76" s="175">
        <v>0.08440256930875492</v>
      </c>
      <c r="AY76" s="175">
        <v>0</v>
      </c>
      <c r="AZ76" s="207">
        <v>5369</v>
      </c>
      <c r="BA76" s="175">
        <v>5258</v>
      </c>
      <c r="BB76" s="175">
        <v>1.0211106884747052</v>
      </c>
      <c r="BC76" s="175">
        <v>0.6314158410509934</v>
      </c>
      <c r="BD76" s="175">
        <v>0</v>
      </c>
      <c r="BE76" s="175">
        <v>0</v>
      </c>
      <c r="BF76" s="207">
        <v>-85879.09999999999</v>
      </c>
      <c r="BG76" s="207">
        <v>-105069.2</v>
      </c>
      <c r="BH76" s="207">
        <v>-54837.49999999999</v>
      </c>
      <c r="BI76" s="207">
        <v>-227287</v>
      </c>
      <c r="BJ76" s="207">
        <v>0</v>
      </c>
      <c r="BK76" s="207">
        <v>0</v>
      </c>
      <c r="BL76" s="207">
        <v>-121273</v>
      </c>
      <c r="BM76" s="207">
        <v>-610430.6462953696</v>
      </c>
      <c r="BN76" s="207">
        <v>-569240</v>
      </c>
      <c r="BO76" s="207">
        <v>220633.7152224183</v>
      </c>
      <c r="BP76" s="207">
        <v>1348002</v>
      </c>
      <c r="BQ76" s="207">
        <v>442548</v>
      </c>
      <c r="BR76" s="207">
        <v>1109041.4400691977</v>
      </c>
      <c r="BS76" s="207">
        <v>52325.6392268162</v>
      </c>
      <c r="BT76" s="207">
        <v>142064.68655123145</v>
      </c>
      <c r="BU76" s="207">
        <v>519039.0985858991</v>
      </c>
      <c r="BV76" s="207">
        <v>837154.959615151</v>
      </c>
      <c r="BW76" s="207">
        <v>1257961.1728310033</v>
      </c>
      <c r="BX76" s="207">
        <v>390550.8166091616</v>
      </c>
      <c r="BY76" s="207">
        <v>682682.4474769958</v>
      </c>
      <c r="BZ76" s="207">
        <v>1203.75</v>
      </c>
      <c r="CA76" s="207">
        <v>-59106.117415934874</v>
      </c>
      <c r="CB76" s="207">
        <v>41458.347806483434</v>
      </c>
      <c r="CC76" s="207">
        <v>-2021362.5984888861</v>
      </c>
      <c r="CD76" s="207">
        <v>0</v>
      </c>
      <c r="CE76" s="207">
        <v>942314.583544774</v>
      </c>
      <c r="CF76" s="207">
        <v>0</v>
      </c>
      <c r="CG76" s="207">
        <v>10892768.069827521</v>
      </c>
      <c r="CH76" s="207">
        <v>-518770</v>
      </c>
      <c r="CI76" s="207">
        <v>208118.32220000002</v>
      </c>
      <c r="CJ76" s="207">
        <v>281591.83830000006</v>
      </c>
      <c r="CK76" s="207">
        <v>-73473.51610000004</v>
      </c>
      <c r="CL76" s="207">
        <v>33389764.202978417</v>
      </c>
      <c r="CM76" s="207">
        <v>38115171.83337281</v>
      </c>
      <c r="CN76" s="207">
        <v>13610</v>
      </c>
    </row>
    <row r="77" spans="1:92" ht="9.75">
      <c r="A77" s="207">
        <v>233</v>
      </c>
      <c r="B77" s="207" t="s">
        <v>134</v>
      </c>
      <c r="C77" s="207">
        <v>16022</v>
      </c>
      <c r="D77" s="207">
        <v>62283383.59</v>
      </c>
      <c r="E77" s="207">
        <v>24961532.52632706</v>
      </c>
      <c r="F77" s="207">
        <v>3182100.9787387545</v>
      </c>
      <c r="G77" s="207">
        <v>90427017.09506582</v>
      </c>
      <c r="H77" s="207">
        <v>3654.72</v>
      </c>
      <c r="I77" s="207">
        <v>58555923.839999996</v>
      </c>
      <c r="J77" s="207">
        <v>31871093.25506582</v>
      </c>
      <c r="K77" s="207">
        <v>694562.7167329723</v>
      </c>
      <c r="L77" s="207">
        <v>-2680342.3181499247</v>
      </c>
      <c r="M77" s="207">
        <v>0</v>
      </c>
      <c r="N77" s="207">
        <v>29885313.65364887</v>
      </c>
      <c r="O77" s="207">
        <v>12841741.784148347</v>
      </c>
      <c r="P77" s="207">
        <v>42727055.43779722</v>
      </c>
      <c r="Q77" s="207">
        <v>858</v>
      </c>
      <c r="R77" s="207">
        <v>166</v>
      </c>
      <c r="S77" s="207">
        <v>1164</v>
      </c>
      <c r="T77" s="207">
        <v>617</v>
      </c>
      <c r="U77" s="207">
        <v>525</v>
      </c>
      <c r="V77" s="207">
        <v>8239</v>
      </c>
      <c r="W77" s="207">
        <v>2395</v>
      </c>
      <c r="X77" s="207">
        <v>1360</v>
      </c>
      <c r="Y77" s="207">
        <v>698</v>
      </c>
      <c r="Z77" s="207">
        <v>105</v>
      </c>
      <c r="AA77" s="207">
        <v>0</v>
      </c>
      <c r="AB77" s="207">
        <v>15478</v>
      </c>
      <c r="AC77" s="207">
        <v>439</v>
      </c>
      <c r="AD77" s="207">
        <v>4453</v>
      </c>
      <c r="AE77" s="480">
        <v>1.322541253565347</v>
      </c>
      <c r="AF77" s="207">
        <v>24961532.52632706</v>
      </c>
      <c r="AG77" s="175">
        <v>456</v>
      </c>
      <c r="AH77" s="175">
        <v>7096</v>
      </c>
      <c r="AI77" s="175">
        <v>0.6586815134596817</v>
      </c>
      <c r="AJ77" s="175">
        <v>439</v>
      </c>
      <c r="AK77" s="175">
        <v>0.027399825240294596</v>
      </c>
      <c r="AL77" s="175">
        <v>0.0241187461298316</v>
      </c>
      <c r="AM77" s="175">
        <v>0</v>
      </c>
      <c r="AN77" s="175">
        <v>105</v>
      </c>
      <c r="AO77" s="175">
        <v>0</v>
      </c>
      <c r="AP77" s="175">
        <v>0</v>
      </c>
      <c r="AQ77" s="175">
        <v>0</v>
      </c>
      <c r="AR77" s="175">
        <v>1313.78</v>
      </c>
      <c r="AS77" s="175">
        <v>12.195344730472378</v>
      </c>
      <c r="AT77" s="175">
        <v>1.4883156271557176</v>
      </c>
      <c r="AU77" s="175">
        <v>580</v>
      </c>
      <c r="AV77" s="175">
        <v>4383</v>
      </c>
      <c r="AW77" s="175">
        <v>0.1323294547113849</v>
      </c>
      <c r="AX77" s="175">
        <v>0.07686822098189991</v>
      </c>
      <c r="AY77" s="175">
        <v>0</v>
      </c>
      <c r="AZ77" s="207">
        <v>6724</v>
      </c>
      <c r="BA77" s="175">
        <v>6392</v>
      </c>
      <c r="BB77" s="175">
        <v>1.0519399249061328</v>
      </c>
      <c r="BC77" s="175">
        <v>0.6622450774824209</v>
      </c>
      <c r="BD77" s="175">
        <v>0</v>
      </c>
      <c r="BE77" s="175">
        <v>0</v>
      </c>
      <c r="BF77" s="207">
        <v>-102714.18</v>
      </c>
      <c r="BG77" s="207">
        <v>-125666.15999999999</v>
      </c>
      <c r="BH77" s="207">
        <v>-65690.2</v>
      </c>
      <c r="BI77" s="207">
        <v>-271842.6</v>
      </c>
      <c r="BJ77" s="207">
        <v>0</v>
      </c>
      <c r="BK77" s="207">
        <v>0</v>
      </c>
      <c r="BL77" s="207">
        <v>-503126</v>
      </c>
      <c r="BM77" s="207">
        <v>-384896.14201207215</v>
      </c>
      <c r="BN77" s="207">
        <v>-681896.3200000001</v>
      </c>
      <c r="BO77" s="207">
        <v>55571.627510622144</v>
      </c>
      <c r="BP77" s="207">
        <v>1591871</v>
      </c>
      <c r="BQ77" s="207">
        <v>502839</v>
      </c>
      <c r="BR77" s="207">
        <v>1326433.255680016</v>
      </c>
      <c r="BS77" s="207">
        <v>67143.61223950218</v>
      </c>
      <c r="BT77" s="207">
        <v>136521.67357738214</v>
      </c>
      <c r="BU77" s="207">
        <v>582007.1615354746</v>
      </c>
      <c r="BV77" s="207">
        <v>978436.1017883895</v>
      </c>
      <c r="BW77" s="207">
        <v>1595489.3984866217</v>
      </c>
      <c r="BX77" s="207">
        <v>447314.7966168502</v>
      </c>
      <c r="BY77" s="207">
        <v>813149.6786126526</v>
      </c>
      <c r="BZ77" s="207">
        <v>1441.98</v>
      </c>
      <c r="CA77" s="207">
        <v>-110289.80364847451</v>
      </c>
      <c r="CB77" s="207">
        <v>-556402.1961378524</v>
      </c>
      <c r="CC77" s="207">
        <v>-2680342.3181499247</v>
      </c>
      <c r="CD77" s="207">
        <v>0</v>
      </c>
      <c r="CE77" s="207">
        <v>1097121.6731470108</v>
      </c>
      <c r="CF77" s="207">
        <v>0</v>
      </c>
      <c r="CG77" s="207">
        <v>12841741.784148347</v>
      </c>
      <c r="CH77" s="207">
        <v>-599749</v>
      </c>
      <c r="CI77" s="207">
        <v>444511.37400000007</v>
      </c>
      <c r="CJ77" s="207">
        <v>96514.70199999999</v>
      </c>
      <c r="CK77" s="207">
        <v>347996.6720000001</v>
      </c>
      <c r="CL77" s="207">
        <v>42127306.43779722</v>
      </c>
      <c r="CM77" s="207">
        <v>48832491.47321927</v>
      </c>
      <c r="CN77" s="207">
        <v>16278</v>
      </c>
    </row>
    <row r="78" spans="1:92" ht="9.75">
      <c r="A78" s="207">
        <v>235</v>
      </c>
      <c r="B78" s="207" t="s">
        <v>135</v>
      </c>
      <c r="C78" s="207">
        <v>9615</v>
      </c>
      <c r="D78" s="207">
        <v>36237996.730000004</v>
      </c>
      <c r="E78" s="207">
        <v>7957569.609937695</v>
      </c>
      <c r="F78" s="207">
        <v>3070339.798474861</v>
      </c>
      <c r="G78" s="207">
        <v>47265906.138412565</v>
      </c>
      <c r="H78" s="207">
        <v>3654.72</v>
      </c>
      <c r="I78" s="207">
        <v>35140132.8</v>
      </c>
      <c r="J78" s="207">
        <v>12125773.338412568</v>
      </c>
      <c r="K78" s="207">
        <v>106088.333887129</v>
      </c>
      <c r="L78" s="207">
        <v>-1838537.3479897436</v>
      </c>
      <c r="M78" s="207">
        <v>0</v>
      </c>
      <c r="N78" s="207">
        <v>10393324.324309953</v>
      </c>
      <c r="O78" s="207">
        <v>-14247825.988667484</v>
      </c>
      <c r="P78" s="207">
        <v>-3854501.664357532</v>
      </c>
      <c r="Q78" s="207">
        <v>496</v>
      </c>
      <c r="R78" s="207">
        <v>135</v>
      </c>
      <c r="S78" s="207">
        <v>808</v>
      </c>
      <c r="T78" s="207">
        <v>445</v>
      </c>
      <c r="U78" s="207">
        <v>443</v>
      </c>
      <c r="V78" s="207">
        <v>5192</v>
      </c>
      <c r="W78" s="207">
        <v>1059</v>
      </c>
      <c r="X78" s="207">
        <v>763</v>
      </c>
      <c r="Y78" s="207">
        <v>274</v>
      </c>
      <c r="Z78" s="207">
        <v>3202</v>
      </c>
      <c r="AA78" s="207">
        <v>3</v>
      </c>
      <c r="AB78" s="207">
        <v>5675</v>
      </c>
      <c r="AC78" s="207">
        <v>735</v>
      </c>
      <c r="AD78" s="207">
        <v>2096</v>
      </c>
      <c r="AE78" s="480">
        <v>0.7025639594628948</v>
      </c>
      <c r="AF78" s="207">
        <v>7957569.609937695</v>
      </c>
      <c r="AG78" s="175">
        <v>251</v>
      </c>
      <c r="AH78" s="175">
        <v>4297</v>
      </c>
      <c r="AI78" s="175">
        <v>0.5987321881529879</v>
      </c>
      <c r="AJ78" s="175">
        <v>735</v>
      </c>
      <c r="AK78" s="175">
        <v>0.07644305772230889</v>
      </c>
      <c r="AL78" s="175">
        <v>0.0731619786118459</v>
      </c>
      <c r="AM78" s="175">
        <v>1</v>
      </c>
      <c r="AN78" s="175">
        <v>3202</v>
      </c>
      <c r="AO78" s="175">
        <v>3</v>
      </c>
      <c r="AP78" s="175">
        <v>0</v>
      </c>
      <c r="AQ78" s="175">
        <v>0</v>
      </c>
      <c r="AR78" s="175">
        <v>5.89</v>
      </c>
      <c r="AS78" s="175">
        <v>1632.427843803056</v>
      </c>
      <c r="AT78" s="175">
        <v>0.011118728591781446</v>
      </c>
      <c r="AU78" s="175">
        <v>254</v>
      </c>
      <c r="AV78" s="175">
        <v>2998</v>
      </c>
      <c r="AW78" s="175">
        <v>0.0847231487658439</v>
      </c>
      <c r="AX78" s="175">
        <v>0.029261915036358895</v>
      </c>
      <c r="AY78" s="175">
        <v>0</v>
      </c>
      <c r="AZ78" s="207">
        <v>2348</v>
      </c>
      <c r="BA78" s="175">
        <v>4206</v>
      </c>
      <c r="BB78" s="175">
        <v>0.5582501188777936</v>
      </c>
      <c r="BC78" s="175">
        <v>0.16855527145408178</v>
      </c>
      <c r="BD78" s="175">
        <v>0</v>
      </c>
      <c r="BE78" s="175">
        <v>3</v>
      </c>
      <c r="BF78" s="207">
        <v>-60727.439999999995</v>
      </c>
      <c r="BG78" s="207">
        <v>-74297.28</v>
      </c>
      <c r="BH78" s="207">
        <v>-39421.5</v>
      </c>
      <c r="BI78" s="207">
        <v>-160720.8</v>
      </c>
      <c r="BJ78" s="207">
        <v>0</v>
      </c>
      <c r="BK78" s="207">
        <v>0</v>
      </c>
      <c r="BL78" s="207">
        <v>-66218</v>
      </c>
      <c r="BM78" s="207">
        <v>-329237.66813237383</v>
      </c>
      <c r="BN78" s="207">
        <v>-409214.4</v>
      </c>
      <c r="BO78" s="207">
        <v>-383247.70536642754</v>
      </c>
      <c r="BP78" s="207">
        <v>400853</v>
      </c>
      <c r="BQ78" s="207">
        <v>140968</v>
      </c>
      <c r="BR78" s="207">
        <v>243665.55433787196</v>
      </c>
      <c r="BS78" s="207">
        <v>-364.4745045378025</v>
      </c>
      <c r="BT78" s="207">
        <v>-473805.29871285387</v>
      </c>
      <c r="BU78" s="207">
        <v>-38842.97927835519</v>
      </c>
      <c r="BV78" s="207">
        <v>238687.31922770882</v>
      </c>
      <c r="BW78" s="207">
        <v>389412.30320669874</v>
      </c>
      <c r="BX78" s="207">
        <v>143400.37083215994</v>
      </c>
      <c r="BY78" s="207">
        <v>228980.30962155422</v>
      </c>
      <c r="BZ78" s="207">
        <v>865.35</v>
      </c>
      <c r="CA78" s="207">
        <v>-21522.004490942032</v>
      </c>
      <c r="CB78" s="207">
        <v>-470122.3598573696</v>
      </c>
      <c r="CC78" s="207">
        <v>-1838537.3479897436</v>
      </c>
      <c r="CD78" s="207">
        <v>0</v>
      </c>
      <c r="CE78" s="207">
        <v>319679.37208902265</v>
      </c>
      <c r="CF78" s="207">
        <v>0</v>
      </c>
      <c r="CG78" s="207">
        <v>-14247825.988667484</v>
      </c>
      <c r="CH78" s="207">
        <v>2351928</v>
      </c>
      <c r="CI78" s="207">
        <v>3681152.296</v>
      </c>
      <c r="CJ78" s="207">
        <v>1179972.434308</v>
      </c>
      <c r="CK78" s="207">
        <v>2501179.861692</v>
      </c>
      <c r="CL78" s="207">
        <v>-1502573.6643575318</v>
      </c>
      <c r="CM78" s="207">
        <v>-2294351.366732817</v>
      </c>
      <c r="CN78" s="207">
        <v>9624</v>
      </c>
    </row>
    <row r="79" spans="1:92" ht="9.75">
      <c r="A79" s="207">
        <v>236</v>
      </c>
      <c r="B79" s="207" t="s">
        <v>136</v>
      </c>
      <c r="C79" s="207">
        <v>4273</v>
      </c>
      <c r="D79" s="207">
        <v>16006372.499999998</v>
      </c>
      <c r="E79" s="207">
        <v>5212027.203137017</v>
      </c>
      <c r="F79" s="207">
        <v>758484.0155828254</v>
      </c>
      <c r="G79" s="207">
        <v>21976883.71871984</v>
      </c>
      <c r="H79" s="207">
        <v>3654.72</v>
      </c>
      <c r="I79" s="207">
        <v>15616618.559999999</v>
      </c>
      <c r="J79" s="207">
        <v>6360265.158719841</v>
      </c>
      <c r="K79" s="207">
        <v>207460.63481293322</v>
      </c>
      <c r="L79" s="207">
        <v>-517553.28258959675</v>
      </c>
      <c r="M79" s="207">
        <v>0</v>
      </c>
      <c r="N79" s="207">
        <v>6050172.510943178</v>
      </c>
      <c r="O79" s="207">
        <v>3295487.503606197</v>
      </c>
      <c r="P79" s="207">
        <v>9345660.014549375</v>
      </c>
      <c r="Q79" s="207">
        <v>311</v>
      </c>
      <c r="R79" s="207">
        <v>66</v>
      </c>
      <c r="S79" s="207">
        <v>334</v>
      </c>
      <c r="T79" s="207">
        <v>159</v>
      </c>
      <c r="U79" s="207">
        <v>140</v>
      </c>
      <c r="V79" s="207">
        <v>2298</v>
      </c>
      <c r="W79" s="207">
        <v>535</v>
      </c>
      <c r="X79" s="207">
        <v>304</v>
      </c>
      <c r="Y79" s="207">
        <v>126</v>
      </c>
      <c r="Z79" s="207">
        <v>87</v>
      </c>
      <c r="AA79" s="207">
        <v>1</v>
      </c>
      <c r="AB79" s="207">
        <v>4098</v>
      </c>
      <c r="AC79" s="207">
        <v>87</v>
      </c>
      <c r="AD79" s="207">
        <v>965</v>
      </c>
      <c r="AE79" s="480">
        <v>1.035448469450857</v>
      </c>
      <c r="AF79" s="207">
        <v>5212027.203137017</v>
      </c>
      <c r="AG79" s="175">
        <v>136</v>
      </c>
      <c r="AH79" s="175">
        <v>2034</v>
      </c>
      <c r="AI79" s="175">
        <v>0.6853496552611597</v>
      </c>
      <c r="AJ79" s="175">
        <v>87</v>
      </c>
      <c r="AK79" s="175">
        <v>0.020360402527498246</v>
      </c>
      <c r="AL79" s="175">
        <v>0.01707932341703525</v>
      </c>
      <c r="AM79" s="175">
        <v>0</v>
      </c>
      <c r="AN79" s="175">
        <v>87</v>
      </c>
      <c r="AO79" s="175">
        <v>1</v>
      </c>
      <c r="AP79" s="175">
        <v>0</v>
      </c>
      <c r="AQ79" s="175">
        <v>0</v>
      </c>
      <c r="AR79" s="175">
        <v>353.97</v>
      </c>
      <c r="AS79" s="175">
        <v>12.071644489646014</v>
      </c>
      <c r="AT79" s="175">
        <v>1.5035666562646939</v>
      </c>
      <c r="AU79" s="175">
        <v>139</v>
      </c>
      <c r="AV79" s="175">
        <v>1297</v>
      </c>
      <c r="AW79" s="175">
        <v>0.10717039321511179</v>
      </c>
      <c r="AX79" s="175">
        <v>0.051709159485626786</v>
      </c>
      <c r="AY79" s="175">
        <v>0.0744</v>
      </c>
      <c r="AZ79" s="207">
        <v>1706</v>
      </c>
      <c r="BA79" s="175">
        <v>1925</v>
      </c>
      <c r="BB79" s="175">
        <v>0.8862337662337663</v>
      </c>
      <c r="BC79" s="175">
        <v>0.4965389188100544</v>
      </c>
      <c r="BD79" s="175">
        <v>0</v>
      </c>
      <c r="BE79" s="175">
        <v>1</v>
      </c>
      <c r="BF79" s="207">
        <v>-27189.789999999997</v>
      </c>
      <c r="BG79" s="207">
        <v>-33265.479999999996</v>
      </c>
      <c r="BH79" s="207">
        <v>-17519.3</v>
      </c>
      <c r="BI79" s="207">
        <v>-71960.3</v>
      </c>
      <c r="BJ79" s="207">
        <v>0</v>
      </c>
      <c r="BK79" s="207">
        <v>0</v>
      </c>
      <c r="BL79" s="207">
        <v>-23093</v>
      </c>
      <c r="BM79" s="207">
        <v>1432.9450479651277</v>
      </c>
      <c r="BN79" s="207">
        <v>-181858.88</v>
      </c>
      <c r="BO79" s="207">
        <v>2179.703014673665</v>
      </c>
      <c r="BP79" s="207">
        <v>368269</v>
      </c>
      <c r="BQ79" s="207">
        <v>129763</v>
      </c>
      <c r="BR79" s="207">
        <v>323098.58050311817</v>
      </c>
      <c r="BS79" s="207">
        <v>16486.611000444092</v>
      </c>
      <c r="BT79" s="207">
        <v>25574.44655187277</v>
      </c>
      <c r="BU79" s="207">
        <v>131319.51174693956</v>
      </c>
      <c r="BV79" s="207">
        <v>267335.263164313</v>
      </c>
      <c r="BW79" s="207">
        <v>419922.6771925664</v>
      </c>
      <c r="BX79" s="207">
        <v>132581.03671430607</v>
      </c>
      <c r="BY79" s="207">
        <v>210045.2528847184</v>
      </c>
      <c r="BZ79" s="207">
        <v>384.57</v>
      </c>
      <c r="CA79" s="207">
        <v>-35653.57065223552</v>
      </c>
      <c r="CB79" s="207">
        <v>-56182.29763756185</v>
      </c>
      <c r="CC79" s="207">
        <v>-517553.28258959675</v>
      </c>
      <c r="CD79" s="207">
        <v>0</v>
      </c>
      <c r="CE79" s="207">
        <v>289368.6982293134</v>
      </c>
      <c r="CF79" s="207">
        <v>0</v>
      </c>
      <c r="CG79" s="207">
        <v>3295487.503606197</v>
      </c>
      <c r="CH79" s="207">
        <v>905768</v>
      </c>
      <c r="CI79" s="207">
        <v>205331.63009999998</v>
      </c>
      <c r="CJ79" s="207">
        <v>74832.87809999999</v>
      </c>
      <c r="CK79" s="207">
        <v>130498.752</v>
      </c>
      <c r="CL79" s="207">
        <v>10251428.014549375</v>
      </c>
      <c r="CM79" s="207">
        <v>10851994.034922075</v>
      </c>
      <c r="CN79" s="207">
        <v>4309</v>
      </c>
    </row>
    <row r="80" spans="1:92" ht="9.75">
      <c r="A80" s="207">
        <v>239</v>
      </c>
      <c r="B80" s="207" t="s">
        <v>137</v>
      </c>
      <c r="C80" s="207">
        <v>2244</v>
      </c>
      <c r="D80" s="207">
        <v>8092622.26</v>
      </c>
      <c r="E80" s="207">
        <v>4231166.451557656</v>
      </c>
      <c r="F80" s="207">
        <v>727561.2037513199</v>
      </c>
      <c r="G80" s="207">
        <v>13051349.915308977</v>
      </c>
      <c r="H80" s="207">
        <v>3654.72</v>
      </c>
      <c r="I80" s="207">
        <v>8201191.68</v>
      </c>
      <c r="J80" s="207">
        <v>4850158.235308977</v>
      </c>
      <c r="K80" s="207">
        <v>894527.1106940093</v>
      </c>
      <c r="L80" s="207">
        <v>-332468.62589143816</v>
      </c>
      <c r="M80" s="207">
        <v>0</v>
      </c>
      <c r="N80" s="207">
        <v>5412216.720111549</v>
      </c>
      <c r="O80" s="207">
        <v>1965502.0222153105</v>
      </c>
      <c r="P80" s="207">
        <v>7377718.742326859</v>
      </c>
      <c r="Q80" s="207">
        <v>97</v>
      </c>
      <c r="R80" s="207">
        <v>18</v>
      </c>
      <c r="S80" s="207">
        <v>102</v>
      </c>
      <c r="T80" s="207">
        <v>64</v>
      </c>
      <c r="U80" s="207">
        <v>64</v>
      </c>
      <c r="V80" s="207">
        <v>1134</v>
      </c>
      <c r="W80" s="207">
        <v>446</v>
      </c>
      <c r="X80" s="207">
        <v>219</v>
      </c>
      <c r="Y80" s="207">
        <v>100</v>
      </c>
      <c r="Z80" s="207">
        <v>3</v>
      </c>
      <c r="AA80" s="207">
        <v>0</v>
      </c>
      <c r="AB80" s="207">
        <v>2203</v>
      </c>
      <c r="AC80" s="207">
        <v>38</v>
      </c>
      <c r="AD80" s="207">
        <v>765</v>
      </c>
      <c r="AE80" s="480">
        <v>1.600633741120504</v>
      </c>
      <c r="AF80" s="207">
        <v>4231166.451557656</v>
      </c>
      <c r="AG80" s="175">
        <v>86</v>
      </c>
      <c r="AH80" s="175">
        <v>941</v>
      </c>
      <c r="AI80" s="175">
        <v>0.9367701998570286</v>
      </c>
      <c r="AJ80" s="175">
        <v>38</v>
      </c>
      <c r="AK80" s="175">
        <v>0.01693404634581105</v>
      </c>
      <c r="AL80" s="175">
        <v>0.013652967235348056</v>
      </c>
      <c r="AM80" s="175">
        <v>0</v>
      </c>
      <c r="AN80" s="175">
        <v>3</v>
      </c>
      <c r="AO80" s="175">
        <v>0</v>
      </c>
      <c r="AP80" s="175">
        <v>0</v>
      </c>
      <c r="AQ80" s="175">
        <v>0</v>
      </c>
      <c r="AR80" s="175">
        <v>482.91</v>
      </c>
      <c r="AS80" s="175">
        <v>4.646828601602783</v>
      </c>
      <c r="AT80" s="175">
        <v>3.906002070886088</v>
      </c>
      <c r="AU80" s="175">
        <v>102</v>
      </c>
      <c r="AV80" s="175">
        <v>529</v>
      </c>
      <c r="AW80" s="175">
        <v>0.19281663516068054</v>
      </c>
      <c r="AX80" s="175">
        <v>0.13735540143119554</v>
      </c>
      <c r="AY80" s="175">
        <v>1.0552833333333334</v>
      </c>
      <c r="AZ80" s="207">
        <v>1036</v>
      </c>
      <c r="BA80" s="175">
        <v>820</v>
      </c>
      <c r="BB80" s="175">
        <v>1.2634146341463415</v>
      </c>
      <c r="BC80" s="175">
        <v>0.8737197867226296</v>
      </c>
      <c r="BD80" s="175">
        <v>0</v>
      </c>
      <c r="BE80" s="175">
        <v>0</v>
      </c>
      <c r="BF80" s="207">
        <v>-14569.789999999999</v>
      </c>
      <c r="BG80" s="207">
        <v>-17825.48</v>
      </c>
      <c r="BH80" s="207">
        <v>-9200.4</v>
      </c>
      <c r="BI80" s="207">
        <v>-38560.299999999996</v>
      </c>
      <c r="BJ80" s="207">
        <v>0</v>
      </c>
      <c r="BK80" s="207">
        <v>0</v>
      </c>
      <c r="BL80" s="207">
        <v>21867</v>
      </c>
      <c r="BM80" s="207">
        <v>-24919.09811973141</v>
      </c>
      <c r="BN80" s="207">
        <v>-95504.64</v>
      </c>
      <c r="BO80" s="207">
        <v>-73467.48825489823</v>
      </c>
      <c r="BP80" s="207">
        <v>226638</v>
      </c>
      <c r="BQ80" s="207">
        <v>72396</v>
      </c>
      <c r="BR80" s="207">
        <v>170170.74847539567</v>
      </c>
      <c r="BS80" s="207">
        <v>10042.96654919932</v>
      </c>
      <c r="BT80" s="207">
        <v>29392.02557690102</v>
      </c>
      <c r="BU80" s="207">
        <v>99747.90671494628</v>
      </c>
      <c r="BV80" s="207">
        <v>133009.6078486712</v>
      </c>
      <c r="BW80" s="207">
        <v>219225.60271605232</v>
      </c>
      <c r="BX80" s="207">
        <v>64395.621196392836</v>
      </c>
      <c r="BY80" s="207">
        <v>112596.59676961876</v>
      </c>
      <c r="BZ80" s="207">
        <v>201.95999999999998</v>
      </c>
      <c r="CA80" s="207">
        <v>-11689.349516808481</v>
      </c>
      <c r="CB80" s="207">
        <v>-63087.87777170671</v>
      </c>
      <c r="CC80" s="207">
        <v>-332468.62589143816</v>
      </c>
      <c r="CD80" s="207">
        <v>0</v>
      </c>
      <c r="CE80" s="207">
        <v>158375.81928912736</v>
      </c>
      <c r="CF80" s="207">
        <v>0</v>
      </c>
      <c r="CG80" s="207">
        <v>1965502.0222153105</v>
      </c>
      <c r="CH80" s="207">
        <v>-466039</v>
      </c>
      <c r="CI80" s="207">
        <v>77551.6021</v>
      </c>
      <c r="CJ80" s="207">
        <v>17263.8974</v>
      </c>
      <c r="CK80" s="207">
        <v>60287.7047</v>
      </c>
      <c r="CL80" s="207">
        <v>6911679.742326859</v>
      </c>
      <c r="CM80" s="207">
        <v>8058417.173075441</v>
      </c>
      <c r="CN80" s="207">
        <v>2309</v>
      </c>
    </row>
    <row r="81" spans="1:92" ht="9.75">
      <c r="A81" s="207">
        <v>240</v>
      </c>
      <c r="B81" s="207" t="s">
        <v>138</v>
      </c>
      <c r="C81" s="207">
        <v>21021</v>
      </c>
      <c r="D81" s="207">
        <v>74013774.24</v>
      </c>
      <c r="E81" s="207">
        <v>32881997.83583915</v>
      </c>
      <c r="F81" s="207">
        <v>5583440.377576137</v>
      </c>
      <c r="G81" s="207">
        <v>112479212.45341529</v>
      </c>
      <c r="H81" s="207">
        <v>3654.72</v>
      </c>
      <c r="I81" s="207">
        <v>76825869.11999999</v>
      </c>
      <c r="J81" s="207">
        <v>35653343.3334153</v>
      </c>
      <c r="K81" s="207">
        <v>1176757.8027568834</v>
      </c>
      <c r="L81" s="207">
        <v>-3576749.1831736555</v>
      </c>
      <c r="M81" s="207">
        <v>0</v>
      </c>
      <c r="N81" s="207">
        <v>33253351.952998526</v>
      </c>
      <c r="O81" s="207">
        <v>4368155.980256726</v>
      </c>
      <c r="P81" s="207">
        <v>37621507.933255255</v>
      </c>
      <c r="Q81" s="207">
        <v>1097</v>
      </c>
      <c r="R81" s="207">
        <v>218</v>
      </c>
      <c r="S81" s="207">
        <v>1361</v>
      </c>
      <c r="T81" s="207">
        <v>610</v>
      </c>
      <c r="U81" s="207">
        <v>629</v>
      </c>
      <c r="V81" s="207">
        <v>11562</v>
      </c>
      <c r="W81" s="207">
        <v>3126</v>
      </c>
      <c r="X81" s="207">
        <v>1684</v>
      </c>
      <c r="Y81" s="207">
        <v>734</v>
      </c>
      <c r="Z81" s="207">
        <v>28</v>
      </c>
      <c r="AA81" s="207">
        <v>4</v>
      </c>
      <c r="AB81" s="207">
        <v>19982</v>
      </c>
      <c r="AC81" s="207">
        <v>1007</v>
      </c>
      <c r="AD81" s="207">
        <v>5544</v>
      </c>
      <c r="AE81" s="480">
        <v>1.3278821524436897</v>
      </c>
      <c r="AF81" s="207">
        <v>32881997.83583915</v>
      </c>
      <c r="AG81" s="175">
        <v>1343</v>
      </c>
      <c r="AH81" s="175">
        <v>9033</v>
      </c>
      <c r="AI81" s="175">
        <v>1.5239413083318762</v>
      </c>
      <c r="AJ81" s="175">
        <v>1007</v>
      </c>
      <c r="AK81" s="175">
        <v>0.047904476475905046</v>
      </c>
      <c r="AL81" s="175">
        <v>0.04462339736544205</v>
      </c>
      <c r="AM81" s="175">
        <v>0</v>
      </c>
      <c r="AN81" s="175">
        <v>28</v>
      </c>
      <c r="AO81" s="175">
        <v>4</v>
      </c>
      <c r="AP81" s="175">
        <v>0</v>
      </c>
      <c r="AQ81" s="175">
        <v>0</v>
      </c>
      <c r="AR81" s="175">
        <v>95.37</v>
      </c>
      <c r="AS81" s="175">
        <v>220.4152249134948</v>
      </c>
      <c r="AT81" s="175">
        <v>0.08234695288420578</v>
      </c>
      <c r="AU81" s="175">
        <v>811</v>
      </c>
      <c r="AV81" s="175">
        <v>5784</v>
      </c>
      <c r="AW81" s="175">
        <v>0.14021438450899032</v>
      </c>
      <c r="AX81" s="175">
        <v>0.08475315077950532</v>
      </c>
      <c r="AY81" s="175">
        <v>0.009416666666666667</v>
      </c>
      <c r="AZ81" s="207">
        <v>8872</v>
      </c>
      <c r="BA81" s="175">
        <v>7309</v>
      </c>
      <c r="BB81" s="175">
        <v>1.2138459433575044</v>
      </c>
      <c r="BC81" s="175">
        <v>0.8241510959337925</v>
      </c>
      <c r="BD81" s="175">
        <v>0</v>
      </c>
      <c r="BE81" s="175">
        <v>4</v>
      </c>
      <c r="BF81" s="207">
        <v>-134125.36</v>
      </c>
      <c r="BG81" s="207">
        <v>-164096.32</v>
      </c>
      <c r="BH81" s="207">
        <v>-86186.09999999999</v>
      </c>
      <c r="BI81" s="207">
        <v>-354975.2</v>
      </c>
      <c r="BJ81" s="207">
        <v>0</v>
      </c>
      <c r="BK81" s="207">
        <v>0</v>
      </c>
      <c r="BL81" s="207">
        <v>232014</v>
      </c>
      <c r="BM81" s="207">
        <v>-1207911.4044549225</v>
      </c>
      <c r="BN81" s="207">
        <v>-894653.76</v>
      </c>
      <c r="BO81" s="207">
        <v>-426000.6102620363</v>
      </c>
      <c r="BP81" s="207">
        <v>1605369</v>
      </c>
      <c r="BQ81" s="207">
        <v>494139</v>
      </c>
      <c r="BR81" s="207">
        <v>1234156.566630016</v>
      </c>
      <c r="BS81" s="207">
        <v>53563.42652370573</v>
      </c>
      <c r="BT81" s="207">
        <v>235749.92125511618</v>
      </c>
      <c r="BU81" s="207">
        <v>637343.6350922355</v>
      </c>
      <c r="BV81" s="207">
        <v>895758.6547334746</v>
      </c>
      <c r="BW81" s="207">
        <v>1519158.180637742</v>
      </c>
      <c r="BX81" s="207">
        <v>410155.71480379323</v>
      </c>
      <c r="BY81" s="207">
        <v>830678.3206041255</v>
      </c>
      <c r="BZ81" s="207">
        <v>1891.8899999999999</v>
      </c>
      <c r="CA81" s="207">
        <v>101797.54154330323</v>
      </c>
      <c r="CB81" s="207">
        <v>-90297.17871873308</v>
      </c>
      <c r="CC81" s="207">
        <v>-3576749.1831736555</v>
      </c>
      <c r="CD81" s="207">
        <v>0</v>
      </c>
      <c r="CE81" s="207">
        <v>1037051.0910106816</v>
      </c>
      <c r="CF81" s="207">
        <v>0</v>
      </c>
      <c r="CG81" s="207">
        <v>4368155.980256726</v>
      </c>
      <c r="CH81" s="207">
        <v>1465218</v>
      </c>
      <c r="CI81" s="207">
        <v>145587.6702</v>
      </c>
      <c r="CJ81" s="207">
        <v>264477.47072</v>
      </c>
      <c r="CK81" s="207">
        <v>-118889.80051999999</v>
      </c>
      <c r="CL81" s="207">
        <v>39086725.933255255</v>
      </c>
      <c r="CM81" s="207">
        <v>43256041.94261847</v>
      </c>
      <c r="CN81" s="207">
        <v>21256</v>
      </c>
    </row>
    <row r="82" spans="1:92" ht="9.75">
      <c r="A82" s="207">
        <v>320</v>
      </c>
      <c r="B82" s="207" t="s">
        <v>139</v>
      </c>
      <c r="C82" s="207">
        <v>7370</v>
      </c>
      <c r="D82" s="207">
        <v>26707926.92</v>
      </c>
      <c r="E82" s="207">
        <v>12310820.54239987</v>
      </c>
      <c r="F82" s="207">
        <v>3739240.2313940497</v>
      </c>
      <c r="G82" s="207">
        <v>42757987.69379392</v>
      </c>
      <c r="H82" s="207">
        <v>3654.72</v>
      </c>
      <c r="I82" s="207">
        <v>26935286.4</v>
      </c>
      <c r="J82" s="207">
        <v>15822701.293793924</v>
      </c>
      <c r="K82" s="207">
        <v>3494057.0498708636</v>
      </c>
      <c r="L82" s="207">
        <v>-594155.3927796755</v>
      </c>
      <c r="M82" s="207">
        <v>0</v>
      </c>
      <c r="N82" s="207">
        <v>18722602.950885113</v>
      </c>
      <c r="O82" s="207">
        <v>4514833.112916057</v>
      </c>
      <c r="P82" s="207">
        <v>23237436.06380117</v>
      </c>
      <c r="Q82" s="207">
        <v>247</v>
      </c>
      <c r="R82" s="207">
        <v>43</v>
      </c>
      <c r="S82" s="207">
        <v>320</v>
      </c>
      <c r="T82" s="207">
        <v>169</v>
      </c>
      <c r="U82" s="207">
        <v>182</v>
      </c>
      <c r="V82" s="207">
        <v>3619</v>
      </c>
      <c r="W82" s="207">
        <v>1497</v>
      </c>
      <c r="X82" s="207">
        <v>942</v>
      </c>
      <c r="Y82" s="207">
        <v>351</v>
      </c>
      <c r="Z82" s="207">
        <v>1</v>
      </c>
      <c r="AA82" s="207">
        <v>1</v>
      </c>
      <c r="AB82" s="207">
        <v>7272</v>
      </c>
      <c r="AC82" s="207">
        <v>96</v>
      </c>
      <c r="AD82" s="207">
        <v>2790</v>
      </c>
      <c r="AE82" s="480">
        <v>1.4179934417739828</v>
      </c>
      <c r="AF82" s="207">
        <v>12310820.54239987</v>
      </c>
      <c r="AG82" s="175">
        <v>395</v>
      </c>
      <c r="AH82" s="175">
        <v>3034</v>
      </c>
      <c r="AI82" s="175">
        <v>1.3344606070574507</v>
      </c>
      <c r="AJ82" s="175">
        <v>96</v>
      </c>
      <c r="AK82" s="175">
        <v>0.013025780189959294</v>
      </c>
      <c r="AL82" s="175">
        <v>0.009744701079496296</v>
      </c>
      <c r="AM82" s="175">
        <v>0</v>
      </c>
      <c r="AN82" s="175">
        <v>1</v>
      </c>
      <c r="AO82" s="175">
        <v>1</v>
      </c>
      <c r="AP82" s="175">
        <v>0</v>
      </c>
      <c r="AQ82" s="175">
        <v>0</v>
      </c>
      <c r="AR82" s="175">
        <v>3504.13</v>
      </c>
      <c r="AS82" s="175">
        <v>2.103232471398036</v>
      </c>
      <c r="AT82" s="175">
        <v>8.629822136992956</v>
      </c>
      <c r="AU82" s="175">
        <v>183</v>
      </c>
      <c r="AV82" s="175">
        <v>1675</v>
      </c>
      <c r="AW82" s="175">
        <v>0.10925373134328359</v>
      </c>
      <c r="AX82" s="175">
        <v>0.05379249761379858</v>
      </c>
      <c r="AY82" s="175">
        <v>1.35585</v>
      </c>
      <c r="AZ82" s="207">
        <v>2279</v>
      </c>
      <c r="BA82" s="175">
        <v>2449</v>
      </c>
      <c r="BB82" s="175">
        <v>0.930583911800735</v>
      </c>
      <c r="BC82" s="175">
        <v>0.5408890643770231</v>
      </c>
      <c r="BD82" s="175">
        <v>0</v>
      </c>
      <c r="BE82" s="175">
        <v>1</v>
      </c>
      <c r="BF82" s="207">
        <v>-47539.53999999999</v>
      </c>
      <c r="BG82" s="207">
        <v>-58162.479999999996</v>
      </c>
      <c r="BH82" s="207">
        <v>-30216.999999999996</v>
      </c>
      <c r="BI82" s="207">
        <v>-125817.79999999999</v>
      </c>
      <c r="BJ82" s="207">
        <v>0</v>
      </c>
      <c r="BK82" s="207">
        <v>0</v>
      </c>
      <c r="BL82" s="207">
        <v>102751</v>
      </c>
      <c r="BM82" s="207">
        <v>-130006.33457491157</v>
      </c>
      <c r="BN82" s="207">
        <v>-313667.2</v>
      </c>
      <c r="BO82" s="207">
        <v>174912.97830431908</v>
      </c>
      <c r="BP82" s="207">
        <v>624747</v>
      </c>
      <c r="BQ82" s="207">
        <v>198738</v>
      </c>
      <c r="BR82" s="207">
        <v>550889.8707620313</v>
      </c>
      <c r="BS82" s="207">
        <v>29937.85605730105</v>
      </c>
      <c r="BT82" s="207">
        <v>97572.5961422533</v>
      </c>
      <c r="BU82" s="207">
        <v>274827.84891011514</v>
      </c>
      <c r="BV82" s="207">
        <v>359242.98619109433</v>
      </c>
      <c r="BW82" s="207">
        <v>642421.5521444445</v>
      </c>
      <c r="BX82" s="207">
        <v>183262.9981099569</v>
      </c>
      <c r="BY82" s="207">
        <v>335096.77977004676</v>
      </c>
      <c r="BZ82" s="207">
        <v>663.3</v>
      </c>
      <c r="CA82" s="207">
        <v>58891.88349091692</v>
      </c>
      <c r="CB82" s="207">
        <v>337219.161795236</v>
      </c>
      <c r="CC82" s="207">
        <v>-594155.3927796755</v>
      </c>
      <c r="CD82" s="207">
        <v>0</v>
      </c>
      <c r="CE82" s="207">
        <v>420631.1405987296</v>
      </c>
      <c r="CF82" s="207">
        <v>0</v>
      </c>
      <c r="CG82" s="207">
        <v>4514833.112916057</v>
      </c>
      <c r="CH82" s="207">
        <v>-480771</v>
      </c>
      <c r="CI82" s="207">
        <v>43567.5521</v>
      </c>
      <c r="CJ82" s="207">
        <v>177736.5815</v>
      </c>
      <c r="CK82" s="207">
        <v>-134169.0294</v>
      </c>
      <c r="CL82" s="207">
        <v>22756665.06380117</v>
      </c>
      <c r="CM82" s="207">
        <v>24899080.660731804</v>
      </c>
      <c r="CN82" s="207">
        <v>7534</v>
      </c>
    </row>
    <row r="83" spans="1:92" ht="9.75">
      <c r="A83" s="207">
        <v>241</v>
      </c>
      <c r="B83" s="207" t="s">
        <v>140</v>
      </c>
      <c r="C83" s="207">
        <v>8147</v>
      </c>
      <c r="D83" s="207">
        <v>28950738.950000003</v>
      </c>
      <c r="E83" s="207">
        <v>9838931.046059823</v>
      </c>
      <c r="F83" s="207">
        <v>1386702.6723885825</v>
      </c>
      <c r="G83" s="207">
        <v>40176372.66844841</v>
      </c>
      <c r="H83" s="207">
        <v>3654.72</v>
      </c>
      <c r="I83" s="207">
        <v>29775003.84</v>
      </c>
      <c r="J83" s="207">
        <v>10401368.828448411</v>
      </c>
      <c r="K83" s="207">
        <v>228989.59071337528</v>
      </c>
      <c r="L83" s="207">
        <v>-849417.3965169796</v>
      </c>
      <c r="M83" s="207">
        <v>0</v>
      </c>
      <c r="N83" s="207">
        <v>9780941.022644809</v>
      </c>
      <c r="O83" s="207">
        <v>1379382.772018155</v>
      </c>
      <c r="P83" s="207">
        <v>11160323.794662964</v>
      </c>
      <c r="Q83" s="207">
        <v>498</v>
      </c>
      <c r="R83" s="207">
        <v>95</v>
      </c>
      <c r="S83" s="207">
        <v>600</v>
      </c>
      <c r="T83" s="207">
        <v>314</v>
      </c>
      <c r="U83" s="207">
        <v>298</v>
      </c>
      <c r="V83" s="207">
        <v>4363</v>
      </c>
      <c r="W83" s="207">
        <v>1231</v>
      </c>
      <c r="X83" s="207">
        <v>542</v>
      </c>
      <c r="Y83" s="207">
        <v>206</v>
      </c>
      <c r="Z83" s="207">
        <v>10</v>
      </c>
      <c r="AA83" s="207">
        <v>1</v>
      </c>
      <c r="AB83" s="207">
        <v>8058</v>
      </c>
      <c r="AC83" s="207">
        <v>78</v>
      </c>
      <c r="AD83" s="207">
        <v>1979</v>
      </c>
      <c r="AE83" s="480">
        <v>1.0251912956449667</v>
      </c>
      <c r="AF83" s="207">
        <v>9838931.046059823</v>
      </c>
      <c r="AG83" s="175">
        <v>363</v>
      </c>
      <c r="AH83" s="175">
        <v>3773</v>
      </c>
      <c r="AI83" s="175">
        <v>0.9861524515614724</v>
      </c>
      <c r="AJ83" s="175">
        <v>78</v>
      </c>
      <c r="AK83" s="175">
        <v>0.00957407634712164</v>
      </c>
      <c r="AL83" s="175">
        <v>0.006292997236658643</v>
      </c>
      <c r="AM83" s="175">
        <v>0</v>
      </c>
      <c r="AN83" s="175">
        <v>10</v>
      </c>
      <c r="AO83" s="175">
        <v>1</v>
      </c>
      <c r="AP83" s="175">
        <v>0</v>
      </c>
      <c r="AQ83" s="175">
        <v>0</v>
      </c>
      <c r="AR83" s="175">
        <v>626.35</v>
      </c>
      <c r="AS83" s="175">
        <v>13.007104653947472</v>
      </c>
      <c r="AT83" s="175">
        <v>1.3954313910594045</v>
      </c>
      <c r="AU83" s="175">
        <v>203</v>
      </c>
      <c r="AV83" s="175">
        <v>2399</v>
      </c>
      <c r="AW83" s="175">
        <v>0.0846185910796165</v>
      </c>
      <c r="AX83" s="175">
        <v>0.029157357350131495</v>
      </c>
      <c r="AY83" s="175">
        <v>0.0081</v>
      </c>
      <c r="AZ83" s="207">
        <v>2622</v>
      </c>
      <c r="BA83" s="175">
        <v>3309</v>
      </c>
      <c r="BB83" s="175">
        <v>0.7923844061650045</v>
      </c>
      <c r="BC83" s="175">
        <v>0.40268955874129264</v>
      </c>
      <c r="BD83" s="175">
        <v>0</v>
      </c>
      <c r="BE83" s="175">
        <v>1</v>
      </c>
      <c r="BF83" s="207">
        <v>-52347.759999999995</v>
      </c>
      <c r="BG83" s="207">
        <v>-64045.119999999995</v>
      </c>
      <c r="BH83" s="207">
        <v>-33402.7</v>
      </c>
      <c r="BI83" s="207">
        <v>-138543.19999999998</v>
      </c>
      <c r="BJ83" s="207">
        <v>0</v>
      </c>
      <c r="BK83" s="207">
        <v>0</v>
      </c>
      <c r="BL83" s="207">
        <v>199799</v>
      </c>
      <c r="BM83" s="207">
        <v>-142199.42161578278</v>
      </c>
      <c r="BN83" s="207">
        <v>-346736.32</v>
      </c>
      <c r="BO83" s="207">
        <v>-51259.728174733</v>
      </c>
      <c r="BP83" s="207">
        <v>609472</v>
      </c>
      <c r="BQ83" s="207">
        <v>182802</v>
      </c>
      <c r="BR83" s="207">
        <v>410209.6764106429</v>
      </c>
      <c r="BS83" s="207">
        <v>10390.550986583485</v>
      </c>
      <c r="BT83" s="207">
        <v>43911.34983994796</v>
      </c>
      <c r="BU83" s="207">
        <v>190401.23360594365</v>
      </c>
      <c r="BV83" s="207">
        <v>342087.0324152052</v>
      </c>
      <c r="BW83" s="207">
        <v>603978.3826312033</v>
      </c>
      <c r="BX83" s="207">
        <v>150680.27355743415</v>
      </c>
      <c r="BY83" s="207">
        <v>289743.7860859026</v>
      </c>
      <c r="BZ83" s="207">
        <v>733.23</v>
      </c>
      <c r="CA83" s="207">
        <v>28371.6432735361</v>
      </c>
      <c r="CB83" s="207">
        <v>177644.1450988031</v>
      </c>
      <c r="CC83" s="207">
        <v>-849417.3965169796</v>
      </c>
      <c r="CD83" s="207">
        <v>0</v>
      </c>
      <c r="CE83" s="207">
        <v>366354.93560880615</v>
      </c>
      <c r="CF83" s="207">
        <v>0</v>
      </c>
      <c r="CG83" s="207">
        <v>1379382.772018155</v>
      </c>
      <c r="CH83" s="207">
        <v>-675844</v>
      </c>
      <c r="CI83" s="207">
        <v>207982.38600000003</v>
      </c>
      <c r="CJ83" s="207">
        <v>321516.30024000007</v>
      </c>
      <c r="CK83" s="207">
        <v>-113533.91424000004</v>
      </c>
      <c r="CL83" s="207">
        <v>10484479.794662964</v>
      </c>
      <c r="CM83" s="207">
        <v>12763298.268688677</v>
      </c>
      <c r="CN83" s="207">
        <v>8296</v>
      </c>
    </row>
    <row r="84" spans="1:92" ht="9.75">
      <c r="A84" s="207">
        <v>322</v>
      </c>
      <c r="B84" s="207" t="s">
        <v>141</v>
      </c>
      <c r="C84" s="207">
        <v>6724</v>
      </c>
      <c r="D84" s="207">
        <v>25367343.080000002</v>
      </c>
      <c r="E84" s="207">
        <v>8035550.927897411</v>
      </c>
      <c r="F84" s="207">
        <v>5693452.075382445</v>
      </c>
      <c r="G84" s="207">
        <v>39096346.08327986</v>
      </c>
      <c r="H84" s="207">
        <v>3654.72</v>
      </c>
      <c r="I84" s="207">
        <v>24574337.279999997</v>
      </c>
      <c r="J84" s="207">
        <v>14522008.803279866</v>
      </c>
      <c r="K84" s="207">
        <v>718619.0266184702</v>
      </c>
      <c r="L84" s="207">
        <v>-642695.816645043</v>
      </c>
      <c r="M84" s="207">
        <v>0</v>
      </c>
      <c r="N84" s="207">
        <v>14597932.013253292</v>
      </c>
      <c r="O84" s="207">
        <v>5014054.238795863</v>
      </c>
      <c r="P84" s="207">
        <v>19611986.252049156</v>
      </c>
      <c r="Q84" s="207">
        <v>294</v>
      </c>
      <c r="R84" s="207">
        <v>54</v>
      </c>
      <c r="S84" s="207">
        <v>363</v>
      </c>
      <c r="T84" s="207">
        <v>214</v>
      </c>
      <c r="U84" s="207">
        <v>187</v>
      </c>
      <c r="V84" s="207">
        <v>3394</v>
      </c>
      <c r="W84" s="207">
        <v>1225</v>
      </c>
      <c r="X84" s="207">
        <v>664</v>
      </c>
      <c r="Y84" s="207">
        <v>329</v>
      </c>
      <c r="Z84" s="207">
        <v>4604</v>
      </c>
      <c r="AA84" s="207">
        <v>0</v>
      </c>
      <c r="AB84" s="207">
        <v>1898</v>
      </c>
      <c r="AC84" s="207">
        <v>222</v>
      </c>
      <c r="AD84" s="207">
        <v>2218</v>
      </c>
      <c r="AE84" s="480">
        <v>1.0144780685633363</v>
      </c>
      <c r="AF84" s="207">
        <v>8035550.927897411</v>
      </c>
      <c r="AG84" s="175">
        <v>230</v>
      </c>
      <c r="AH84" s="175">
        <v>2854</v>
      </c>
      <c r="AI84" s="175">
        <v>0.8260343473666365</v>
      </c>
      <c r="AJ84" s="175">
        <v>222</v>
      </c>
      <c r="AK84" s="175">
        <v>0.03301606186793575</v>
      </c>
      <c r="AL84" s="175">
        <v>0.029734982757472755</v>
      </c>
      <c r="AM84" s="175">
        <v>3</v>
      </c>
      <c r="AN84" s="175">
        <v>4604</v>
      </c>
      <c r="AO84" s="175">
        <v>0</v>
      </c>
      <c r="AP84" s="175">
        <v>1</v>
      </c>
      <c r="AQ84" s="175">
        <v>0</v>
      </c>
      <c r="AR84" s="175">
        <v>686.84</v>
      </c>
      <c r="AS84" s="175">
        <v>9.789761807699026</v>
      </c>
      <c r="AT84" s="175">
        <v>1.854031027255325</v>
      </c>
      <c r="AU84" s="175">
        <v>332</v>
      </c>
      <c r="AV84" s="175">
        <v>1849</v>
      </c>
      <c r="AW84" s="175">
        <v>0.1795565170362358</v>
      </c>
      <c r="AX84" s="175">
        <v>0.12409528330675079</v>
      </c>
      <c r="AY84" s="175">
        <v>0.3464</v>
      </c>
      <c r="AZ84" s="207">
        <v>2234</v>
      </c>
      <c r="BA84" s="175">
        <v>2536</v>
      </c>
      <c r="BB84" s="175">
        <v>0.8809148264984227</v>
      </c>
      <c r="BC84" s="175">
        <v>0.4912199790747108</v>
      </c>
      <c r="BD84" s="175">
        <v>0</v>
      </c>
      <c r="BE84" s="175">
        <v>0</v>
      </c>
      <c r="BF84" s="207">
        <v>-42863.829999999994</v>
      </c>
      <c r="BG84" s="207">
        <v>-52441.96</v>
      </c>
      <c r="BH84" s="207">
        <v>-27568.399999999998</v>
      </c>
      <c r="BI84" s="207">
        <v>-113443.09999999999</v>
      </c>
      <c r="BJ84" s="207">
        <v>0</v>
      </c>
      <c r="BK84" s="207">
        <v>0</v>
      </c>
      <c r="BL84" s="207">
        <v>-166132</v>
      </c>
      <c r="BM84" s="207">
        <v>-196591.34222923464</v>
      </c>
      <c r="BN84" s="207">
        <v>-286173.44</v>
      </c>
      <c r="BO84" s="207">
        <v>440505.1809879467</v>
      </c>
      <c r="BP84" s="207">
        <v>618448</v>
      </c>
      <c r="BQ84" s="207">
        <v>210429</v>
      </c>
      <c r="BR84" s="207">
        <v>506104.77098058606</v>
      </c>
      <c r="BS84" s="207">
        <v>23784.463471682662</v>
      </c>
      <c r="BT84" s="207">
        <v>39674.23806238849</v>
      </c>
      <c r="BU84" s="207">
        <v>215753.55380291198</v>
      </c>
      <c r="BV84" s="207">
        <v>259976.03473993632</v>
      </c>
      <c r="BW84" s="207">
        <v>608328.9476458203</v>
      </c>
      <c r="BX84" s="207">
        <v>197346.3451692307</v>
      </c>
      <c r="BY84" s="207">
        <v>324896.3452087443</v>
      </c>
      <c r="BZ84" s="207">
        <v>605.16</v>
      </c>
      <c r="CA84" s="207">
        <v>7565.754596244784</v>
      </c>
      <c r="CB84" s="207">
        <v>282544.09558419144</v>
      </c>
      <c r="CC84" s="207">
        <v>-642695.816645043</v>
      </c>
      <c r="CD84" s="207">
        <v>0</v>
      </c>
      <c r="CE84" s="207">
        <v>410485.27131033037</v>
      </c>
      <c r="CF84" s="207">
        <v>0</v>
      </c>
      <c r="CG84" s="207">
        <v>5014054.238795863</v>
      </c>
      <c r="CH84" s="207">
        <v>-459737</v>
      </c>
      <c r="CI84" s="207">
        <v>171347.5801</v>
      </c>
      <c r="CJ84" s="207">
        <v>99301.3941</v>
      </c>
      <c r="CK84" s="207">
        <v>72046.18599999999</v>
      </c>
      <c r="CL84" s="207">
        <v>19152249.252049156</v>
      </c>
      <c r="CM84" s="207">
        <v>21307102.71208089</v>
      </c>
      <c r="CN84" s="207">
        <v>6793</v>
      </c>
    </row>
    <row r="85" spans="1:92" ht="9.75">
      <c r="A85" s="207">
        <v>244</v>
      </c>
      <c r="B85" s="207" t="s">
        <v>142</v>
      </c>
      <c r="C85" s="207">
        <v>17923</v>
      </c>
      <c r="D85" s="207">
        <v>67058333.599999994</v>
      </c>
      <c r="E85" s="207">
        <v>18587835.674393047</v>
      </c>
      <c r="F85" s="207">
        <v>1892481.7881628696</v>
      </c>
      <c r="G85" s="207">
        <v>87538651.06255591</v>
      </c>
      <c r="H85" s="207">
        <v>3654.72</v>
      </c>
      <c r="I85" s="207">
        <v>65503546.559999995</v>
      </c>
      <c r="J85" s="207">
        <v>22035104.502555914</v>
      </c>
      <c r="K85" s="207">
        <v>496707.7605599701</v>
      </c>
      <c r="L85" s="207">
        <v>-2551479.334324948</v>
      </c>
      <c r="M85" s="207">
        <v>0</v>
      </c>
      <c r="N85" s="207">
        <v>19980332.928790934</v>
      </c>
      <c r="O85" s="207">
        <v>2354513.5362854563</v>
      </c>
      <c r="P85" s="207">
        <v>22334846.46507639</v>
      </c>
      <c r="Q85" s="207">
        <v>1560</v>
      </c>
      <c r="R85" s="207">
        <v>314</v>
      </c>
      <c r="S85" s="207">
        <v>1880</v>
      </c>
      <c r="T85" s="207">
        <v>853</v>
      </c>
      <c r="U85" s="207">
        <v>749</v>
      </c>
      <c r="V85" s="207">
        <v>9817</v>
      </c>
      <c r="W85" s="207">
        <v>1641</v>
      </c>
      <c r="X85" s="207">
        <v>896</v>
      </c>
      <c r="Y85" s="207">
        <v>213</v>
      </c>
      <c r="Z85" s="207">
        <v>28</v>
      </c>
      <c r="AA85" s="207">
        <v>8</v>
      </c>
      <c r="AB85" s="207">
        <v>17664</v>
      </c>
      <c r="AC85" s="207">
        <v>223</v>
      </c>
      <c r="AD85" s="207">
        <v>2750</v>
      </c>
      <c r="AE85" s="480">
        <v>0.8803853948319502</v>
      </c>
      <c r="AF85" s="207">
        <v>18587835.674393047</v>
      </c>
      <c r="AG85" s="175">
        <v>702</v>
      </c>
      <c r="AH85" s="175">
        <v>8206</v>
      </c>
      <c r="AI85" s="175">
        <v>0.8768591503692076</v>
      </c>
      <c r="AJ85" s="175">
        <v>223</v>
      </c>
      <c r="AK85" s="175">
        <v>0.012442113485465603</v>
      </c>
      <c r="AL85" s="175">
        <v>0.009161034375002607</v>
      </c>
      <c r="AM85" s="175">
        <v>0</v>
      </c>
      <c r="AN85" s="175">
        <v>28</v>
      </c>
      <c r="AO85" s="175">
        <v>8</v>
      </c>
      <c r="AP85" s="175">
        <v>0</v>
      </c>
      <c r="AQ85" s="175">
        <v>0</v>
      </c>
      <c r="AR85" s="175">
        <v>110.11</v>
      </c>
      <c r="AS85" s="175">
        <v>162.7735900463173</v>
      </c>
      <c r="AT85" s="175">
        <v>0.11150778290107403</v>
      </c>
      <c r="AU85" s="175">
        <v>375</v>
      </c>
      <c r="AV85" s="175">
        <v>6035</v>
      </c>
      <c r="AW85" s="175">
        <v>0.06213753106876554</v>
      </c>
      <c r="AX85" s="175">
        <v>0.006676297339280532</v>
      </c>
      <c r="AY85" s="175">
        <v>0</v>
      </c>
      <c r="AZ85" s="207">
        <v>6089</v>
      </c>
      <c r="BA85" s="175">
        <v>7489</v>
      </c>
      <c r="BB85" s="175">
        <v>0.8130591534250233</v>
      </c>
      <c r="BC85" s="175">
        <v>0.4233643060013115</v>
      </c>
      <c r="BD85" s="175">
        <v>0</v>
      </c>
      <c r="BE85" s="175">
        <v>8</v>
      </c>
      <c r="BF85" s="207">
        <v>-110645.84999999999</v>
      </c>
      <c r="BG85" s="207">
        <v>-135370.19999999998</v>
      </c>
      <c r="BH85" s="207">
        <v>-73484.29999999999</v>
      </c>
      <c r="BI85" s="207">
        <v>-292834.5</v>
      </c>
      <c r="BJ85" s="207">
        <v>0</v>
      </c>
      <c r="BK85" s="207">
        <v>0</v>
      </c>
      <c r="BL85" s="207">
        <v>263490</v>
      </c>
      <c r="BM85" s="207">
        <v>-564943.8998830498</v>
      </c>
      <c r="BN85" s="207">
        <v>-762802.88</v>
      </c>
      <c r="BO85" s="207">
        <v>-424852.51182803884</v>
      </c>
      <c r="BP85" s="207">
        <v>919994</v>
      </c>
      <c r="BQ85" s="207">
        <v>296488</v>
      </c>
      <c r="BR85" s="207">
        <v>624369.9919575528</v>
      </c>
      <c r="BS85" s="207">
        <v>3533.460709059112</v>
      </c>
      <c r="BT85" s="207">
        <v>-19829.64682387213</v>
      </c>
      <c r="BU85" s="207">
        <v>344264.08235237317</v>
      </c>
      <c r="BV85" s="207">
        <v>711241.7854187968</v>
      </c>
      <c r="BW85" s="207">
        <v>1092587.5394141623</v>
      </c>
      <c r="BX85" s="207">
        <v>278912.67665120785</v>
      </c>
      <c r="BY85" s="207">
        <v>571050.6286957175</v>
      </c>
      <c r="BZ85" s="207">
        <v>1613.07</v>
      </c>
      <c r="CA85" s="207">
        <v>97870.91738614051</v>
      </c>
      <c r="CB85" s="207">
        <v>-61878.52444189832</v>
      </c>
      <c r="CC85" s="207">
        <v>-2551479.334324948</v>
      </c>
      <c r="CD85" s="207">
        <v>0</v>
      </c>
      <c r="CE85" s="207">
        <v>719245.3584738622</v>
      </c>
      <c r="CF85" s="207">
        <v>0</v>
      </c>
      <c r="CG85" s="207">
        <v>2354513.5362854563</v>
      </c>
      <c r="CH85" s="207">
        <v>-397046</v>
      </c>
      <c r="CI85" s="207">
        <v>284310.5623</v>
      </c>
      <c r="CJ85" s="207">
        <v>430972.12848</v>
      </c>
      <c r="CK85" s="207">
        <v>-146661.56618000002</v>
      </c>
      <c r="CL85" s="207">
        <v>21937800.46507639</v>
      </c>
      <c r="CM85" s="207">
        <v>23694048.158103794</v>
      </c>
      <c r="CN85" s="207">
        <v>17535</v>
      </c>
    </row>
    <row r="86" spans="1:92" ht="9.75">
      <c r="A86" s="207">
        <v>245</v>
      </c>
      <c r="B86" s="207" t="s">
        <v>143</v>
      </c>
      <c r="C86" s="207">
        <v>36254</v>
      </c>
      <c r="D86" s="207">
        <v>116161181.71</v>
      </c>
      <c r="E86" s="207">
        <v>37420431.09163487</v>
      </c>
      <c r="F86" s="207">
        <v>12505558.522745773</v>
      </c>
      <c r="G86" s="207">
        <v>166087171.32438064</v>
      </c>
      <c r="H86" s="207">
        <v>3654.72</v>
      </c>
      <c r="I86" s="207">
        <v>132498218.88</v>
      </c>
      <c r="J86" s="207">
        <v>33588952.44438064</v>
      </c>
      <c r="K86" s="207">
        <v>788809.0340944753</v>
      </c>
      <c r="L86" s="207">
        <v>-9904969.951800017</v>
      </c>
      <c r="M86" s="207">
        <v>0</v>
      </c>
      <c r="N86" s="207">
        <v>24472791.526675098</v>
      </c>
      <c r="O86" s="207">
        <v>-5051498.445294402</v>
      </c>
      <c r="P86" s="207">
        <v>19421293.081380695</v>
      </c>
      <c r="Q86" s="207">
        <v>2257</v>
      </c>
      <c r="R86" s="207">
        <v>377</v>
      </c>
      <c r="S86" s="207">
        <v>2572</v>
      </c>
      <c r="T86" s="207">
        <v>1194</v>
      </c>
      <c r="U86" s="207">
        <v>1200</v>
      </c>
      <c r="V86" s="207">
        <v>21751</v>
      </c>
      <c r="W86" s="207">
        <v>4362</v>
      </c>
      <c r="X86" s="207">
        <v>1943</v>
      </c>
      <c r="Y86" s="207">
        <v>598</v>
      </c>
      <c r="Z86" s="207">
        <v>465</v>
      </c>
      <c r="AA86" s="207">
        <v>0</v>
      </c>
      <c r="AB86" s="207">
        <v>31897</v>
      </c>
      <c r="AC86" s="207">
        <v>3892</v>
      </c>
      <c r="AD86" s="207">
        <v>6903</v>
      </c>
      <c r="AE86" s="480">
        <v>0.87620870900294</v>
      </c>
      <c r="AF86" s="207">
        <v>37420431.09163487</v>
      </c>
      <c r="AG86" s="175">
        <v>1660</v>
      </c>
      <c r="AH86" s="175">
        <v>18138</v>
      </c>
      <c r="AI86" s="175">
        <v>0.9380865934737236</v>
      </c>
      <c r="AJ86" s="175">
        <v>3892</v>
      </c>
      <c r="AK86" s="175">
        <v>0.10735367131902687</v>
      </c>
      <c r="AL86" s="175">
        <v>0.10407259220856388</v>
      </c>
      <c r="AM86" s="175">
        <v>0</v>
      </c>
      <c r="AN86" s="175">
        <v>465</v>
      </c>
      <c r="AO86" s="175">
        <v>0</v>
      </c>
      <c r="AP86" s="175">
        <v>0</v>
      </c>
      <c r="AQ86" s="175">
        <v>0</v>
      </c>
      <c r="AR86" s="175">
        <v>30.63</v>
      </c>
      <c r="AS86" s="175">
        <v>1183.6108390466864</v>
      </c>
      <c r="AT86" s="175">
        <v>0.015334873205057938</v>
      </c>
      <c r="AU86" s="175">
        <v>2191</v>
      </c>
      <c r="AV86" s="175">
        <v>11902</v>
      </c>
      <c r="AW86" s="175">
        <v>0.18408670811628297</v>
      </c>
      <c r="AX86" s="175">
        <v>0.12862547438679797</v>
      </c>
      <c r="AY86" s="175">
        <v>0</v>
      </c>
      <c r="AZ86" s="207">
        <v>11741</v>
      </c>
      <c r="BA86" s="175">
        <v>16260</v>
      </c>
      <c r="BB86" s="175">
        <v>0.7220787207872079</v>
      </c>
      <c r="BC86" s="175">
        <v>0.33238387336349606</v>
      </c>
      <c r="BD86" s="175">
        <v>0</v>
      </c>
      <c r="BE86" s="175">
        <v>0</v>
      </c>
      <c r="BF86" s="207">
        <v>-224345.74</v>
      </c>
      <c r="BG86" s="207">
        <v>-274476.88</v>
      </c>
      <c r="BH86" s="207">
        <v>-148641.4</v>
      </c>
      <c r="BI86" s="207">
        <v>-593751.7999999999</v>
      </c>
      <c r="BJ86" s="207">
        <v>0</v>
      </c>
      <c r="BK86" s="207">
        <v>0</v>
      </c>
      <c r="BL86" s="207">
        <v>-804283</v>
      </c>
      <c r="BM86" s="207">
        <v>-4611164.901352091</v>
      </c>
      <c r="BN86" s="207">
        <v>-1542970.24</v>
      </c>
      <c r="BO86" s="207">
        <v>-443347.1452234015</v>
      </c>
      <c r="BP86" s="207">
        <v>1849095</v>
      </c>
      <c r="BQ86" s="207">
        <v>688975</v>
      </c>
      <c r="BR86" s="207">
        <v>1471577.4084279276</v>
      </c>
      <c r="BS86" s="207">
        <v>31452.156286973168</v>
      </c>
      <c r="BT86" s="207">
        <v>-7625.718145323078</v>
      </c>
      <c r="BU86" s="207">
        <v>604880.6672849297</v>
      </c>
      <c r="BV86" s="207">
        <v>1576612.466004551</v>
      </c>
      <c r="BW86" s="207">
        <v>2363461.9138938366</v>
      </c>
      <c r="BX86" s="207">
        <v>782339.1932122004</v>
      </c>
      <c r="BY86" s="207">
        <v>1291310.6468326058</v>
      </c>
      <c r="BZ86" s="207">
        <v>3262.8599999999997</v>
      </c>
      <c r="CA86" s="207">
        <v>-153704.06522452366</v>
      </c>
      <c r="CB86" s="207">
        <v>-1398071.350447925</v>
      </c>
      <c r="CC86" s="207">
        <v>-9904969.951800017</v>
      </c>
      <c r="CD86" s="207">
        <v>0</v>
      </c>
      <c r="CE86" s="207">
        <v>1583190.8299106376</v>
      </c>
      <c r="CF86" s="207">
        <v>0</v>
      </c>
      <c r="CG86" s="207">
        <v>-5051498.445294402</v>
      </c>
      <c r="CH86" s="207">
        <v>-3360630</v>
      </c>
      <c r="CI86" s="207">
        <v>409439.8344000001</v>
      </c>
      <c r="CJ86" s="207">
        <v>1550529.0780599997</v>
      </c>
      <c r="CK86" s="207">
        <v>-1141089.2436599997</v>
      </c>
      <c r="CL86" s="207">
        <v>16060663.081380695</v>
      </c>
      <c r="CM86" s="207">
        <v>21560399.917369664</v>
      </c>
      <c r="CN86" s="207">
        <v>35554</v>
      </c>
    </row>
    <row r="87" spans="1:92" ht="9.75">
      <c r="A87" s="207">
        <v>249</v>
      </c>
      <c r="B87" s="207" t="s">
        <v>144</v>
      </c>
      <c r="C87" s="207">
        <v>9762</v>
      </c>
      <c r="D87" s="207">
        <v>36233384.29</v>
      </c>
      <c r="E87" s="207">
        <v>14541397.756067768</v>
      </c>
      <c r="F87" s="207">
        <v>2511554.5070328857</v>
      </c>
      <c r="G87" s="207">
        <v>53286336.55310065</v>
      </c>
      <c r="H87" s="207">
        <v>3654.72</v>
      </c>
      <c r="I87" s="207">
        <v>35677376.64</v>
      </c>
      <c r="J87" s="207">
        <v>17608959.913100652</v>
      </c>
      <c r="K87" s="207">
        <v>366295.25351464655</v>
      </c>
      <c r="L87" s="207">
        <v>-615965.1891659539</v>
      </c>
      <c r="M87" s="207">
        <v>0</v>
      </c>
      <c r="N87" s="207">
        <v>17359289.977449346</v>
      </c>
      <c r="O87" s="207">
        <v>6364040.445539245</v>
      </c>
      <c r="P87" s="207">
        <v>23723330.422988594</v>
      </c>
      <c r="Q87" s="207">
        <v>483</v>
      </c>
      <c r="R87" s="207">
        <v>88</v>
      </c>
      <c r="S87" s="207">
        <v>594</v>
      </c>
      <c r="T87" s="207">
        <v>301</v>
      </c>
      <c r="U87" s="207">
        <v>257</v>
      </c>
      <c r="V87" s="207">
        <v>4856</v>
      </c>
      <c r="W87" s="207">
        <v>1825</v>
      </c>
      <c r="X87" s="207">
        <v>955</v>
      </c>
      <c r="Y87" s="207">
        <v>403</v>
      </c>
      <c r="Z87" s="207">
        <v>14</v>
      </c>
      <c r="AA87" s="207">
        <v>0</v>
      </c>
      <c r="AB87" s="207">
        <v>9553</v>
      </c>
      <c r="AC87" s="207">
        <v>195</v>
      </c>
      <c r="AD87" s="207">
        <v>3183</v>
      </c>
      <c r="AE87" s="480">
        <v>1.2645093945641208</v>
      </c>
      <c r="AF87" s="207">
        <v>14541397.756067768</v>
      </c>
      <c r="AG87" s="175">
        <v>427</v>
      </c>
      <c r="AH87" s="175">
        <v>4035</v>
      </c>
      <c r="AI87" s="175">
        <v>1.084697339252336</v>
      </c>
      <c r="AJ87" s="175">
        <v>195</v>
      </c>
      <c r="AK87" s="175">
        <v>0.01997541487400123</v>
      </c>
      <c r="AL87" s="175">
        <v>0.016694335763538234</v>
      </c>
      <c r="AM87" s="175">
        <v>0</v>
      </c>
      <c r="AN87" s="175">
        <v>14</v>
      </c>
      <c r="AO87" s="175">
        <v>0</v>
      </c>
      <c r="AP87" s="175">
        <v>0</v>
      </c>
      <c r="AQ87" s="175">
        <v>0</v>
      </c>
      <c r="AR87" s="175">
        <v>1257.97</v>
      </c>
      <c r="AS87" s="175">
        <v>7.760121465535744</v>
      </c>
      <c r="AT87" s="175">
        <v>2.3389482009428955</v>
      </c>
      <c r="AU87" s="175">
        <v>328</v>
      </c>
      <c r="AV87" s="175">
        <v>2457</v>
      </c>
      <c r="AW87" s="175">
        <v>0.13349613349613348</v>
      </c>
      <c r="AX87" s="175">
        <v>0.07803489976664849</v>
      </c>
      <c r="AY87" s="175">
        <v>0</v>
      </c>
      <c r="AZ87" s="207">
        <v>3271</v>
      </c>
      <c r="BA87" s="175">
        <v>3397</v>
      </c>
      <c r="BB87" s="175">
        <v>0.9629084486311451</v>
      </c>
      <c r="BC87" s="175">
        <v>0.5732136012074333</v>
      </c>
      <c r="BD87" s="175">
        <v>0</v>
      </c>
      <c r="BE87" s="175">
        <v>0</v>
      </c>
      <c r="BF87" s="207">
        <v>-62588.89</v>
      </c>
      <c r="BG87" s="207">
        <v>-76574.68</v>
      </c>
      <c r="BH87" s="207">
        <v>-40024.2</v>
      </c>
      <c r="BI87" s="207">
        <v>-165647.3</v>
      </c>
      <c r="BJ87" s="207">
        <v>0</v>
      </c>
      <c r="BK87" s="207">
        <v>0</v>
      </c>
      <c r="BL87" s="207">
        <v>189982</v>
      </c>
      <c r="BM87" s="207">
        <v>-576049.8775440779</v>
      </c>
      <c r="BN87" s="207">
        <v>-415470.72000000003</v>
      </c>
      <c r="BO87" s="207">
        <v>817469.7983167842</v>
      </c>
      <c r="BP87" s="207">
        <v>840543</v>
      </c>
      <c r="BQ87" s="207">
        <v>275658</v>
      </c>
      <c r="BR87" s="207">
        <v>616042.5769579562</v>
      </c>
      <c r="BS87" s="207">
        <v>27456.298720062765</v>
      </c>
      <c r="BT87" s="207">
        <v>-5142.00613193496</v>
      </c>
      <c r="BU87" s="207">
        <v>332187.6762118307</v>
      </c>
      <c r="BV87" s="207">
        <v>495814.7213768481</v>
      </c>
      <c r="BW87" s="207">
        <v>841513.2411016648</v>
      </c>
      <c r="BX87" s="207">
        <v>232149.0422632222</v>
      </c>
      <c r="BY87" s="207">
        <v>434604.91427646816</v>
      </c>
      <c r="BZ87" s="207">
        <v>878.5799999999999</v>
      </c>
      <c r="CA87" s="207">
        <v>11363.020061339732</v>
      </c>
      <c r="CB87" s="207">
        <v>1019693.3983781239</v>
      </c>
      <c r="CC87" s="207">
        <v>-615965.1891659539</v>
      </c>
      <c r="CD87" s="207">
        <v>0</v>
      </c>
      <c r="CE87" s="207">
        <v>556004.3115234884</v>
      </c>
      <c r="CF87" s="207">
        <v>0</v>
      </c>
      <c r="CG87" s="207">
        <v>6364040.445539245</v>
      </c>
      <c r="CH87" s="207">
        <v>-28801</v>
      </c>
      <c r="CI87" s="207">
        <v>165842.164</v>
      </c>
      <c r="CJ87" s="207">
        <v>96582.67010000002</v>
      </c>
      <c r="CK87" s="207">
        <v>69259.49389999997</v>
      </c>
      <c r="CL87" s="207">
        <v>23694529.422988594</v>
      </c>
      <c r="CM87" s="207">
        <v>27050492.0632865</v>
      </c>
      <c r="CN87" s="207">
        <v>9919</v>
      </c>
    </row>
    <row r="88" spans="1:92" ht="9.75">
      <c r="A88" s="207">
        <v>250</v>
      </c>
      <c r="B88" s="207" t="s">
        <v>145</v>
      </c>
      <c r="C88" s="207">
        <v>1910</v>
      </c>
      <c r="D88" s="207">
        <v>7129814.57</v>
      </c>
      <c r="E88" s="207">
        <v>3192071.4281264627</v>
      </c>
      <c r="F88" s="207">
        <v>545989.9584340556</v>
      </c>
      <c r="G88" s="207">
        <v>10867875.956560519</v>
      </c>
      <c r="H88" s="207">
        <v>3654.72</v>
      </c>
      <c r="I88" s="207">
        <v>6980515.199999999</v>
      </c>
      <c r="J88" s="207">
        <v>3887360.7565605193</v>
      </c>
      <c r="K88" s="207">
        <v>288190.4627122291</v>
      </c>
      <c r="L88" s="207">
        <v>-167413.6644802308</v>
      </c>
      <c r="M88" s="207">
        <v>0</v>
      </c>
      <c r="N88" s="207">
        <v>4008137.554792518</v>
      </c>
      <c r="O88" s="207">
        <v>2019490.1008508224</v>
      </c>
      <c r="P88" s="207">
        <v>6027627.65564334</v>
      </c>
      <c r="Q88" s="207">
        <v>86</v>
      </c>
      <c r="R88" s="207">
        <v>22</v>
      </c>
      <c r="S88" s="207">
        <v>105</v>
      </c>
      <c r="T88" s="207">
        <v>56</v>
      </c>
      <c r="U88" s="207">
        <v>56</v>
      </c>
      <c r="V88" s="207">
        <v>997</v>
      </c>
      <c r="W88" s="207">
        <v>316</v>
      </c>
      <c r="X88" s="207">
        <v>181</v>
      </c>
      <c r="Y88" s="207">
        <v>91</v>
      </c>
      <c r="Z88" s="207">
        <v>0</v>
      </c>
      <c r="AA88" s="207">
        <v>0</v>
      </c>
      <c r="AB88" s="207">
        <v>1886</v>
      </c>
      <c r="AC88" s="207">
        <v>24</v>
      </c>
      <c r="AD88" s="207">
        <v>588</v>
      </c>
      <c r="AE88" s="480">
        <v>1.4187110232653013</v>
      </c>
      <c r="AF88" s="207">
        <v>3192071.4281264627</v>
      </c>
      <c r="AG88" s="175">
        <v>70</v>
      </c>
      <c r="AH88" s="175">
        <v>847</v>
      </c>
      <c r="AI88" s="175">
        <v>0.8471081665053469</v>
      </c>
      <c r="AJ88" s="175">
        <v>24</v>
      </c>
      <c r="AK88" s="175">
        <v>0.012565445026178011</v>
      </c>
      <c r="AL88" s="175">
        <v>0.009284365915715014</v>
      </c>
      <c r="AM88" s="175">
        <v>0</v>
      </c>
      <c r="AN88" s="175">
        <v>0</v>
      </c>
      <c r="AO88" s="175">
        <v>0</v>
      </c>
      <c r="AP88" s="175">
        <v>0</v>
      </c>
      <c r="AQ88" s="175">
        <v>0</v>
      </c>
      <c r="AR88" s="175">
        <v>357.11</v>
      </c>
      <c r="AS88" s="175">
        <v>5.348492061269637</v>
      </c>
      <c r="AT88" s="175">
        <v>3.3935774668803687</v>
      </c>
      <c r="AU88" s="175">
        <v>93</v>
      </c>
      <c r="AV88" s="175">
        <v>489</v>
      </c>
      <c r="AW88" s="175">
        <v>0.1901840490797546</v>
      </c>
      <c r="AX88" s="175">
        <v>0.13472281535026961</v>
      </c>
      <c r="AY88" s="175">
        <v>0.53745</v>
      </c>
      <c r="AZ88" s="207">
        <v>666</v>
      </c>
      <c r="BA88" s="175">
        <v>721</v>
      </c>
      <c r="BB88" s="175">
        <v>0.9237170596393898</v>
      </c>
      <c r="BC88" s="175">
        <v>0.5340222122156779</v>
      </c>
      <c r="BD88" s="175">
        <v>0</v>
      </c>
      <c r="BE88" s="175">
        <v>0</v>
      </c>
      <c r="BF88" s="207">
        <v>-12411.769999999999</v>
      </c>
      <c r="BG88" s="207">
        <v>-15185.24</v>
      </c>
      <c r="BH88" s="207">
        <v>-7830.999999999999</v>
      </c>
      <c r="BI88" s="207">
        <v>-32848.9</v>
      </c>
      <c r="BJ88" s="207">
        <v>0</v>
      </c>
      <c r="BK88" s="207">
        <v>0</v>
      </c>
      <c r="BL88" s="207">
        <v>-6236</v>
      </c>
      <c r="BM88" s="207">
        <v>-26728.89863049014</v>
      </c>
      <c r="BN88" s="207">
        <v>-81289.6</v>
      </c>
      <c r="BO88" s="207">
        <v>82427.22236314509</v>
      </c>
      <c r="BP88" s="207">
        <v>219048</v>
      </c>
      <c r="BQ88" s="207">
        <v>68340</v>
      </c>
      <c r="BR88" s="207">
        <v>185745.72702158507</v>
      </c>
      <c r="BS88" s="207">
        <v>10832.417464142347</v>
      </c>
      <c r="BT88" s="207">
        <v>24966.191205261683</v>
      </c>
      <c r="BU88" s="207">
        <v>84210.02610541235</v>
      </c>
      <c r="BV88" s="207">
        <v>132963.3328811662</v>
      </c>
      <c r="BW88" s="207">
        <v>193905.06881895455</v>
      </c>
      <c r="BX88" s="207">
        <v>61753.68627254177</v>
      </c>
      <c r="BY88" s="207">
        <v>108331.3907709797</v>
      </c>
      <c r="BZ88" s="207">
        <v>171.9</v>
      </c>
      <c r="CA88" s="207">
        <v>-8920.778212885716</v>
      </c>
      <c r="CB88" s="207">
        <v>67442.34415025936</v>
      </c>
      <c r="CC88" s="207">
        <v>-167413.6644802308</v>
      </c>
      <c r="CD88" s="207">
        <v>0</v>
      </c>
      <c r="CE88" s="207">
        <v>148028.05784063262</v>
      </c>
      <c r="CF88" s="207">
        <v>0</v>
      </c>
      <c r="CG88" s="207">
        <v>2019490.1008508224</v>
      </c>
      <c r="CH88" s="207">
        <v>-369711</v>
      </c>
      <c r="CI88" s="207">
        <v>38062.136</v>
      </c>
      <c r="CJ88" s="207">
        <v>28546.602000000003</v>
      </c>
      <c r="CK88" s="207">
        <v>9515.533999999996</v>
      </c>
      <c r="CL88" s="207">
        <v>5657916.65564334</v>
      </c>
      <c r="CM88" s="207">
        <v>6794473.838444369</v>
      </c>
      <c r="CN88" s="207">
        <v>1967</v>
      </c>
    </row>
    <row r="89" spans="1:92" ht="9.75">
      <c r="A89" s="207">
        <v>256</v>
      </c>
      <c r="B89" s="207" t="s">
        <v>146</v>
      </c>
      <c r="C89" s="207">
        <v>1615</v>
      </c>
      <c r="D89" s="207">
        <v>6279790.81</v>
      </c>
      <c r="E89" s="207">
        <v>2369365.94937207</v>
      </c>
      <c r="F89" s="207">
        <v>594343.4318727491</v>
      </c>
      <c r="G89" s="207">
        <v>9243500.19124482</v>
      </c>
      <c r="H89" s="207">
        <v>3654.72</v>
      </c>
      <c r="I89" s="207">
        <v>5902372.8</v>
      </c>
      <c r="J89" s="207">
        <v>3341127.3912448203</v>
      </c>
      <c r="K89" s="207">
        <v>723103.2979699664</v>
      </c>
      <c r="L89" s="207">
        <v>-59096.38278751679</v>
      </c>
      <c r="M89" s="207">
        <v>0</v>
      </c>
      <c r="N89" s="207">
        <v>4005134.3064272697</v>
      </c>
      <c r="O89" s="207">
        <v>1814643.4376810219</v>
      </c>
      <c r="P89" s="207">
        <v>5819777.744108291</v>
      </c>
      <c r="Q89" s="207">
        <v>116</v>
      </c>
      <c r="R89" s="207">
        <v>23</v>
      </c>
      <c r="S89" s="207">
        <v>103</v>
      </c>
      <c r="T89" s="207">
        <v>53</v>
      </c>
      <c r="U89" s="207">
        <v>49</v>
      </c>
      <c r="V89" s="207">
        <v>771</v>
      </c>
      <c r="W89" s="207">
        <v>278</v>
      </c>
      <c r="X89" s="207">
        <v>163</v>
      </c>
      <c r="Y89" s="207">
        <v>59</v>
      </c>
      <c r="Z89" s="207">
        <v>1</v>
      </c>
      <c r="AA89" s="207">
        <v>0</v>
      </c>
      <c r="AB89" s="207">
        <v>1603</v>
      </c>
      <c r="AC89" s="207">
        <v>11</v>
      </c>
      <c r="AD89" s="207">
        <v>500</v>
      </c>
      <c r="AE89" s="480">
        <v>1.2454156698250536</v>
      </c>
      <c r="AF89" s="207">
        <v>2369365.94937207</v>
      </c>
      <c r="AG89" s="175">
        <v>82</v>
      </c>
      <c r="AH89" s="175">
        <v>670</v>
      </c>
      <c r="AI89" s="175">
        <v>1.2544786907561272</v>
      </c>
      <c r="AJ89" s="175">
        <v>11</v>
      </c>
      <c r="AK89" s="175">
        <v>0.006811145510835914</v>
      </c>
      <c r="AL89" s="175">
        <v>0.0035300664003729172</v>
      </c>
      <c r="AM89" s="175">
        <v>0</v>
      </c>
      <c r="AN89" s="175">
        <v>1</v>
      </c>
      <c r="AO89" s="175">
        <v>0</v>
      </c>
      <c r="AP89" s="175">
        <v>0</v>
      </c>
      <c r="AQ89" s="175">
        <v>0</v>
      </c>
      <c r="AR89" s="175">
        <v>460.2</v>
      </c>
      <c r="AS89" s="175">
        <v>3.5093437635810516</v>
      </c>
      <c r="AT89" s="175">
        <v>5.172055906655259</v>
      </c>
      <c r="AU89" s="175">
        <v>55</v>
      </c>
      <c r="AV89" s="175">
        <v>357</v>
      </c>
      <c r="AW89" s="175">
        <v>0.15406162464985995</v>
      </c>
      <c r="AX89" s="175">
        <v>0.09860039092037495</v>
      </c>
      <c r="AY89" s="175">
        <v>1.2863666666666667</v>
      </c>
      <c r="AZ89" s="207">
        <v>434</v>
      </c>
      <c r="BA89" s="175">
        <v>498</v>
      </c>
      <c r="BB89" s="175">
        <v>0.8714859437751004</v>
      </c>
      <c r="BC89" s="175">
        <v>0.4817910963513885</v>
      </c>
      <c r="BD89" s="175">
        <v>0</v>
      </c>
      <c r="BE89" s="175">
        <v>0</v>
      </c>
      <c r="BF89" s="207">
        <v>-10449.359999999999</v>
      </c>
      <c r="BG89" s="207">
        <v>-12784.32</v>
      </c>
      <c r="BH89" s="207">
        <v>-6621.499999999999</v>
      </c>
      <c r="BI89" s="207">
        <v>-27655.199999999997</v>
      </c>
      <c r="BJ89" s="207">
        <v>0</v>
      </c>
      <c r="BK89" s="207">
        <v>0</v>
      </c>
      <c r="BL89" s="207">
        <v>96914</v>
      </c>
      <c r="BM89" s="207">
        <v>25418.656842363212</v>
      </c>
      <c r="BN89" s="207">
        <v>-68734.40000000001</v>
      </c>
      <c r="BO89" s="207">
        <v>7985.68745491188</v>
      </c>
      <c r="BP89" s="207">
        <v>175069</v>
      </c>
      <c r="BQ89" s="207">
        <v>57344</v>
      </c>
      <c r="BR89" s="207">
        <v>155676.28894759898</v>
      </c>
      <c r="BS89" s="207">
        <v>8712.868785601755</v>
      </c>
      <c r="BT89" s="207">
        <v>29015.687809191466</v>
      </c>
      <c r="BU89" s="207">
        <v>73844.99649878072</v>
      </c>
      <c r="BV89" s="207">
        <v>86849.92761042874</v>
      </c>
      <c r="BW89" s="207">
        <v>141637.73046884115</v>
      </c>
      <c r="BX89" s="207">
        <v>38890.7408488016</v>
      </c>
      <c r="BY89" s="207">
        <v>73585.13520879087</v>
      </c>
      <c r="BZ89" s="207">
        <v>145.35</v>
      </c>
      <c r="CA89" s="207">
        <v>-13799.397084791897</v>
      </c>
      <c r="CB89" s="207">
        <v>91245.64037011999</v>
      </c>
      <c r="CC89" s="207">
        <v>-59096.38278751679</v>
      </c>
      <c r="CD89" s="207">
        <v>0</v>
      </c>
      <c r="CE89" s="207">
        <v>100839.37673970064</v>
      </c>
      <c r="CF89" s="207">
        <v>0</v>
      </c>
      <c r="CG89" s="207">
        <v>1814643.4376810219</v>
      </c>
      <c r="CH89" s="207">
        <v>171301</v>
      </c>
      <c r="CI89" s="207">
        <v>103379.48010000002</v>
      </c>
      <c r="CJ89" s="207">
        <v>10874.896</v>
      </c>
      <c r="CK89" s="207">
        <v>92504.58410000001</v>
      </c>
      <c r="CL89" s="207">
        <v>5991078.744108291</v>
      </c>
      <c r="CM89" s="207">
        <v>6463456.937326853</v>
      </c>
      <c r="CN89" s="207">
        <v>1656</v>
      </c>
    </row>
    <row r="90" spans="1:92" ht="9.75">
      <c r="A90" s="207">
        <v>257</v>
      </c>
      <c r="B90" s="207" t="s">
        <v>147</v>
      </c>
      <c r="C90" s="207">
        <v>39262</v>
      </c>
      <c r="D90" s="207">
        <v>134644120.32</v>
      </c>
      <c r="E90" s="207">
        <v>33241847.816683803</v>
      </c>
      <c r="F90" s="207">
        <v>12897270.816776179</v>
      </c>
      <c r="G90" s="207">
        <v>180783238.95345998</v>
      </c>
      <c r="H90" s="207">
        <v>3654.72</v>
      </c>
      <c r="I90" s="207">
        <v>143491616.64</v>
      </c>
      <c r="J90" s="207">
        <v>37291622.31345999</v>
      </c>
      <c r="K90" s="207">
        <v>542123.2630155715</v>
      </c>
      <c r="L90" s="207">
        <v>-6844922.43706505</v>
      </c>
      <c r="M90" s="207">
        <v>0</v>
      </c>
      <c r="N90" s="207">
        <v>30988823.13941051</v>
      </c>
      <c r="O90" s="207">
        <v>-11412486.025265386</v>
      </c>
      <c r="P90" s="207">
        <v>19576337.114145122</v>
      </c>
      <c r="Q90" s="207">
        <v>2642</v>
      </c>
      <c r="R90" s="207">
        <v>547</v>
      </c>
      <c r="S90" s="207">
        <v>3548</v>
      </c>
      <c r="T90" s="207">
        <v>1753</v>
      </c>
      <c r="U90" s="207">
        <v>1621</v>
      </c>
      <c r="V90" s="207">
        <v>22813</v>
      </c>
      <c r="W90" s="207">
        <v>4069</v>
      </c>
      <c r="X90" s="207">
        <v>1793</v>
      </c>
      <c r="Y90" s="207">
        <v>476</v>
      </c>
      <c r="Z90" s="207">
        <v>6498</v>
      </c>
      <c r="AA90" s="207">
        <v>7</v>
      </c>
      <c r="AB90" s="207">
        <v>29599</v>
      </c>
      <c r="AC90" s="207">
        <v>3158</v>
      </c>
      <c r="AD90" s="207">
        <v>6338</v>
      </c>
      <c r="AE90" s="480">
        <v>0.7187327719489912</v>
      </c>
      <c r="AF90" s="207">
        <v>33241847.816683803</v>
      </c>
      <c r="AG90" s="175">
        <v>1466</v>
      </c>
      <c r="AH90" s="175">
        <v>19801</v>
      </c>
      <c r="AI90" s="175">
        <v>0.758876466964888</v>
      </c>
      <c r="AJ90" s="175">
        <v>3158</v>
      </c>
      <c r="AK90" s="175">
        <v>0.08043400743721665</v>
      </c>
      <c r="AL90" s="175">
        <v>0.07715292832675366</v>
      </c>
      <c r="AM90" s="175">
        <v>1</v>
      </c>
      <c r="AN90" s="175">
        <v>6498</v>
      </c>
      <c r="AO90" s="175">
        <v>7</v>
      </c>
      <c r="AP90" s="175">
        <v>3</v>
      </c>
      <c r="AQ90" s="175">
        <v>699</v>
      </c>
      <c r="AR90" s="175">
        <v>366.23</v>
      </c>
      <c r="AS90" s="175">
        <v>107.20585424460039</v>
      </c>
      <c r="AT90" s="175">
        <v>0.16930532636306433</v>
      </c>
      <c r="AU90" s="175">
        <v>1861</v>
      </c>
      <c r="AV90" s="175">
        <v>14089</v>
      </c>
      <c r="AW90" s="175">
        <v>0.13208886365249486</v>
      </c>
      <c r="AX90" s="175">
        <v>0.07662762992300987</v>
      </c>
      <c r="AY90" s="175">
        <v>0</v>
      </c>
      <c r="AZ90" s="207">
        <v>10863</v>
      </c>
      <c r="BA90" s="175">
        <v>18086</v>
      </c>
      <c r="BB90" s="175">
        <v>0.6006303217958642</v>
      </c>
      <c r="BC90" s="175">
        <v>0.21093547437215232</v>
      </c>
      <c r="BD90" s="175">
        <v>0</v>
      </c>
      <c r="BE90" s="175">
        <v>7</v>
      </c>
      <c r="BF90" s="207">
        <v>-247162.69999999998</v>
      </c>
      <c r="BG90" s="207">
        <v>-302392.39999999997</v>
      </c>
      <c r="BH90" s="207">
        <v>-160974.19999999998</v>
      </c>
      <c r="BI90" s="207">
        <v>-654139</v>
      </c>
      <c r="BJ90" s="207">
        <v>0</v>
      </c>
      <c r="BK90" s="207">
        <v>0</v>
      </c>
      <c r="BL90" s="207">
        <v>95527</v>
      </c>
      <c r="BM90" s="207">
        <v>-2500000.5429516877</v>
      </c>
      <c r="BN90" s="207">
        <v>-1670990.7200000002</v>
      </c>
      <c r="BO90" s="207">
        <v>-115756.35312727839</v>
      </c>
      <c r="BP90" s="207">
        <v>2071727</v>
      </c>
      <c r="BQ90" s="207">
        <v>698246</v>
      </c>
      <c r="BR90" s="207">
        <v>1328514.603771267</v>
      </c>
      <c r="BS90" s="207">
        <v>-6999.652707042877</v>
      </c>
      <c r="BT90" s="207">
        <v>-330038.789723722</v>
      </c>
      <c r="BU90" s="207">
        <v>466855.0734799032</v>
      </c>
      <c r="BV90" s="207">
        <v>1443673.5638424095</v>
      </c>
      <c r="BW90" s="207">
        <v>2195705.452450867</v>
      </c>
      <c r="BX90" s="207">
        <v>680587.7115293582</v>
      </c>
      <c r="BY90" s="207">
        <v>1222246.1061520812</v>
      </c>
      <c r="BZ90" s="207">
        <v>3533.58</v>
      </c>
      <c r="CA90" s="207">
        <v>-88794.18098608329</v>
      </c>
      <c r="CB90" s="207">
        <v>-105489.95411336167</v>
      </c>
      <c r="CC90" s="207">
        <v>-6844922.43706505</v>
      </c>
      <c r="CD90" s="207">
        <v>0</v>
      </c>
      <c r="CE90" s="207">
        <v>1501961.2373288022</v>
      </c>
      <c r="CF90" s="207">
        <v>0</v>
      </c>
      <c r="CG90" s="207">
        <v>-11412486.025265386</v>
      </c>
      <c r="CH90" s="207">
        <v>-2743988</v>
      </c>
      <c r="CI90" s="207">
        <v>705712.7823</v>
      </c>
      <c r="CJ90" s="207">
        <v>1383645.6427679998</v>
      </c>
      <c r="CK90" s="207">
        <v>-677932.8604679998</v>
      </c>
      <c r="CL90" s="207">
        <v>16832349.114145122</v>
      </c>
      <c r="CM90" s="207">
        <v>20449219.400093526</v>
      </c>
      <c r="CN90" s="207">
        <v>39170</v>
      </c>
    </row>
    <row r="91" spans="1:92" ht="9.75">
      <c r="A91" s="207">
        <v>260</v>
      </c>
      <c r="B91" s="207" t="s">
        <v>148</v>
      </c>
      <c r="C91" s="207">
        <v>10358</v>
      </c>
      <c r="D91" s="207">
        <v>37614845.879999995</v>
      </c>
      <c r="E91" s="207">
        <v>20665142.46044749</v>
      </c>
      <c r="F91" s="207">
        <v>3650986.250240853</v>
      </c>
      <c r="G91" s="207">
        <v>61930974.59068834</v>
      </c>
      <c r="H91" s="207">
        <v>3654.72</v>
      </c>
      <c r="I91" s="207">
        <v>37855589.76</v>
      </c>
      <c r="J91" s="207">
        <v>24075384.830688342</v>
      </c>
      <c r="K91" s="207">
        <v>1736482.3037736523</v>
      </c>
      <c r="L91" s="207">
        <v>-1008621.0041518172</v>
      </c>
      <c r="M91" s="207">
        <v>0</v>
      </c>
      <c r="N91" s="207">
        <v>24803246.130310178</v>
      </c>
      <c r="O91" s="207">
        <v>9563018.077649489</v>
      </c>
      <c r="P91" s="207">
        <v>34366264.20795967</v>
      </c>
      <c r="Q91" s="207">
        <v>418</v>
      </c>
      <c r="R91" s="207">
        <v>80</v>
      </c>
      <c r="S91" s="207">
        <v>526</v>
      </c>
      <c r="T91" s="207">
        <v>276</v>
      </c>
      <c r="U91" s="207">
        <v>312</v>
      </c>
      <c r="V91" s="207">
        <v>5229</v>
      </c>
      <c r="W91" s="207">
        <v>1944</v>
      </c>
      <c r="X91" s="207">
        <v>1113</v>
      </c>
      <c r="Y91" s="207">
        <v>460</v>
      </c>
      <c r="Z91" s="207">
        <v>3</v>
      </c>
      <c r="AA91" s="207">
        <v>2</v>
      </c>
      <c r="AB91" s="207">
        <v>9865</v>
      </c>
      <c r="AC91" s="207">
        <v>488</v>
      </c>
      <c r="AD91" s="207">
        <v>3517</v>
      </c>
      <c r="AE91" s="480">
        <v>1.6936248074819173</v>
      </c>
      <c r="AF91" s="207">
        <v>20665142.46044749</v>
      </c>
      <c r="AG91" s="175">
        <v>618</v>
      </c>
      <c r="AH91" s="175">
        <v>4358</v>
      </c>
      <c r="AI91" s="175">
        <v>1.4535349810678482</v>
      </c>
      <c r="AJ91" s="175">
        <v>488</v>
      </c>
      <c r="AK91" s="175">
        <v>0.04711334234408187</v>
      </c>
      <c r="AL91" s="175">
        <v>0.04383226323361887</v>
      </c>
      <c r="AM91" s="175">
        <v>0</v>
      </c>
      <c r="AN91" s="175">
        <v>3</v>
      </c>
      <c r="AO91" s="175">
        <v>2</v>
      </c>
      <c r="AP91" s="175">
        <v>3</v>
      </c>
      <c r="AQ91" s="175">
        <v>408</v>
      </c>
      <c r="AR91" s="175">
        <v>1253.57</v>
      </c>
      <c r="AS91" s="175">
        <v>8.262801439089959</v>
      </c>
      <c r="AT91" s="175">
        <v>2.1966547634856664</v>
      </c>
      <c r="AU91" s="175">
        <v>344</v>
      </c>
      <c r="AV91" s="175">
        <v>2480</v>
      </c>
      <c r="AW91" s="175">
        <v>0.13870967741935483</v>
      </c>
      <c r="AX91" s="175">
        <v>0.08324844368986983</v>
      </c>
      <c r="AY91" s="175">
        <v>0.5948333333333333</v>
      </c>
      <c r="AZ91" s="207">
        <v>3404</v>
      </c>
      <c r="BA91" s="175">
        <v>3436</v>
      </c>
      <c r="BB91" s="175">
        <v>0.9906868451688009</v>
      </c>
      <c r="BC91" s="175">
        <v>0.600991997745089</v>
      </c>
      <c r="BD91" s="175">
        <v>0</v>
      </c>
      <c r="BE91" s="175">
        <v>2</v>
      </c>
      <c r="BF91" s="207">
        <v>-66166.65999999999</v>
      </c>
      <c r="BG91" s="207">
        <v>-80951.92</v>
      </c>
      <c r="BH91" s="207">
        <v>-42467.799999999996</v>
      </c>
      <c r="BI91" s="207">
        <v>-175116.19999999998</v>
      </c>
      <c r="BJ91" s="207">
        <v>0</v>
      </c>
      <c r="BK91" s="207">
        <v>0</v>
      </c>
      <c r="BL91" s="207">
        <v>489326</v>
      </c>
      <c r="BM91" s="207">
        <v>-386072.9795720455</v>
      </c>
      <c r="BN91" s="207">
        <v>-440836.48000000004</v>
      </c>
      <c r="BO91" s="207">
        <v>-56715.47882780805</v>
      </c>
      <c r="BP91" s="207">
        <v>1158136</v>
      </c>
      <c r="BQ91" s="207">
        <v>342783</v>
      </c>
      <c r="BR91" s="207">
        <v>900533.8584845748</v>
      </c>
      <c r="BS91" s="207">
        <v>48990.33472329932</v>
      </c>
      <c r="BT91" s="207">
        <v>122919.64991699434</v>
      </c>
      <c r="BU91" s="207">
        <v>445395.39128702896</v>
      </c>
      <c r="BV91" s="207">
        <v>568926.4470514387</v>
      </c>
      <c r="BW91" s="207">
        <v>934562.5713683525</v>
      </c>
      <c r="BX91" s="207">
        <v>276798.53308393044</v>
      </c>
      <c r="BY91" s="207">
        <v>502502.5318486387</v>
      </c>
      <c r="BZ91" s="207">
        <v>932.2199999999999</v>
      </c>
      <c r="CA91" s="207">
        <v>67024.57424803644</v>
      </c>
      <c r="CB91" s="207">
        <v>500567.31542022835</v>
      </c>
      <c r="CC91" s="207">
        <v>-1008621.0041518172</v>
      </c>
      <c r="CD91" s="207">
        <v>0</v>
      </c>
      <c r="CE91" s="207">
        <v>659193.2819705079</v>
      </c>
      <c r="CF91" s="207">
        <v>0</v>
      </c>
      <c r="CG91" s="207">
        <v>9563018.077649489</v>
      </c>
      <c r="CH91" s="207">
        <v>-803557</v>
      </c>
      <c r="CI91" s="207">
        <v>118468.3983</v>
      </c>
      <c r="CJ91" s="207">
        <v>81561.72</v>
      </c>
      <c r="CK91" s="207">
        <v>36906.6783</v>
      </c>
      <c r="CL91" s="207">
        <v>33562707.20795967</v>
      </c>
      <c r="CM91" s="207">
        <v>36661888.35320156</v>
      </c>
      <c r="CN91" s="207">
        <v>10486</v>
      </c>
    </row>
    <row r="92" spans="1:92" ht="9.75">
      <c r="A92" s="207">
        <v>261</v>
      </c>
      <c r="B92" s="207" t="s">
        <v>149</v>
      </c>
      <c r="C92" s="207">
        <v>6436</v>
      </c>
      <c r="D92" s="207">
        <v>21344481.939999998</v>
      </c>
      <c r="E92" s="207">
        <v>7515179.682365278</v>
      </c>
      <c r="F92" s="207">
        <v>6325458.555215688</v>
      </c>
      <c r="G92" s="207">
        <v>35185120.17758096</v>
      </c>
      <c r="H92" s="207">
        <v>3654.72</v>
      </c>
      <c r="I92" s="207">
        <v>23521777.919999998</v>
      </c>
      <c r="J92" s="207">
        <v>11663342.257580962</v>
      </c>
      <c r="K92" s="207">
        <v>6850288.675159306</v>
      </c>
      <c r="L92" s="207">
        <v>-630799.2164718494</v>
      </c>
      <c r="M92" s="207">
        <v>0</v>
      </c>
      <c r="N92" s="207">
        <v>17882831.716268416</v>
      </c>
      <c r="O92" s="207">
        <v>1911159.6972636322</v>
      </c>
      <c r="P92" s="207">
        <v>19793991.41353205</v>
      </c>
      <c r="Q92" s="207">
        <v>380</v>
      </c>
      <c r="R92" s="207">
        <v>64</v>
      </c>
      <c r="S92" s="207">
        <v>396</v>
      </c>
      <c r="T92" s="207">
        <v>207</v>
      </c>
      <c r="U92" s="207">
        <v>162</v>
      </c>
      <c r="V92" s="207">
        <v>3859</v>
      </c>
      <c r="W92" s="207">
        <v>792</v>
      </c>
      <c r="X92" s="207">
        <v>403</v>
      </c>
      <c r="Y92" s="207">
        <v>173</v>
      </c>
      <c r="Z92" s="207">
        <v>18</v>
      </c>
      <c r="AA92" s="207">
        <v>17</v>
      </c>
      <c r="AB92" s="207">
        <v>6186</v>
      </c>
      <c r="AC92" s="207">
        <v>215</v>
      </c>
      <c r="AD92" s="207">
        <v>1368</v>
      </c>
      <c r="AE92" s="480">
        <v>0.9912382284029031</v>
      </c>
      <c r="AF92" s="207">
        <v>7515179.682365278</v>
      </c>
      <c r="AG92" s="175">
        <v>345</v>
      </c>
      <c r="AH92" s="175">
        <v>3260</v>
      </c>
      <c r="AI92" s="175">
        <v>1.0847401966492547</v>
      </c>
      <c r="AJ92" s="175">
        <v>215</v>
      </c>
      <c r="AK92" s="175">
        <v>0.033405842137973894</v>
      </c>
      <c r="AL92" s="175">
        <v>0.0301247630275109</v>
      </c>
      <c r="AM92" s="175">
        <v>0</v>
      </c>
      <c r="AN92" s="175">
        <v>18</v>
      </c>
      <c r="AO92" s="175">
        <v>17</v>
      </c>
      <c r="AP92" s="175">
        <v>0</v>
      </c>
      <c r="AQ92" s="175">
        <v>0</v>
      </c>
      <c r="AR92" s="175">
        <v>8094.39</v>
      </c>
      <c r="AS92" s="175">
        <v>0.7951185944833397</v>
      </c>
      <c r="AT92" s="175">
        <v>22.827440166592012</v>
      </c>
      <c r="AU92" s="175">
        <v>253</v>
      </c>
      <c r="AV92" s="175">
        <v>2098</v>
      </c>
      <c r="AW92" s="175">
        <v>0.12059103908484271</v>
      </c>
      <c r="AX92" s="175">
        <v>0.0651298053553577</v>
      </c>
      <c r="AY92" s="175">
        <v>1.5701833333333333</v>
      </c>
      <c r="AZ92" s="207">
        <v>3437</v>
      </c>
      <c r="BA92" s="175">
        <v>3048</v>
      </c>
      <c r="BB92" s="175">
        <v>1.1276246719160106</v>
      </c>
      <c r="BC92" s="175">
        <v>0.7379298244922987</v>
      </c>
      <c r="BD92" s="175">
        <v>0</v>
      </c>
      <c r="BE92" s="175">
        <v>17</v>
      </c>
      <c r="BF92" s="207">
        <v>-40516.509999999995</v>
      </c>
      <c r="BG92" s="207">
        <v>-49570.119999999995</v>
      </c>
      <c r="BH92" s="207">
        <v>-26387.6</v>
      </c>
      <c r="BI92" s="207">
        <v>-107230.7</v>
      </c>
      <c r="BJ92" s="207">
        <v>0</v>
      </c>
      <c r="BK92" s="207">
        <v>0</v>
      </c>
      <c r="BL92" s="207">
        <v>76130</v>
      </c>
      <c r="BM92" s="207">
        <v>-120222.54339545421</v>
      </c>
      <c r="BN92" s="207">
        <v>-273916.16000000003</v>
      </c>
      <c r="BO92" s="207">
        <v>194464.53024873324</v>
      </c>
      <c r="BP92" s="207">
        <v>488612</v>
      </c>
      <c r="BQ92" s="207">
        <v>183601</v>
      </c>
      <c r="BR92" s="207">
        <v>457147.0414309</v>
      </c>
      <c r="BS92" s="207">
        <v>22043.779874781118</v>
      </c>
      <c r="BT92" s="207">
        <v>46606.32555192929</v>
      </c>
      <c r="BU92" s="207">
        <v>166777.0942967512</v>
      </c>
      <c r="BV92" s="207">
        <v>428469.15121476783</v>
      </c>
      <c r="BW92" s="207">
        <v>556199.9498196029</v>
      </c>
      <c r="BX92" s="207">
        <v>214044.87345109828</v>
      </c>
      <c r="BY92" s="207">
        <v>316851.00909643696</v>
      </c>
      <c r="BZ92" s="207">
        <v>579.24</v>
      </c>
      <c r="CA92" s="207">
        <v>-86801.59332512844</v>
      </c>
      <c r="CB92" s="207">
        <v>184372.1769236048</v>
      </c>
      <c r="CC92" s="207">
        <v>-630799.2164718494</v>
      </c>
      <c r="CD92" s="207">
        <v>0</v>
      </c>
      <c r="CE92" s="207">
        <v>426453.61393505306</v>
      </c>
      <c r="CF92" s="207">
        <v>0</v>
      </c>
      <c r="CG92" s="207">
        <v>1911159.6972636322</v>
      </c>
      <c r="CH92" s="207">
        <v>289397</v>
      </c>
      <c r="CI92" s="207">
        <v>137363.5301</v>
      </c>
      <c r="CJ92" s="207">
        <v>127847.99610000002</v>
      </c>
      <c r="CK92" s="207">
        <v>9515.533999999985</v>
      </c>
      <c r="CL92" s="207">
        <v>20083388.41353205</v>
      </c>
      <c r="CM92" s="207">
        <v>23149890.584831197</v>
      </c>
      <c r="CN92" s="207">
        <v>6421</v>
      </c>
    </row>
    <row r="93" spans="1:92" ht="9.75">
      <c r="A93" s="207">
        <v>263</v>
      </c>
      <c r="B93" s="207" t="s">
        <v>150</v>
      </c>
      <c r="C93" s="207">
        <v>8153</v>
      </c>
      <c r="D93" s="207">
        <v>30951471.549999997</v>
      </c>
      <c r="E93" s="207">
        <v>15883060.482179986</v>
      </c>
      <c r="F93" s="207">
        <v>2263213.109807563</v>
      </c>
      <c r="G93" s="207">
        <v>49097745.14198755</v>
      </c>
      <c r="H93" s="207">
        <v>3654.72</v>
      </c>
      <c r="I93" s="207">
        <v>29796932.16</v>
      </c>
      <c r="J93" s="207">
        <v>19300812.981987547</v>
      </c>
      <c r="K93" s="207">
        <v>791999.5850598016</v>
      </c>
      <c r="L93" s="207">
        <v>-692213.870438051</v>
      </c>
      <c r="M93" s="207">
        <v>0</v>
      </c>
      <c r="N93" s="207">
        <v>19400598.6966093</v>
      </c>
      <c r="O93" s="207">
        <v>8329468.872751998</v>
      </c>
      <c r="P93" s="207">
        <v>27730067.5693613</v>
      </c>
      <c r="Q93" s="207">
        <v>432</v>
      </c>
      <c r="R93" s="207">
        <v>82</v>
      </c>
      <c r="S93" s="207">
        <v>491</v>
      </c>
      <c r="T93" s="207">
        <v>263</v>
      </c>
      <c r="U93" s="207">
        <v>265</v>
      </c>
      <c r="V93" s="207">
        <v>4219</v>
      </c>
      <c r="W93" s="207">
        <v>1299</v>
      </c>
      <c r="X93" s="207">
        <v>728</v>
      </c>
      <c r="Y93" s="207">
        <v>374</v>
      </c>
      <c r="Z93" s="207">
        <v>2</v>
      </c>
      <c r="AA93" s="207">
        <v>0</v>
      </c>
      <c r="AB93" s="207">
        <v>8052</v>
      </c>
      <c r="AC93" s="207">
        <v>99</v>
      </c>
      <c r="AD93" s="207">
        <v>2401</v>
      </c>
      <c r="AE93" s="480">
        <v>1.6537560915508709</v>
      </c>
      <c r="AF93" s="207">
        <v>15883060.482179986</v>
      </c>
      <c r="AG93" s="175">
        <v>411</v>
      </c>
      <c r="AH93" s="175">
        <v>3519</v>
      </c>
      <c r="AI93" s="175">
        <v>1.1971451045318957</v>
      </c>
      <c r="AJ93" s="175">
        <v>99</v>
      </c>
      <c r="AK93" s="175">
        <v>0.012142769532687354</v>
      </c>
      <c r="AL93" s="175">
        <v>0.008861690422224358</v>
      </c>
      <c r="AM93" s="175">
        <v>0</v>
      </c>
      <c r="AN93" s="175">
        <v>2</v>
      </c>
      <c r="AO93" s="175">
        <v>0</v>
      </c>
      <c r="AP93" s="175">
        <v>0</v>
      </c>
      <c r="AQ93" s="175">
        <v>0</v>
      </c>
      <c r="AR93" s="175">
        <v>1328.14</v>
      </c>
      <c r="AS93" s="175">
        <v>6.138660081015555</v>
      </c>
      <c r="AT93" s="175">
        <v>2.9567563444416076</v>
      </c>
      <c r="AU93" s="175">
        <v>284</v>
      </c>
      <c r="AV93" s="175">
        <v>2092</v>
      </c>
      <c r="AW93" s="175">
        <v>0.13575525812619502</v>
      </c>
      <c r="AX93" s="175">
        <v>0.08029402439671002</v>
      </c>
      <c r="AY93" s="175">
        <v>0.3081666666666667</v>
      </c>
      <c r="AZ93" s="207">
        <v>2585</v>
      </c>
      <c r="BA93" s="175">
        <v>3012</v>
      </c>
      <c r="BB93" s="175">
        <v>0.8582337317397079</v>
      </c>
      <c r="BC93" s="175">
        <v>0.468538884315996</v>
      </c>
      <c r="BD93" s="175">
        <v>0</v>
      </c>
      <c r="BE93" s="175">
        <v>0</v>
      </c>
      <c r="BF93" s="207">
        <v>-52265.729999999996</v>
      </c>
      <c r="BG93" s="207">
        <v>-63944.759999999995</v>
      </c>
      <c r="BH93" s="207">
        <v>-33427.299999999996</v>
      </c>
      <c r="BI93" s="207">
        <v>-138326.1</v>
      </c>
      <c r="BJ93" s="207">
        <v>0</v>
      </c>
      <c r="BK93" s="207">
        <v>0</v>
      </c>
      <c r="BL93" s="207">
        <v>232429</v>
      </c>
      <c r="BM93" s="207">
        <v>-251366.18953067178</v>
      </c>
      <c r="BN93" s="207">
        <v>-346991.68</v>
      </c>
      <c r="BO93" s="207">
        <v>168045.4978406094</v>
      </c>
      <c r="BP93" s="207">
        <v>894473</v>
      </c>
      <c r="BQ93" s="207">
        <v>268110</v>
      </c>
      <c r="BR93" s="207">
        <v>682456.22900401</v>
      </c>
      <c r="BS93" s="207">
        <v>33966.257956521804</v>
      </c>
      <c r="BT93" s="207">
        <v>110226.00985128019</v>
      </c>
      <c r="BU93" s="207">
        <v>363392.41017846076</v>
      </c>
      <c r="BV93" s="207">
        <v>470200.3889638611</v>
      </c>
      <c r="BW93" s="207">
        <v>789309.2936602538</v>
      </c>
      <c r="BX93" s="207">
        <v>215961.5741476559</v>
      </c>
      <c r="BY93" s="207">
        <v>413121.78828615317</v>
      </c>
      <c r="BZ93" s="207">
        <v>733.77</v>
      </c>
      <c r="CA93" s="207">
        <v>42870.60125201153</v>
      </c>
      <c r="CB93" s="207">
        <v>444078.86909262097</v>
      </c>
      <c r="CC93" s="207">
        <v>-692213.870438051</v>
      </c>
      <c r="CD93" s="207">
        <v>0</v>
      </c>
      <c r="CE93" s="207">
        <v>579002.406190788</v>
      </c>
      <c r="CF93" s="207">
        <v>0</v>
      </c>
      <c r="CG93" s="207">
        <v>8329468.872751998</v>
      </c>
      <c r="CH93" s="207">
        <v>-429070</v>
      </c>
      <c r="CI93" s="207">
        <v>293826.09630000003</v>
      </c>
      <c r="CJ93" s="207">
        <v>145465.32762</v>
      </c>
      <c r="CK93" s="207">
        <v>148360.76868000004</v>
      </c>
      <c r="CL93" s="207">
        <v>27300997.5693613</v>
      </c>
      <c r="CM93" s="207">
        <v>29669245.527233087</v>
      </c>
      <c r="CN93" s="207">
        <v>8283</v>
      </c>
    </row>
    <row r="94" spans="1:92" ht="9.75">
      <c r="A94" s="207">
        <v>265</v>
      </c>
      <c r="B94" s="207" t="s">
        <v>151</v>
      </c>
      <c r="C94" s="207">
        <v>1103</v>
      </c>
      <c r="D94" s="207">
        <v>4242248.65</v>
      </c>
      <c r="E94" s="207">
        <v>2207825.652782561</v>
      </c>
      <c r="F94" s="207">
        <v>558398.9632876351</v>
      </c>
      <c r="G94" s="207">
        <v>7008473.266070196</v>
      </c>
      <c r="H94" s="207">
        <v>3654.72</v>
      </c>
      <c r="I94" s="207">
        <v>4031156.1599999997</v>
      </c>
      <c r="J94" s="207">
        <v>2977317.1060701967</v>
      </c>
      <c r="K94" s="207">
        <v>441974.17395727104</v>
      </c>
      <c r="L94" s="207">
        <v>-99960.82234923335</v>
      </c>
      <c r="M94" s="207">
        <v>0</v>
      </c>
      <c r="N94" s="207">
        <v>3319330.457678234</v>
      </c>
      <c r="O94" s="207">
        <v>1100525.9504015662</v>
      </c>
      <c r="P94" s="207">
        <v>4419856.4080798</v>
      </c>
      <c r="Q94" s="207">
        <v>45</v>
      </c>
      <c r="R94" s="207">
        <v>9</v>
      </c>
      <c r="S94" s="207">
        <v>62</v>
      </c>
      <c r="T94" s="207">
        <v>33</v>
      </c>
      <c r="U94" s="207">
        <v>24</v>
      </c>
      <c r="V94" s="207">
        <v>511</v>
      </c>
      <c r="W94" s="207">
        <v>219</v>
      </c>
      <c r="X94" s="207">
        <v>150</v>
      </c>
      <c r="Y94" s="207">
        <v>50</v>
      </c>
      <c r="Z94" s="207">
        <v>0</v>
      </c>
      <c r="AA94" s="207">
        <v>0</v>
      </c>
      <c r="AB94" s="207">
        <v>1091</v>
      </c>
      <c r="AC94" s="207">
        <v>12</v>
      </c>
      <c r="AD94" s="207">
        <v>419</v>
      </c>
      <c r="AE94" s="480">
        <v>1.6991979373914334</v>
      </c>
      <c r="AF94" s="207">
        <v>2207825.652782561</v>
      </c>
      <c r="AG94" s="175">
        <v>46</v>
      </c>
      <c r="AH94" s="175">
        <v>433</v>
      </c>
      <c r="AI94" s="175">
        <v>1.0889154860897832</v>
      </c>
      <c r="AJ94" s="175">
        <v>12</v>
      </c>
      <c r="AK94" s="175">
        <v>0.010879419764279238</v>
      </c>
      <c r="AL94" s="175">
        <v>0.007598340653816242</v>
      </c>
      <c r="AM94" s="175">
        <v>0</v>
      </c>
      <c r="AN94" s="175">
        <v>0</v>
      </c>
      <c r="AO94" s="175">
        <v>0</v>
      </c>
      <c r="AP94" s="175">
        <v>3</v>
      </c>
      <c r="AQ94" s="175">
        <v>89</v>
      </c>
      <c r="AR94" s="175">
        <v>483.96</v>
      </c>
      <c r="AS94" s="175">
        <v>2.279113976361683</v>
      </c>
      <c r="AT94" s="175">
        <v>7.963850131746455</v>
      </c>
      <c r="AU94" s="175">
        <v>43</v>
      </c>
      <c r="AV94" s="175">
        <v>237</v>
      </c>
      <c r="AW94" s="175">
        <v>0.18143459915611815</v>
      </c>
      <c r="AX94" s="175">
        <v>0.12597336542663315</v>
      </c>
      <c r="AY94" s="175">
        <v>1.1837666666666666</v>
      </c>
      <c r="AZ94" s="207">
        <v>231</v>
      </c>
      <c r="BA94" s="175">
        <v>350</v>
      </c>
      <c r="BB94" s="175">
        <v>0.66</v>
      </c>
      <c r="BC94" s="175">
        <v>0.2703051525762882</v>
      </c>
      <c r="BD94" s="175">
        <v>0</v>
      </c>
      <c r="BE94" s="175">
        <v>0</v>
      </c>
      <c r="BF94" s="207">
        <v>-7142.919999999999</v>
      </c>
      <c r="BG94" s="207">
        <v>-8739.039999999999</v>
      </c>
      <c r="BH94" s="207">
        <v>-4522.299999999999</v>
      </c>
      <c r="BI94" s="207">
        <v>-18904.399999999998</v>
      </c>
      <c r="BJ94" s="207">
        <v>0</v>
      </c>
      <c r="BK94" s="207">
        <v>0</v>
      </c>
      <c r="BL94" s="207">
        <v>43455</v>
      </c>
      <c r="BM94" s="207">
        <v>-23550.337564259396</v>
      </c>
      <c r="BN94" s="207">
        <v>-46943.68</v>
      </c>
      <c r="BO94" s="207">
        <v>8762.558215379715</v>
      </c>
      <c r="BP94" s="207">
        <v>130215</v>
      </c>
      <c r="BQ94" s="207">
        <v>39878</v>
      </c>
      <c r="BR94" s="207">
        <v>113824.44832960851</v>
      </c>
      <c r="BS94" s="207">
        <v>7034.246968550097</v>
      </c>
      <c r="BT94" s="207">
        <v>18972.256087466867</v>
      </c>
      <c r="BU94" s="207">
        <v>56149.43615035633</v>
      </c>
      <c r="BV94" s="207">
        <v>64664.56799765929</v>
      </c>
      <c r="BW94" s="207">
        <v>103518.21061302294</v>
      </c>
      <c r="BX94" s="207">
        <v>34343.09810392604</v>
      </c>
      <c r="BY94" s="207">
        <v>61106.55490523123</v>
      </c>
      <c r="BZ94" s="207">
        <v>99.27</v>
      </c>
      <c r="CA94" s="207">
        <v>-8656.993000353701</v>
      </c>
      <c r="CB94" s="207">
        <v>43659.83521502601</v>
      </c>
      <c r="CC94" s="207">
        <v>-99960.82234923335</v>
      </c>
      <c r="CD94" s="207">
        <v>0</v>
      </c>
      <c r="CE94" s="207">
        <v>72505.26726005852</v>
      </c>
      <c r="CF94" s="207">
        <v>47453.90477304251</v>
      </c>
      <c r="CG94" s="207">
        <v>1100525.9504015662</v>
      </c>
      <c r="CH94" s="207">
        <v>-272666</v>
      </c>
      <c r="CI94" s="207">
        <v>17671.706000000002</v>
      </c>
      <c r="CJ94" s="207">
        <v>53083.0861</v>
      </c>
      <c r="CK94" s="207">
        <v>-35411.380099999995</v>
      </c>
      <c r="CL94" s="207">
        <v>4147190.4080798</v>
      </c>
      <c r="CM94" s="207">
        <v>4587672.04822989</v>
      </c>
      <c r="CN94" s="207">
        <v>1132</v>
      </c>
    </row>
    <row r="95" spans="1:92" ht="9.75">
      <c r="A95" s="207">
        <v>271</v>
      </c>
      <c r="B95" s="207" t="s">
        <v>152</v>
      </c>
      <c r="C95" s="207">
        <v>7226</v>
      </c>
      <c r="D95" s="207">
        <v>26078174.400000002</v>
      </c>
      <c r="E95" s="207">
        <v>10005982.582412196</v>
      </c>
      <c r="F95" s="207">
        <v>1680280.0669493708</v>
      </c>
      <c r="G95" s="207">
        <v>37764437.049361564</v>
      </c>
      <c r="H95" s="207">
        <v>3654.72</v>
      </c>
      <c r="I95" s="207">
        <v>26409006.72</v>
      </c>
      <c r="J95" s="207">
        <v>11355430.329361565</v>
      </c>
      <c r="K95" s="207">
        <v>212512.3065814041</v>
      </c>
      <c r="L95" s="207">
        <v>-1066219.0214966105</v>
      </c>
      <c r="M95" s="207">
        <v>0</v>
      </c>
      <c r="N95" s="207">
        <v>10501723.614446359</v>
      </c>
      <c r="O95" s="207">
        <v>5029910.631009849</v>
      </c>
      <c r="P95" s="207">
        <v>15531634.245456208</v>
      </c>
      <c r="Q95" s="207">
        <v>333</v>
      </c>
      <c r="R95" s="207">
        <v>60</v>
      </c>
      <c r="S95" s="207">
        <v>417</v>
      </c>
      <c r="T95" s="207">
        <v>224</v>
      </c>
      <c r="U95" s="207">
        <v>215</v>
      </c>
      <c r="V95" s="207">
        <v>3815</v>
      </c>
      <c r="W95" s="207">
        <v>1199</v>
      </c>
      <c r="X95" s="207">
        <v>673</v>
      </c>
      <c r="Y95" s="207">
        <v>290</v>
      </c>
      <c r="Z95" s="207">
        <v>12</v>
      </c>
      <c r="AA95" s="207">
        <v>0</v>
      </c>
      <c r="AB95" s="207">
        <v>7017</v>
      </c>
      <c r="AC95" s="207">
        <v>197</v>
      </c>
      <c r="AD95" s="207">
        <v>2162</v>
      </c>
      <c r="AE95" s="480">
        <v>1.175483384891969</v>
      </c>
      <c r="AF95" s="207">
        <v>10005982.582412196</v>
      </c>
      <c r="AG95" s="175">
        <v>330</v>
      </c>
      <c r="AH95" s="175">
        <v>3234</v>
      </c>
      <c r="AI95" s="175">
        <v>1.0459192668076223</v>
      </c>
      <c r="AJ95" s="175">
        <v>197</v>
      </c>
      <c r="AK95" s="175">
        <v>0.027262662607251593</v>
      </c>
      <c r="AL95" s="175">
        <v>0.023981583496788597</v>
      </c>
      <c r="AM95" s="175">
        <v>0</v>
      </c>
      <c r="AN95" s="175">
        <v>12</v>
      </c>
      <c r="AO95" s="175">
        <v>0</v>
      </c>
      <c r="AP95" s="175">
        <v>0</v>
      </c>
      <c r="AQ95" s="175">
        <v>0</v>
      </c>
      <c r="AR95" s="175">
        <v>480.47</v>
      </c>
      <c r="AS95" s="175">
        <v>15.039440547796948</v>
      </c>
      <c r="AT95" s="175">
        <v>1.2068615240858778</v>
      </c>
      <c r="AU95" s="175">
        <v>314</v>
      </c>
      <c r="AV95" s="175">
        <v>2001</v>
      </c>
      <c r="AW95" s="175">
        <v>0.15692153923038482</v>
      </c>
      <c r="AX95" s="175">
        <v>0.10146030550089982</v>
      </c>
      <c r="AY95" s="175">
        <v>0</v>
      </c>
      <c r="AZ95" s="207">
        <v>2308</v>
      </c>
      <c r="BA95" s="175">
        <v>2751</v>
      </c>
      <c r="BB95" s="175">
        <v>0.8389676481279534</v>
      </c>
      <c r="BC95" s="175">
        <v>0.4492728007042416</v>
      </c>
      <c r="BD95" s="175">
        <v>0</v>
      </c>
      <c r="BE95" s="175">
        <v>0</v>
      </c>
      <c r="BF95" s="207">
        <v>-46574.11</v>
      </c>
      <c r="BG95" s="207">
        <v>-56981.32</v>
      </c>
      <c r="BH95" s="207">
        <v>-29626.6</v>
      </c>
      <c r="BI95" s="207">
        <v>-123262.7</v>
      </c>
      <c r="BJ95" s="207">
        <v>0</v>
      </c>
      <c r="BK95" s="207">
        <v>0</v>
      </c>
      <c r="BL95" s="207">
        <v>41830</v>
      </c>
      <c r="BM95" s="207">
        <v>-335275.0350301247</v>
      </c>
      <c r="BN95" s="207">
        <v>-307538.56</v>
      </c>
      <c r="BO95" s="207">
        <v>-17435.946478638798</v>
      </c>
      <c r="BP95" s="207">
        <v>687986</v>
      </c>
      <c r="BQ95" s="207">
        <v>217878</v>
      </c>
      <c r="BR95" s="207">
        <v>550817.7150644845</v>
      </c>
      <c r="BS95" s="207">
        <v>28134.764337881366</v>
      </c>
      <c r="BT95" s="207">
        <v>78832.71425176546</v>
      </c>
      <c r="BU95" s="207">
        <v>250297.46366490252</v>
      </c>
      <c r="BV95" s="207">
        <v>386403.0682414612</v>
      </c>
      <c r="BW95" s="207">
        <v>667130.2318773058</v>
      </c>
      <c r="BX95" s="207">
        <v>191411.1151891651</v>
      </c>
      <c r="BY95" s="207">
        <v>341146.33984664205</v>
      </c>
      <c r="BZ95" s="207">
        <v>650.34</v>
      </c>
      <c r="CA95" s="207">
        <v>29544.070012153243</v>
      </c>
      <c r="CB95" s="207">
        <v>54588.46353351444</v>
      </c>
      <c r="CC95" s="207">
        <v>-1066219.0214966105</v>
      </c>
      <c r="CD95" s="207">
        <v>0</v>
      </c>
      <c r="CE95" s="207">
        <v>445519.8366882749</v>
      </c>
      <c r="CF95" s="207">
        <v>0</v>
      </c>
      <c r="CG95" s="207">
        <v>5029910.631009849</v>
      </c>
      <c r="CH95" s="207">
        <v>-718579</v>
      </c>
      <c r="CI95" s="207">
        <v>352278.66229999997</v>
      </c>
      <c r="CJ95" s="207">
        <v>150943.55648</v>
      </c>
      <c r="CK95" s="207">
        <v>201335.10581999997</v>
      </c>
      <c r="CL95" s="207">
        <v>14813055.245456208</v>
      </c>
      <c r="CM95" s="207">
        <v>17437965.393004015</v>
      </c>
      <c r="CN95" s="207">
        <v>7381</v>
      </c>
    </row>
    <row r="96" spans="1:92" ht="9.75">
      <c r="A96" s="207">
        <v>272</v>
      </c>
      <c r="B96" s="207" t="s">
        <v>153</v>
      </c>
      <c r="C96" s="207">
        <v>47657</v>
      </c>
      <c r="D96" s="207">
        <v>173549245.42</v>
      </c>
      <c r="E96" s="207">
        <v>55876986.20902601</v>
      </c>
      <c r="F96" s="207">
        <v>10627766.952934759</v>
      </c>
      <c r="G96" s="207">
        <v>240053998.58196077</v>
      </c>
      <c r="H96" s="207">
        <v>3654.72</v>
      </c>
      <c r="I96" s="207">
        <v>174172991.04</v>
      </c>
      <c r="J96" s="207">
        <v>65881007.541960776</v>
      </c>
      <c r="K96" s="207">
        <v>2036880.3339108548</v>
      </c>
      <c r="L96" s="207">
        <v>-5495092.7477973625</v>
      </c>
      <c r="M96" s="207">
        <v>0</v>
      </c>
      <c r="N96" s="207">
        <v>62422795.128074266</v>
      </c>
      <c r="O96" s="207">
        <v>14862573.815608567</v>
      </c>
      <c r="P96" s="207">
        <v>77285368.94368283</v>
      </c>
      <c r="Q96" s="207">
        <v>3445</v>
      </c>
      <c r="R96" s="207">
        <v>640</v>
      </c>
      <c r="S96" s="207">
        <v>3778</v>
      </c>
      <c r="T96" s="207">
        <v>1715</v>
      </c>
      <c r="U96" s="207">
        <v>1732</v>
      </c>
      <c r="V96" s="207">
        <v>25981</v>
      </c>
      <c r="W96" s="207">
        <v>6069</v>
      </c>
      <c r="X96" s="207">
        <v>3037</v>
      </c>
      <c r="Y96" s="207">
        <v>1260</v>
      </c>
      <c r="Z96" s="207">
        <v>6001</v>
      </c>
      <c r="AA96" s="207">
        <v>1</v>
      </c>
      <c r="AB96" s="207">
        <v>40031</v>
      </c>
      <c r="AC96" s="207">
        <v>1624</v>
      </c>
      <c r="AD96" s="207">
        <v>10366</v>
      </c>
      <c r="AE96" s="480">
        <v>0.9953159949428169</v>
      </c>
      <c r="AF96" s="207">
        <v>55876986.20902601</v>
      </c>
      <c r="AG96" s="175">
        <v>1744</v>
      </c>
      <c r="AH96" s="175">
        <v>21797</v>
      </c>
      <c r="AI96" s="175">
        <v>0.8201135648420622</v>
      </c>
      <c r="AJ96" s="175">
        <v>1624</v>
      </c>
      <c r="AK96" s="175">
        <v>0.03407684075791594</v>
      </c>
      <c r="AL96" s="175">
        <v>0.030795761647452947</v>
      </c>
      <c r="AM96" s="175">
        <v>1</v>
      </c>
      <c r="AN96" s="175">
        <v>6001</v>
      </c>
      <c r="AO96" s="175">
        <v>1</v>
      </c>
      <c r="AP96" s="175">
        <v>0</v>
      </c>
      <c r="AQ96" s="175">
        <v>0</v>
      </c>
      <c r="AR96" s="175">
        <v>1445.11</v>
      </c>
      <c r="AS96" s="175">
        <v>32.97811239282823</v>
      </c>
      <c r="AT96" s="175">
        <v>0.5503808685199454</v>
      </c>
      <c r="AU96" s="175">
        <v>1211</v>
      </c>
      <c r="AV96" s="175">
        <v>14186</v>
      </c>
      <c r="AW96" s="175">
        <v>0.08536585365853659</v>
      </c>
      <c r="AX96" s="175">
        <v>0.029904619929051586</v>
      </c>
      <c r="AY96" s="175">
        <v>0</v>
      </c>
      <c r="AZ96" s="207">
        <v>20525</v>
      </c>
      <c r="BA96" s="175">
        <v>19686</v>
      </c>
      <c r="BB96" s="175">
        <v>1.0426191201869348</v>
      </c>
      <c r="BC96" s="175">
        <v>0.652924272763223</v>
      </c>
      <c r="BD96" s="175">
        <v>0</v>
      </c>
      <c r="BE96" s="175">
        <v>1</v>
      </c>
      <c r="BF96" s="207">
        <v>-301132.13</v>
      </c>
      <c r="BG96" s="207">
        <v>-368421.56</v>
      </c>
      <c r="BH96" s="207">
        <v>-195393.69999999998</v>
      </c>
      <c r="BI96" s="207">
        <v>-796974.1</v>
      </c>
      <c r="BJ96" s="207">
        <v>0</v>
      </c>
      <c r="BK96" s="207">
        <v>0</v>
      </c>
      <c r="BL96" s="207">
        <v>1459983</v>
      </c>
      <c r="BM96" s="207">
        <v>-1806229.302050136</v>
      </c>
      <c r="BN96" s="207">
        <v>-2028281.9200000002</v>
      </c>
      <c r="BO96" s="207">
        <v>193897.22869046032</v>
      </c>
      <c r="BP96" s="207">
        <v>3497904</v>
      </c>
      <c r="BQ96" s="207">
        <v>1150390</v>
      </c>
      <c r="BR96" s="207">
        <v>2560170.552761876</v>
      </c>
      <c r="BS96" s="207">
        <v>94908.11118518931</v>
      </c>
      <c r="BT96" s="207">
        <v>213758.12329429368</v>
      </c>
      <c r="BU96" s="207">
        <v>1350195.8835155452</v>
      </c>
      <c r="BV96" s="207">
        <v>2318477.82601972</v>
      </c>
      <c r="BW96" s="207">
        <v>3666399.002961733</v>
      </c>
      <c r="BX96" s="207">
        <v>1089465.1001585778</v>
      </c>
      <c r="BY96" s="207">
        <v>1979008.618864164</v>
      </c>
      <c r="BZ96" s="207">
        <v>4289.13</v>
      </c>
      <c r="CA96" s="207">
        <v>-195665.7744376876</v>
      </c>
      <c r="CB96" s="207">
        <v>1462503.5842527726</v>
      </c>
      <c r="CC96" s="207">
        <v>-5495092.7477973625</v>
      </c>
      <c r="CD96" s="207">
        <v>0</v>
      </c>
      <c r="CE96" s="207">
        <v>2506295.7796810432</v>
      </c>
      <c r="CF96" s="207">
        <v>0</v>
      </c>
      <c r="CG96" s="207">
        <v>14862573.815608567</v>
      </c>
      <c r="CH96" s="207">
        <v>-2096075</v>
      </c>
      <c r="CI96" s="207">
        <v>477747.7749000001</v>
      </c>
      <c r="CJ96" s="207">
        <v>567764.72654</v>
      </c>
      <c r="CK96" s="207">
        <v>-90016.95163999987</v>
      </c>
      <c r="CL96" s="207">
        <v>75189293.94368283</v>
      </c>
      <c r="CM96" s="207">
        <v>87033248.35936174</v>
      </c>
      <c r="CN96" s="207">
        <v>47723</v>
      </c>
    </row>
    <row r="97" spans="1:92" ht="9.75">
      <c r="A97" s="207">
        <v>273</v>
      </c>
      <c r="B97" s="207" t="s">
        <v>154</v>
      </c>
      <c r="C97" s="207">
        <v>3834</v>
      </c>
      <c r="D97" s="207">
        <v>12829438.540000001</v>
      </c>
      <c r="E97" s="207">
        <v>5368308.931203946</v>
      </c>
      <c r="F97" s="207">
        <v>2546383.226556186</v>
      </c>
      <c r="G97" s="207">
        <v>20744130.69776013</v>
      </c>
      <c r="H97" s="207">
        <v>3654.72</v>
      </c>
      <c r="I97" s="207">
        <v>14012196.479999999</v>
      </c>
      <c r="J97" s="207">
        <v>6731934.217760133</v>
      </c>
      <c r="K97" s="207">
        <v>4389613.974067826</v>
      </c>
      <c r="L97" s="207">
        <v>-322381.5849197703</v>
      </c>
      <c r="M97" s="207">
        <v>0</v>
      </c>
      <c r="N97" s="207">
        <v>10799166.606908187</v>
      </c>
      <c r="O97" s="207">
        <v>2774730.3441870124</v>
      </c>
      <c r="P97" s="207">
        <v>13573896.9510952</v>
      </c>
      <c r="Q97" s="207">
        <v>224</v>
      </c>
      <c r="R97" s="207">
        <v>30</v>
      </c>
      <c r="S97" s="207">
        <v>245</v>
      </c>
      <c r="T97" s="207">
        <v>99</v>
      </c>
      <c r="U97" s="207">
        <v>86</v>
      </c>
      <c r="V97" s="207">
        <v>2143</v>
      </c>
      <c r="W97" s="207">
        <v>585</v>
      </c>
      <c r="X97" s="207">
        <v>320</v>
      </c>
      <c r="Y97" s="207">
        <v>102</v>
      </c>
      <c r="Z97" s="207">
        <v>30</v>
      </c>
      <c r="AA97" s="207">
        <v>3</v>
      </c>
      <c r="AB97" s="207">
        <v>3745</v>
      </c>
      <c r="AC97" s="207">
        <v>56</v>
      </c>
      <c r="AD97" s="207">
        <v>1007</v>
      </c>
      <c r="AE97" s="480">
        <v>1.1886119748873554</v>
      </c>
      <c r="AF97" s="207">
        <v>5368308.931203946</v>
      </c>
      <c r="AG97" s="175">
        <v>236</v>
      </c>
      <c r="AH97" s="175">
        <v>1814</v>
      </c>
      <c r="AI97" s="175">
        <v>1.3335182360929816</v>
      </c>
      <c r="AJ97" s="175">
        <v>56</v>
      </c>
      <c r="AK97" s="175">
        <v>0.014606155451225874</v>
      </c>
      <c r="AL97" s="175">
        <v>0.011325076340762876</v>
      </c>
      <c r="AM97" s="175">
        <v>0</v>
      </c>
      <c r="AN97" s="175">
        <v>30</v>
      </c>
      <c r="AO97" s="175">
        <v>3</v>
      </c>
      <c r="AP97" s="175">
        <v>0</v>
      </c>
      <c r="AQ97" s="175">
        <v>0</v>
      </c>
      <c r="AR97" s="175">
        <v>2559.2</v>
      </c>
      <c r="AS97" s="175">
        <v>1.4981244138793375</v>
      </c>
      <c r="AT97" s="175">
        <v>12.115497199537035</v>
      </c>
      <c r="AU97" s="175">
        <v>160</v>
      </c>
      <c r="AV97" s="175">
        <v>1098</v>
      </c>
      <c r="AW97" s="175">
        <v>0.14571948998178508</v>
      </c>
      <c r="AX97" s="175">
        <v>0.09025825625230008</v>
      </c>
      <c r="AY97" s="175">
        <v>1.71585</v>
      </c>
      <c r="AZ97" s="207">
        <v>1469</v>
      </c>
      <c r="BA97" s="175">
        <v>1600</v>
      </c>
      <c r="BB97" s="175">
        <v>0.918125</v>
      </c>
      <c r="BC97" s="175">
        <v>0.5284301525762881</v>
      </c>
      <c r="BD97" s="175">
        <v>0</v>
      </c>
      <c r="BE97" s="175">
        <v>3</v>
      </c>
      <c r="BF97" s="207">
        <v>-24318.739999999998</v>
      </c>
      <c r="BG97" s="207">
        <v>-29752.879999999997</v>
      </c>
      <c r="BH97" s="207">
        <v>-15719.399999999998</v>
      </c>
      <c r="BI97" s="207">
        <v>-64361.799999999996</v>
      </c>
      <c r="BJ97" s="207">
        <v>0</v>
      </c>
      <c r="BK97" s="207">
        <v>0</v>
      </c>
      <c r="BL97" s="207">
        <v>-16074</v>
      </c>
      <c r="BM97" s="207">
        <v>-55533.04651125621</v>
      </c>
      <c r="BN97" s="207">
        <v>-163175.04</v>
      </c>
      <c r="BO97" s="207">
        <v>159790.83063413762</v>
      </c>
      <c r="BP97" s="207">
        <v>309744</v>
      </c>
      <c r="BQ97" s="207">
        <v>129398</v>
      </c>
      <c r="BR97" s="207">
        <v>320372.58274171664</v>
      </c>
      <c r="BS97" s="207">
        <v>19615.74455248039</v>
      </c>
      <c r="BT97" s="207">
        <v>-4306.018548181757</v>
      </c>
      <c r="BU97" s="207">
        <v>105900.97151327858</v>
      </c>
      <c r="BV97" s="207">
        <v>256747.6903397223</v>
      </c>
      <c r="BW97" s="207">
        <v>335575.45699918334</v>
      </c>
      <c r="BX97" s="207">
        <v>129767.92647972985</v>
      </c>
      <c r="BY97" s="207">
        <v>202432.0424911791</v>
      </c>
      <c r="BZ97" s="207">
        <v>345.06</v>
      </c>
      <c r="CA97" s="207">
        <v>3967.8709573483357</v>
      </c>
      <c r="CB97" s="207">
        <v>148029.76159148593</v>
      </c>
      <c r="CC97" s="207">
        <v>-322381.5849197703</v>
      </c>
      <c r="CD97" s="207">
        <v>0</v>
      </c>
      <c r="CE97" s="207">
        <v>273195.96903554496</v>
      </c>
      <c r="CF97" s="207">
        <v>0</v>
      </c>
      <c r="CG97" s="207">
        <v>2774730.3441870124</v>
      </c>
      <c r="CH97" s="207">
        <v>-119846</v>
      </c>
      <c r="CI97" s="207">
        <v>174066.3041</v>
      </c>
      <c r="CJ97" s="207">
        <v>21749.792</v>
      </c>
      <c r="CK97" s="207">
        <v>152316.5121</v>
      </c>
      <c r="CL97" s="207">
        <v>13454050.9510952</v>
      </c>
      <c r="CM97" s="207">
        <v>14513671.931362337</v>
      </c>
      <c r="CN97" s="207">
        <v>3854</v>
      </c>
    </row>
    <row r="98" spans="1:92" ht="9.75">
      <c r="A98" s="207">
        <v>275</v>
      </c>
      <c r="B98" s="207" t="s">
        <v>155</v>
      </c>
      <c r="C98" s="207">
        <v>2698</v>
      </c>
      <c r="D98" s="207">
        <v>10391846.64</v>
      </c>
      <c r="E98" s="207">
        <v>4074433.123108866</v>
      </c>
      <c r="F98" s="207">
        <v>735300.569046388</v>
      </c>
      <c r="G98" s="207">
        <v>15201580.332155254</v>
      </c>
      <c r="H98" s="207">
        <v>3654.72</v>
      </c>
      <c r="I98" s="207">
        <v>9860434.559999999</v>
      </c>
      <c r="J98" s="207">
        <v>5341145.772155255</v>
      </c>
      <c r="K98" s="207">
        <v>205041.813126063</v>
      </c>
      <c r="L98" s="207">
        <v>-39984.26030918356</v>
      </c>
      <c r="M98" s="207">
        <v>0</v>
      </c>
      <c r="N98" s="207">
        <v>5506203.324972134</v>
      </c>
      <c r="O98" s="207">
        <v>2410740.772835204</v>
      </c>
      <c r="P98" s="207">
        <v>7916944.097807338</v>
      </c>
      <c r="Q98" s="207">
        <v>125</v>
      </c>
      <c r="R98" s="207">
        <v>17</v>
      </c>
      <c r="S98" s="207">
        <v>166</v>
      </c>
      <c r="T98" s="207">
        <v>96</v>
      </c>
      <c r="U98" s="207">
        <v>76</v>
      </c>
      <c r="V98" s="207">
        <v>1342</v>
      </c>
      <c r="W98" s="207">
        <v>471</v>
      </c>
      <c r="X98" s="207">
        <v>278</v>
      </c>
      <c r="Y98" s="207">
        <v>127</v>
      </c>
      <c r="Z98" s="207">
        <v>1</v>
      </c>
      <c r="AA98" s="207">
        <v>0</v>
      </c>
      <c r="AB98" s="207">
        <v>2671</v>
      </c>
      <c r="AC98" s="207">
        <v>26</v>
      </c>
      <c r="AD98" s="207">
        <v>876</v>
      </c>
      <c r="AE98" s="480">
        <v>1.2819761865699633</v>
      </c>
      <c r="AF98" s="207">
        <v>4074433.123108866</v>
      </c>
      <c r="AG98" s="175">
        <v>121</v>
      </c>
      <c r="AH98" s="175">
        <v>1149</v>
      </c>
      <c r="AI98" s="175">
        <v>1.079417812515647</v>
      </c>
      <c r="AJ98" s="175">
        <v>26</v>
      </c>
      <c r="AK98" s="175">
        <v>0.009636767976278725</v>
      </c>
      <c r="AL98" s="175">
        <v>0.006355688865815729</v>
      </c>
      <c r="AM98" s="175">
        <v>0</v>
      </c>
      <c r="AN98" s="175">
        <v>1</v>
      </c>
      <c r="AO98" s="175">
        <v>0</v>
      </c>
      <c r="AP98" s="175">
        <v>0</v>
      </c>
      <c r="AQ98" s="175">
        <v>0</v>
      </c>
      <c r="AR98" s="175">
        <v>512.93</v>
      </c>
      <c r="AS98" s="175">
        <v>5.259976994911587</v>
      </c>
      <c r="AT98" s="175">
        <v>3.450684700422014</v>
      </c>
      <c r="AU98" s="175">
        <v>78</v>
      </c>
      <c r="AV98" s="175">
        <v>687</v>
      </c>
      <c r="AW98" s="175">
        <v>0.11353711790393013</v>
      </c>
      <c r="AX98" s="175">
        <v>0.058075884174445126</v>
      </c>
      <c r="AY98" s="175">
        <v>0.235</v>
      </c>
      <c r="AZ98" s="207">
        <v>767</v>
      </c>
      <c r="BA98" s="175">
        <v>988</v>
      </c>
      <c r="BB98" s="175">
        <v>0.7763157894736842</v>
      </c>
      <c r="BC98" s="175">
        <v>0.3866209420499723</v>
      </c>
      <c r="BD98" s="175">
        <v>0</v>
      </c>
      <c r="BE98" s="175">
        <v>0</v>
      </c>
      <c r="BF98" s="207">
        <v>-17339.879999999997</v>
      </c>
      <c r="BG98" s="207">
        <v>-21214.559999999998</v>
      </c>
      <c r="BH98" s="207">
        <v>-11061.8</v>
      </c>
      <c r="BI98" s="207">
        <v>-45891.6</v>
      </c>
      <c r="BJ98" s="207">
        <v>0</v>
      </c>
      <c r="BK98" s="207">
        <v>0</v>
      </c>
      <c r="BL98" s="207">
        <v>78006</v>
      </c>
      <c r="BM98" s="207">
        <v>-43011.496110360225</v>
      </c>
      <c r="BN98" s="207">
        <v>-114826.88</v>
      </c>
      <c r="BO98" s="207">
        <v>212913.65034567937</v>
      </c>
      <c r="BP98" s="207">
        <v>294459</v>
      </c>
      <c r="BQ98" s="207">
        <v>87146</v>
      </c>
      <c r="BR98" s="207">
        <v>235915.4548271972</v>
      </c>
      <c r="BS98" s="207">
        <v>10266.407253946101</v>
      </c>
      <c r="BT98" s="207">
        <v>901.3692978763046</v>
      </c>
      <c r="BU98" s="207">
        <v>107805.7106164793</v>
      </c>
      <c r="BV98" s="207">
        <v>154011.59345537188</v>
      </c>
      <c r="BW98" s="207">
        <v>238896.83094941953</v>
      </c>
      <c r="BX98" s="207">
        <v>69074.1311257649</v>
      </c>
      <c r="BY98" s="207">
        <v>127791.46348937791</v>
      </c>
      <c r="BZ98" s="207">
        <v>242.82</v>
      </c>
      <c r="CA98" s="207">
        <v>4920.165455497274</v>
      </c>
      <c r="CB98" s="207">
        <v>296082.63580117666</v>
      </c>
      <c r="CC98" s="207">
        <v>-39984.26030918356</v>
      </c>
      <c r="CD98" s="207">
        <v>0</v>
      </c>
      <c r="CE98" s="207">
        <v>182832.1452211211</v>
      </c>
      <c r="CF98" s="207">
        <v>0</v>
      </c>
      <c r="CG98" s="207">
        <v>2410740.772835204</v>
      </c>
      <c r="CH98" s="207">
        <v>-105029</v>
      </c>
      <c r="CI98" s="207">
        <v>59879.896100000005</v>
      </c>
      <c r="CJ98" s="207">
        <v>30857.517400000004</v>
      </c>
      <c r="CK98" s="207">
        <v>29022.3787</v>
      </c>
      <c r="CL98" s="207">
        <v>7811915.097807338</v>
      </c>
      <c r="CM98" s="207">
        <v>11759003.697890006</v>
      </c>
      <c r="CN98" s="207">
        <v>2748</v>
      </c>
    </row>
    <row r="99" spans="1:92" ht="9.75">
      <c r="A99" s="207">
        <v>276</v>
      </c>
      <c r="B99" s="207" t="s">
        <v>156</v>
      </c>
      <c r="C99" s="207">
        <v>14849</v>
      </c>
      <c r="D99" s="207">
        <v>53141004.1</v>
      </c>
      <c r="E99" s="207">
        <v>14318300.021262832</v>
      </c>
      <c r="F99" s="207">
        <v>2604667.636131375</v>
      </c>
      <c r="G99" s="207">
        <v>70063971.75739421</v>
      </c>
      <c r="H99" s="207">
        <v>3654.72</v>
      </c>
      <c r="I99" s="207">
        <v>54268937.279999994</v>
      </c>
      <c r="J99" s="207">
        <v>15795034.477394216</v>
      </c>
      <c r="K99" s="207">
        <v>121156.20113699614</v>
      </c>
      <c r="L99" s="207">
        <v>-1912371.00328545</v>
      </c>
      <c r="M99" s="207">
        <v>0</v>
      </c>
      <c r="N99" s="207">
        <v>14003819.675245762</v>
      </c>
      <c r="O99" s="207">
        <v>7602704.354523093</v>
      </c>
      <c r="P99" s="207">
        <v>21606524.029768854</v>
      </c>
      <c r="Q99" s="207">
        <v>1155</v>
      </c>
      <c r="R99" s="207">
        <v>224</v>
      </c>
      <c r="S99" s="207">
        <v>1395</v>
      </c>
      <c r="T99" s="207">
        <v>651</v>
      </c>
      <c r="U99" s="207">
        <v>609</v>
      </c>
      <c r="V99" s="207">
        <v>8359</v>
      </c>
      <c r="W99" s="207">
        <v>1594</v>
      </c>
      <c r="X99" s="207">
        <v>635</v>
      </c>
      <c r="Y99" s="207">
        <v>227</v>
      </c>
      <c r="Z99" s="207">
        <v>14</v>
      </c>
      <c r="AA99" s="207">
        <v>0</v>
      </c>
      <c r="AB99" s="207">
        <v>14485</v>
      </c>
      <c r="AC99" s="207">
        <v>350</v>
      </c>
      <c r="AD99" s="207">
        <v>2456</v>
      </c>
      <c r="AE99" s="480">
        <v>0.8185570636462993</v>
      </c>
      <c r="AF99" s="207">
        <v>14318300.021262832</v>
      </c>
      <c r="AG99" s="175">
        <v>703</v>
      </c>
      <c r="AH99" s="175">
        <v>7254</v>
      </c>
      <c r="AI99" s="175">
        <v>0.9933493516328139</v>
      </c>
      <c r="AJ99" s="175">
        <v>350</v>
      </c>
      <c r="AK99" s="175">
        <v>0.023570610815543135</v>
      </c>
      <c r="AL99" s="175">
        <v>0.02028953170508014</v>
      </c>
      <c r="AM99" s="175">
        <v>0</v>
      </c>
      <c r="AN99" s="175">
        <v>14</v>
      </c>
      <c r="AO99" s="175">
        <v>0</v>
      </c>
      <c r="AP99" s="175">
        <v>0</v>
      </c>
      <c r="AQ99" s="175">
        <v>0</v>
      </c>
      <c r="AR99" s="175">
        <v>799.2</v>
      </c>
      <c r="AS99" s="175">
        <v>18.57982982982983</v>
      </c>
      <c r="AT99" s="175">
        <v>0.9768938847745848</v>
      </c>
      <c r="AU99" s="175">
        <v>348</v>
      </c>
      <c r="AV99" s="175">
        <v>5078</v>
      </c>
      <c r="AW99" s="175">
        <v>0.06853091768412761</v>
      </c>
      <c r="AX99" s="175">
        <v>0.013069683954642607</v>
      </c>
      <c r="AY99" s="175">
        <v>0</v>
      </c>
      <c r="AZ99" s="207">
        <v>3300</v>
      </c>
      <c r="BA99" s="175">
        <v>6416</v>
      </c>
      <c r="BB99" s="175">
        <v>0.5143391521197007</v>
      </c>
      <c r="BC99" s="175">
        <v>0.12464430469598886</v>
      </c>
      <c r="BD99" s="175">
        <v>0</v>
      </c>
      <c r="BE99" s="175">
        <v>0</v>
      </c>
      <c r="BF99" s="207">
        <v>-93577.29999999999</v>
      </c>
      <c r="BG99" s="207">
        <v>-114487.59999999999</v>
      </c>
      <c r="BH99" s="207">
        <v>-60880.899999999994</v>
      </c>
      <c r="BI99" s="207">
        <v>-247661</v>
      </c>
      <c r="BJ99" s="207">
        <v>0</v>
      </c>
      <c r="BK99" s="207">
        <v>0</v>
      </c>
      <c r="BL99" s="207">
        <v>96865</v>
      </c>
      <c r="BM99" s="207">
        <v>-450456.51912735833</v>
      </c>
      <c r="BN99" s="207">
        <v>-631973.4400000001</v>
      </c>
      <c r="BO99" s="207">
        <v>-31189.175071258098</v>
      </c>
      <c r="BP99" s="207">
        <v>949206</v>
      </c>
      <c r="BQ99" s="207">
        <v>298870</v>
      </c>
      <c r="BR99" s="207">
        <v>652050.1110439254</v>
      </c>
      <c r="BS99" s="207">
        <v>10525.031466713928</v>
      </c>
      <c r="BT99" s="207">
        <v>-23583.385672022665</v>
      </c>
      <c r="BU99" s="207">
        <v>307887.29031200556</v>
      </c>
      <c r="BV99" s="207">
        <v>676315.8945541244</v>
      </c>
      <c r="BW99" s="207">
        <v>1056294.202249494</v>
      </c>
      <c r="BX99" s="207">
        <v>278307.3585550578</v>
      </c>
      <c r="BY99" s="207">
        <v>547721.4104425646</v>
      </c>
      <c r="BZ99" s="207">
        <v>1336.4099999999999</v>
      </c>
      <c r="CA99" s="207">
        <v>74923.86091316651</v>
      </c>
      <c r="CB99" s="207">
        <v>141936.09584190842</v>
      </c>
      <c r="CC99" s="207">
        <v>-1912371.00328545</v>
      </c>
      <c r="CD99" s="207">
        <v>0</v>
      </c>
      <c r="CE99" s="207">
        <v>709461.0449752522</v>
      </c>
      <c r="CF99" s="207">
        <v>0</v>
      </c>
      <c r="CG99" s="207">
        <v>7602704.354523093</v>
      </c>
      <c r="CH99" s="207">
        <v>-1276383</v>
      </c>
      <c r="CI99" s="207">
        <v>438394.24500000005</v>
      </c>
      <c r="CJ99" s="207">
        <v>400877.213162</v>
      </c>
      <c r="CK99" s="207">
        <v>37517.03183800005</v>
      </c>
      <c r="CL99" s="207">
        <v>20330141.029768854</v>
      </c>
      <c r="CM99" s="207">
        <v>23812597.553770322</v>
      </c>
      <c r="CN99" s="207">
        <v>14830</v>
      </c>
    </row>
    <row r="100" spans="1:92" ht="9.75">
      <c r="A100" s="207">
        <v>280</v>
      </c>
      <c r="B100" s="207" t="s">
        <v>157</v>
      </c>
      <c r="C100" s="207">
        <v>2122</v>
      </c>
      <c r="D100" s="207">
        <v>7897030.54</v>
      </c>
      <c r="E100" s="207">
        <v>2461882.0227553765</v>
      </c>
      <c r="F100" s="207">
        <v>1358690.4125803327</v>
      </c>
      <c r="G100" s="207">
        <v>11717602.97533571</v>
      </c>
      <c r="H100" s="207">
        <v>3654.72</v>
      </c>
      <c r="I100" s="207">
        <v>7755315.84</v>
      </c>
      <c r="J100" s="207">
        <v>3962287.13533571</v>
      </c>
      <c r="K100" s="207">
        <v>210812.21743310743</v>
      </c>
      <c r="L100" s="207">
        <v>-38945.3144629008</v>
      </c>
      <c r="M100" s="207">
        <v>0</v>
      </c>
      <c r="N100" s="207">
        <v>4134154.038305917</v>
      </c>
      <c r="O100" s="207">
        <v>1822331.9539602762</v>
      </c>
      <c r="P100" s="207">
        <v>5956485.992266193</v>
      </c>
      <c r="Q100" s="207">
        <v>118</v>
      </c>
      <c r="R100" s="207">
        <v>20</v>
      </c>
      <c r="S100" s="207">
        <v>139</v>
      </c>
      <c r="T100" s="207">
        <v>57</v>
      </c>
      <c r="U100" s="207">
        <v>62</v>
      </c>
      <c r="V100" s="207">
        <v>1133</v>
      </c>
      <c r="W100" s="207">
        <v>325</v>
      </c>
      <c r="X100" s="207">
        <v>171</v>
      </c>
      <c r="Y100" s="207">
        <v>97</v>
      </c>
      <c r="Z100" s="207">
        <v>1820</v>
      </c>
      <c r="AA100" s="207">
        <v>0</v>
      </c>
      <c r="AB100" s="207">
        <v>70</v>
      </c>
      <c r="AC100" s="207">
        <v>232</v>
      </c>
      <c r="AD100" s="207">
        <v>593</v>
      </c>
      <c r="AE100" s="480">
        <v>0.984864689730904</v>
      </c>
      <c r="AF100" s="207">
        <v>2461882.0227553765</v>
      </c>
      <c r="AG100" s="175">
        <v>57</v>
      </c>
      <c r="AH100" s="175">
        <v>1012</v>
      </c>
      <c r="AI100" s="175">
        <v>0.5773226308683179</v>
      </c>
      <c r="AJ100" s="175">
        <v>232</v>
      </c>
      <c r="AK100" s="175">
        <v>0.10933081998114987</v>
      </c>
      <c r="AL100" s="175">
        <v>0.10604974087068687</v>
      </c>
      <c r="AM100" s="175">
        <v>3</v>
      </c>
      <c r="AN100" s="175">
        <v>1820</v>
      </c>
      <c r="AO100" s="175">
        <v>0</v>
      </c>
      <c r="AP100" s="175">
        <v>0</v>
      </c>
      <c r="AQ100" s="175">
        <v>0</v>
      </c>
      <c r="AR100" s="175">
        <v>236.01</v>
      </c>
      <c r="AS100" s="175">
        <v>8.991144443032075</v>
      </c>
      <c r="AT100" s="175">
        <v>2.018710994569707</v>
      </c>
      <c r="AU100" s="175">
        <v>110</v>
      </c>
      <c r="AV100" s="175">
        <v>600</v>
      </c>
      <c r="AW100" s="175">
        <v>0.18333333333333332</v>
      </c>
      <c r="AX100" s="175">
        <v>0.12787209960384832</v>
      </c>
      <c r="AY100" s="175">
        <v>0.3443333333333333</v>
      </c>
      <c r="AZ100" s="207">
        <v>731</v>
      </c>
      <c r="BA100" s="175">
        <v>946</v>
      </c>
      <c r="BB100" s="175">
        <v>0.7727272727272727</v>
      </c>
      <c r="BC100" s="175">
        <v>0.38303242530356085</v>
      </c>
      <c r="BD100" s="175">
        <v>0</v>
      </c>
      <c r="BE100" s="175">
        <v>0</v>
      </c>
      <c r="BF100" s="207">
        <v>-13591.74</v>
      </c>
      <c r="BG100" s="207">
        <v>-16628.88</v>
      </c>
      <c r="BH100" s="207">
        <v>-8700.199999999999</v>
      </c>
      <c r="BI100" s="207">
        <v>-35971.799999999996</v>
      </c>
      <c r="BJ100" s="207">
        <v>0</v>
      </c>
      <c r="BK100" s="207">
        <v>0</v>
      </c>
      <c r="BL100" s="207">
        <v>-47819</v>
      </c>
      <c r="BM100" s="207">
        <v>-35286.48912731468</v>
      </c>
      <c r="BN100" s="207">
        <v>-90312.32</v>
      </c>
      <c r="BO100" s="207">
        <v>307910.7989604967</v>
      </c>
      <c r="BP100" s="207">
        <v>215330</v>
      </c>
      <c r="BQ100" s="207">
        <v>87084</v>
      </c>
      <c r="BR100" s="207">
        <v>208552.30023377578</v>
      </c>
      <c r="BS100" s="207">
        <v>13536.378379850774</v>
      </c>
      <c r="BT100" s="207">
        <v>38525.12046635463</v>
      </c>
      <c r="BU100" s="207">
        <v>77394.8217952806</v>
      </c>
      <c r="BV100" s="207">
        <v>160512.82890616357</v>
      </c>
      <c r="BW100" s="207">
        <v>219656.9907228866</v>
      </c>
      <c r="BX100" s="207">
        <v>86132.62617675014</v>
      </c>
      <c r="BY100" s="207">
        <v>127685.51874162783</v>
      </c>
      <c r="BZ100" s="207">
        <v>190.98</v>
      </c>
      <c r="CA100" s="207">
        <v>-33676.144296082806</v>
      </c>
      <c r="CB100" s="207">
        <v>226606.63466441387</v>
      </c>
      <c r="CC100" s="207">
        <v>-38945.3144629008</v>
      </c>
      <c r="CD100" s="207">
        <v>0</v>
      </c>
      <c r="CE100" s="207">
        <v>178957.23232617538</v>
      </c>
      <c r="CF100" s="207">
        <v>0</v>
      </c>
      <c r="CG100" s="207">
        <v>1822331.9539602762</v>
      </c>
      <c r="CH100" s="207">
        <v>-331601</v>
      </c>
      <c r="CI100" s="207">
        <v>0</v>
      </c>
      <c r="CJ100" s="207">
        <v>615790.986</v>
      </c>
      <c r="CK100" s="207">
        <v>-615790.986</v>
      </c>
      <c r="CL100" s="207">
        <v>5624884.992266193</v>
      </c>
      <c r="CM100" s="207">
        <v>7127843.456787828</v>
      </c>
      <c r="CN100" s="207">
        <v>2154</v>
      </c>
    </row>
    <row r="101" spans="1:92" ht="9.75">
      <c r="A101" s="207">
        <v>284</v>
      </c>
      <c r="B101" s="207" t="s">
        <v>158</v>
      </c>
      <c r="C101" s="207">
        <v>2340</v>
      </c>
      <c r="D101" s="207">
        <v>9171836.870000001</v>
      </c>
      <c r="E101" s="207">
        <v>2886120.929704039</v>
      </c>
      <c r="F101" s="207">
        <v>534967.3444540991</v>
      </c>
      <c r="G101" s="207">
        <v>12592925.144158138</v>
      </c>
      <c r="H101" s="207">
        <v>3654.72</v>
      </c>
      <c r="I101" s="207">
        <v>8552044.799999999</v>
      </c>
      <c r="J101" s="207">
        <v>4040880.344158139</v>
      </c>
      <c r="K101" s="207">
        <v>94317.73246253161</v>
      </c>
      <c r="L101" s="207">
        <v>-88986.67005915765</v>
      </c>
      <c r="M101" s="207">
        <v>0</v>
      </c>
      <c r="N101" s="207">
        <v>4046211.406561513</v>
      </c>
      <c r="O101" s="207">
        <v>1897515.382913122</v>
      </c>
      <c r="P101" s="207">
        <v>5943726.789474634</v>
      </c>
      <c r="Q101" s="207">
        <v>120</v>
      </c>
      <c r="R101" s="207">
        <v>21</v>
      </c>
      <c r="S101" s="207">
        <v>140</v>
      </c>
      <c r="T101" s="207">
        <v>65</v>
      </c>
      <c r="U101" s="207">
        <v>79</v>
      </c>
      <c r="V101" s="207">
        <v>1157</v>
      </c>
      <c r="W101" s="207">
        <v>370</v>
      </c>
      <c r="X101" s="207">
        <v>271</v>
      </c>
      <c r="Y101" s="207">
        <v>117</v>
      </c>
      <c r="Z101" s="207">
        <v>9</v>
      </c>
      <c r="AA101" s="207">
        <v>0</v>
      </c>
      <c r="AB101" s="207">
        <v>2234</v>
      </c>
      <c r="AC101" s="207">
        <v>97</v>
      </c>
      <c r="AD101" s="207">
        <v>758</v>
      </c>
      <c r="AE101" s="480">
        <v>1.047016139808178</v>
      </c>
      <c r="AF101" s="207">
        <v>2886120.929704039</v>
      </c>
      <c r="AG101" s="175">
        <v>61</v>
      </c>
      <c r="AH101" s="175">
        <v>1021</v>
      </c>
      <c r="AI101" s="175">
        <v>0.6123903405461278</v>
      </c>
      <c r="AJ101" s="175">
        <v>97</v>
      </c>
      <c r="AK101" s="175">
        <v>0.04145299145299145</v>
      </c>
      <c r="AL101" s="175">
        <v>0.03817191234252845</v>
      </c>
      <c r="AM101" s="175">
        <v>0</v>
      </c>
      <c r="AN101" s="175">
        <v>9</v>
      </c>
      <c r="AO101" s="175">
        <v>0</v>
      </c>
      <c r="AP101" s="175">
        <v>0</v>
      </c>
      <c r="AQ101" s="175">
        <v>0</v>
      </c>
      <c r="AR101" s="175">
        <v>191.49</v>
      </c>
      <c r="AS101" s="175">
        <v>12.219959266802443</v>
      </c>
      <c r="AT101" s="175">
        <v>1.485317728531395</v>
      </c>
      <c r="AU101" s="175">
        <v>92</v>
      </c>
      <c r="AV101" s="175">
        <v>620</v>
      </c>
      <c r="AW101" s="175">
        <v>0.14838709677419354</v>
      </c>
      <c r="AX101" s="175">
        <v>0.09292586304470854</v>
      </c>
      <c r="AY101" s="175">
        <v>0</v>
      </c>
      <c r="AZ101" s="207">
        <v>924</v>
      </c>
      <c r="BA101" s="175">
        <v>919</v>
      </c>
      <c r="BB101" s="175">
        <v>1.0054406964091405</v>
      </c>
      <c r="BC101" s="175">
        <v>0.6157458489854286</v>
      </c>
      <c r="BD101" s="175">
        <v>0</v>
      </c>
      <c r="BE101" s="175">
        <v>0</v>
      </c>
      <c r="BF101" s="207">
        <v>-14885.289999999999</v>
      </c>
      <c r="BG101" s="207">
        <v>-18211.48</v>
      </c>
      <c r="BH101" s="207">
        <v>-9594</v>
      </c>
      <c r="BI101" s="207">
        <v>-39395.299999999996</v>
      </c>
      <c r="BJ101" s="207">
        <v>0</v>
      </c>
      <c r="BK101" s="207">
        <v>0</v>
      </c>
      <c r="BL101" s="207">
        <v>-58672</v>
      </c>
      <c r="BM101" s="207">
        <v>-12823.365524043591</v>
      </c>
      <c r="BN101" s="207">
        <v>-99590.40000000001</v>
      </c>
      <c r="BO101" s="207">
        <v>240131.28113703616</v>
      </c>
      <c r="BP101" s="207">
        <v>238534</v>
      </c>
      <c r="BQ101" s="207">
        <v>77683</v>
      </c>
      <c r="BR101" s="207">
        <v>183775.91836874714</v>
      </c>
      <c r="BS101" s="207">
        <v>9914.914833124469</v>
      </c>
      <c r="BT101" s="207">
        <v>25160.51397010668</v>
      </c>
      <c r="BU101" s="207">
        <v>84042.742812827</v>
      </c>
      <c r="BV101" s="207">
        <v>143275.3160113607</v>
      </c>
      <c r="BW101" s="207">
        <v>216829.0949552883</v>
      </c>
      <c r="BX101" s="207">
        <v>70375.32850897516</v>
      </c>
      <c r="BY101" s="207">
        <v>115007.48072680269</v>
      </c>
      <c r="BZ101" s="207">
        <v>210.6</v>
      </c>
      <c r="CA101" s="207">
        <v>-4412.315672150267</v>
      </c>
      <c r="CB101" s="207">
        <v>177257.5654648859</v>
      </c>
      <c r="CC101" s="207">
        <v>-88986.67005915765</v>
      </c>
      <c r="CD101" s="207">
        <v>0</v>
      </c>
      <c r="CE101" s="207">
        <v>154574.85982862662</v>
      </c>
      <c r="CF101" s="207">
        <v>0</v>
      </c>
      <c r="CG101" s="207">
        <v>1897515.382913122</v>
      </c>
      <c r="CH101" s="207">
        <v>701760</v>
      </c>
      <c r="CI101" s="207">
        <v>961136.9021</v>
      </c>
      <c r="CJ101" s="207">
        <v>42915.05834</v>
      </c>
      <c r="CK101" s="207">
        <v>918221.84376</v>
      </c>
      <c r="CL101" s="207">
        <v>6645486.789474634</v>
      </c>
      <c r="CM101" s="207">
        <v>7415524.371669862</v>
      </c>
      <c r="CN101" s="207">
        <v>2359</v>
      </c>
    </row>
    <row r="102" spans="1:92" ht="9.75">
      <c r="A102" s="207">
        <v>285</v>
      </c>
      <c r="B102" s="207" t="s">
        <v>159</v>
      </c>
      <c r="C102" s="207">
        <v>52883</v>
      </c>
      <c r="D102" s="207">
        <v>181296152.39999998</v>
      </c>
      <c r="E102" s="207">
        <v>87166393.8960208</v>
      </c>
      <c r="F102" s="207">
        <v>19139119.471809193</v>
      </c>
      <c r="G102" s="207">
        <v>287601665.76782995</v>
      </c>
      <c r="H102" s="207">
        <v>3654.72</v>
      </c>
      <c r="I102" s="207">
        <v>193272557.76</v>
      </c>
      <c r="J102" s="207">
        <v>94329108.00782996</v>
      </c>
      <c r="K102" s="207">
        <v>2507023.4135506065</v>
      </c>
      <c r="L102" s="207">
        <v>-8413217.01941654</v>
      </c>
      <c r="M102" s="207">
        <v>0</v>
      </c>
      <c r="N102" s="207">
        <v>88422914.40196402</v>
      </c>
      <c r="O102" s="207">
        <v>12577689.681190707</v>
      </c>
      <c r="P102" s="207">
        <v>101000604.08315474</v>
      </c>
      <c r="Q102" s="207">
        <v>2560</v>
      </c>
      <c r="R102" s="207">
        <v>499</v>
      </c>
      <c r="S102" s="207">
        <v>3074</v>
      </c>
      <c r="T102" s="207">
        <v>1581</v>
      </c>
      <c r="U102" s="207">
        <v>1635</v>
      </c>
      <c r="V102" s="207">
        <v>29623</v>
      </c>
      <c r="W102" s="207">
        <v>8030</v>
      </c>
      <c r="X102" s="207">
        <v>4083</v>
      </c>
      <c r="Y102" s="207">
        <v>1798</v>
      </c>
      <c r="Z102" s="207">
        <v>504</v>
      </c>
      <c r="AA102" s="207">
        <v>3</v>
      </c>
      <c r="AB102" s="207">
        <v>47439</v>
      </c>
      <c r="AC102" s="207">
        <v>4937</v>
      </c>
      <c r="AD102" s="207">
        <v>13911</v>
      </c>
      <c r="AE102" s="480">
        <v>1.3992254788555842</v>
      </c>
      <c r="AF102" s="207">
        <v>87166393.8960208</v>
      </c>
      <c r="AG102" s="175">
        <v>3504</v>
      </c>
      <c r="AH102" s="175">
        <v>24053</v>
      </c>
      <c r="AI102" s="175">
        <v>1.493203795233871</v>
      </c>
      <c r="AJ102" s="175">
        <v>4937</v>
      </c>
      <c r="AK102" s="175">
        <v>0.0933570334512036</v>
      </c>
      <c r="AL102" s="175">
        <v>0.0900759543407406</v>
      </c>
      <c r="AM102" s="175">
        <v>0</v>
      </c>
      <c r="AN102" s="175">
        <v>504</v>
      </c>
      <c r="AO102" s="175">
        <v>3</v>
      </c>
      <c r="AP102" s="175">
        <v>3</v>
      </c>
      <c r="AQ102" s="175">
        <v>488</v>
      </c>
      <c r="AR102" s="175">
        <v>272.03</v>
      </c>
      <c r="AS102" s="175">
        <v>194.4013527919715</v>
      </c>
      <c r="AT102" s="175">
        <v>0.09336623372336308</v>
      </c>
      <c r="AU102" s="175">
        <v>2434</v>
      </c>
      <c r="AV102" s="175">
        <v>15715</v>
      </c>
      <c r="AW102" s="175">
        <v>0.15488386891504932</v>
      </c>
      <c r="AX102" s="175">
        <v>0.09942263518556432</v>
      </c>
      <c r="AY102" s="175">
        <v>0</v>
      </c>
      <c r="AZ102" s="207">
        <v>21729</v>
      </c>
      <c r="BA102" s="175">
        <v>19507</v>
      </c>
      <c r="BB102" s="175">
        <v>1.113907827959194</v>
      </c>
      <c r="BC102" s="175">
        <v>0.7242129805354822</v>
      </c>
      <c r="BD102" s="175">
        <v>0</v>
      </c>
      <c r="BE102" s="175">
        <v>3</v>
      </c>
      <c r="BF102" s="207">
        <v>-337831.08999999997</v>
      </c>
      <c r="BG102" s="207">
        <v>-413321.07999999996</v>
      </c>
      <c r="BH102" s="207">
        <v>-216820.3</v>
      </c>
      <c r="BI102" s="207">
        <v>-894101.2999999999</v>
      </c>
      <c r="BJ102" s="207">
        <v>0</v>
      </c>
      <c r="BK102" s="207">
        <v>0</v>
      </c>
      <c r="BL102" s="207">
        <v>1472159</v>
      </c>
      <c r="BM102" s="207">
        <v>-4364143.398820534</v>
      </c>
      <c r="BN102" s="207">
        <v>-2250700.48</v>
      </c>
      <c r="BO102" s="207">
        <v>-573075.1788794994</v>
      </c>
      <c r="BP102" s="207">
        <v>3639803</v>
      </c>
      <c r="BQ102" s="207">
        <v>1163250</v>
      </c>
      <c r="BR102" s="207">
        <v>2606864.8577143773</v>
      </c>
      <c r="BS102" s="207">
        <v>98405.03850020409</v>
      </c>
      <c r="BT102" s="207">
        <v>187240.83452947697</v>
      </c>
      <c r="BU102" s="207">
        <v>1470501.8591478586</v>
      </c>
      <c r="BV102" s="207">
        <v>2123241.615270677</v>
      </c>
      <c r="BW102" s="207">
        <v>3781112.1653880496</v>
      </c>
      <c r="BX102" s="207">
        <v>1085904.423377082</v>
      </c>
      <c r="BY102" s="207">
        <v>2130317.2442567786</v>
      </c>
      <c r="BZ102" s="207">
        <v>4759.47</v>
      </c>
      <c r="CA102" s="207">
        <v>781250.118283494</v>
      </c>
      <c r="CB102" s="207">
        <v>1685093.4094039947</v>
      </c>
      <c r="CC102" s="207">
        <v>-8413217.01941654</v>
      </c>
      <c r="CD102" s="207">
        <v>0</v>
      </c>
      <c r="CE102" s="207">
        <v>2844522.725090478</v>
      </c>
      <c r="CF102" s="207">
        <v>0</v>
      </c>
      <c r="CG102" s="207">
        <v>12577689.681190707</v>
      </c>
      <c r="CH102" s="207">
        <v>-1134236</v>
      </c>
      <c r="CI102" s="207">
        <v>374028.45430000004</v>
      </c>
      <c r="CJ102" s="207">
        <v>1155755.4002780002</v>
      </c>
      <c r="CK102" s="207">
        <v>-781726.9459780001</v>
      </c>
      <c r="CL102" s="207">
        <v>99866368.08315474</v>
      </c>
      <c r="CM102" s="207">
        <v>110339629.1386408</v>
      </c>
      <c r="CN102" s="207">
        <v>53539</v>
      </c>
    </row>
    <row r="103" spans="1:92" ht="9.75">
      <c r="A103" s="207">
        <v>286</v>
      </c>
      <c r="B103" s="207" t="s">
        <v>160</v>
      </c>
      <c r="C103" s="207">
        <v>83177</v>
      </c>
      <c r="D103" s="207">
        <v>290636426.64</v>
      </c>
      <c r="E103" s="207">
        <v>116184696.04433301</v>
      </c>
      <c r="F103" s="207">
        <v>19956203.399375856</v>
      </c>
      <c r="G103" s="207">
        <v>426777326.0837088</v>
      </c>
      <c r="H103" s="207">
        <v>3654.72</v>
      </c>
      <c r="I103" s="207">
        <v>303988645.44</v>
      </c>
      <c r="J103" s="207">
        <v>122788680.64370883</v>
      </c>
      <c r="K103" s="207">
        <v>3174045.088374364</v>
      </c>
      <c r="L103" s="207">
        <v>-11818669.027573854</v>
      </c>
      <c r="M103" s="207">
        <v>0</v>
      </c>
      <c r="N103" s="207">
        <v>114144056.70450933</v>
      </c>
      <c r="O103" s="207">
        <v>19243821.734008316</v>
      </c>
      <c r="P103" s="207">
        <v>133387878.43851765</v>
      </c>
      <c r="Q103" s="207">
        <v>4040</v>
      </c>
      <c r="R103" s="207">
        <v>768</v>
      </c>
      <c r="S103" s="207">
        <v>4794</v>
      </c>
      <c r="T103" s="207">
        <v>2568</v>
      </c>
      <c r="U103" s="207">
        <v>2569</v>
      </c>
      <c r="V103" s="207">
        <v>45727</v>
      </c>
      <c r="W103" s="207">
        <v>12829</v>
      </c>
      <c r="X103" s="207">
        <v>6930</v>
      </c>
      <c r="Y103" s="207">
        <v>2952</v>
      </c>
      <c r="Z103" s="207">
        <v>295</v>
      </c>
      <c r="AA103" s="207">
        <v>1</v>
      </c>
      <c r="AB103" s="207">
        <v>79394</v>
      </c>
      <c r="AC103" s="207">
        <v>3487</v>
      </c>
      <c r="AD103" s="207">
        <v>22711</v>
      </c>
      <c r="AE103" s="480">
        <v>1.1857697949094403</v>
      </c>
      <c r="AF103" s="207">
        <v>116184696.04433301</v>
      </c>
      <c r="AG103" s="175">
        <v>4620</v>
      </c>
      <c r="AH103" s="175">
        <v>38473</v>
      </c>
      <c r="AI103" s="175">
        <v>1.23086426127367</v>
      </c>
      <c r="AJ103" s="175">
        <v>3487</v>
      </c>
      <c r="AK103" s="175">
        <v>0.04192264688555731</v>
      </c>
      <c r="AL103" s="175">
        <v>0.03864156777509431</v>
      </c>
      <c r="AM103" s="175">
        <v>0</v>
      </c>
      <c r="AN103" s="175">
        <v>295</v>
      </c>
      <c r="AO103" s="175">
        <v>1</v>
      </c>
      <c r="AP103" s="175">
        <v>0</v>
      </c>
      <c r="AQ103" s="175">
        <v>0</v>
      </c>
      <c r="AR103" s="175">
        <v>2558.24</v>
      </c>
      <c r="AS103" s="175">
        <v>32.51336856588905</v>
      </c>
      <c r="AT103" s="175">
        <v>0.5582479743411005</v>
      </c>
      <c r="AU103" s="175">
        <v>3018</v>
      </c>
      <c r="AV103" s="175">
        <v>24052</v>
      </c>
      <c r="AW103" s="175">
        <v>0.12547813071678032</v>
      </c>
      <c r="AX103" s="175">
        <v>0.07001689698729532</v>
      </c>
      <c r="AY103" s="175">
        <v>0</v>
      </c>
      <c r="AZ103" s="207">
        <v>31329</v>
      </c>
      <c r="BA103" s="175">
        <v>32210</v>
      </c>
      <c r="BB103" s="175">
        <v>0.9726482458863707</v>
      </c>
      <c r="BC103" s="175">
        <v>0.5829533984626588</v>
      </c>
      <c r="BD103" s="175">
        <v>0</v>
      </c>
      <c r="BE103" s="175">
        <v>1</v>
      </c>
      <c r="BF103" s="207">
        <v>-531276.76</v>
      </c>
      <c r="BG103" s="207">
        <v>-649993.12</v>
      </c>
      <c r="BH103" s="207">
        <v>-341025.69999999995</v>
      </c>
      <c r="BI103" s="207">
        <v>-1406073.2</v>
      </c>
      <c r="BJ103" s="207">
        <v>0</v>
      </c>
      <c r="BK103" s="207">
        <v>0</v>
      </c>
      <c r="BL103" s="207">
        <v>1721663</v>
      </c>
      <c r="BM103" s="207">
        <v>-4455910.345753273</v>
      </c>
      <c r="BN103" s="207">
        <v>-3540013.12</v>
      </c>
      <c r="BO103" s="207">
        <v>-328800.80143755674</v>
      </c>
      <c r="BP103" s="207">
        <v>6029989</v>
      </c>
      <c r="BQ103" s="207">
        <v>1994317</v>
      </c>
      <c r="BR103" s="207">
        <v>4685514.567385978</v>
      </c>
      <c r="BS103" s="207">
        <v>204266.15495217545</v>
      </c>
      <c r="BT103" s="207">
        <v>546399.8316247552</v>
      </c>
      <c r="BU103" s="207">
        <v>2240686.432876591</v>
      </c>
      <c r="BV103" s="207">
        <v>3866084.163918898</v>
      </c>
      <c r="BW103" s="207">
        <v>6539303.329367374</v>
      </c>
      <c r="BX103" s="207">
        <v>1904548.4230995</v>
      </c>
      <c r="BY103" s="207">
        <v>3386639.5899784626</v>
      </c>
      <c r="BZ103" s="207">
        <v>7485.929999999999</v>
      </c>
      <c r="CA103" s="207">
        <v>255481.909616975</v>
      </c>
      <c r="CB103" s="207">
        <v>1655830.038179418</v>
      </c>
      <c r="CC103" s="207">
        <v>-11818669.027573854</v>
      </c>
      <c r="CD103" s="207">
        <v>0</v>
      </c>
      <c r="CE103" s="207">
        <v>4234185.533103547</v>
      </c>
      <c r="CF103" s="207">
        <v>0</v>
      </c>
      <c r="CG103" s="207">
        <v>19243821.734008316</v>
      </c>
      <c r="CH103" s="207">
        <v>16155348</v>
      </c>
      <c r="CI103" s="207">
        <v>1268692.5546000001</v>
      </c>
      <c r="CJ103" s="207">
        <v>1103865.834014</v>
      </c>
      <c r="CK103" s="207">
        <v>164826.72058600024</v>
      </c>
      <c r="CL103" s="207">
        <v>149543226.43851763</v>
      </c>
      <c r="CM103" s="207">
        <v>168693210.94204384</v>
      </c>
      <c r="CN103" s="207">
        <v>84196</v>
      </c>
    </row>
    <row r="104" spans="1:92" ht="9.75">
      <c r="A104" s="207">
        <v>287</v>
      </c>
      <c r="B104" s="207" t="s">
        <v>161</v>
      </c>
      <c r="C104" s="207">
        <v>6596</v>
      </c>
      <c r="D104" s="207">
        <v>25058721.78</v>
      </c>
      <c r="E104" s="207">
        <v>9244617.904118229</v>
      </c>
      <c r="F104" s="207">
        <v>2660252.2008994087</v>
      </c>
      <c r="G104" s="207">
        <v>36963591.88501763</v>
      </c>
      <c r="H104" s="207">
        <v>3654.72</v>
      </c>
      <c r="I104" s="207">
        <v>24106533.119999997</v>
      </c>
      <c r="J104" s="207">
        <v>12857058.765017636</v>
      </c>
      <c r="K104" s="207">
        <v>928894.4548225522</v>
      </c>
      <c r="L104" s="207">
        <v>-776118.6203328234</v>
      </c>
      <c r="M104" s="207">
        <v>0</v>
      </c>
      <c r="N104" s="207">
        <v>13009834.599507364</v>
      </c>
      <c r="O104" s="207">
        <v>4125974.226292295</v>
      </c>
      <c r="P104" s="207">
        <v>17135808.82579966</v>
      </c>
      <c r="Q104" s="207">
        <v>304</v>
      </c>
      <c r="R104" s="207">
        <v>48</v>
      </c>
      <c r="S104" s="207">
        <v>335</v>
      </c>
      <c r="T104" s="207">
        <v>165</v>
      </c>
      <c r="U104" s="207">
        <v>162</v>
      </c>
      <c r="V104" s="207">
        <v>3272</v>
      </c>
      <c r="W104" s="207">
        <v>1283</v>
      </c>
      <c r="X104" s="207">
        <v>667</v>
      </c>
      <c r="Y104" s="207">
        <v>360</v>
      </c>
      <c r="Z104" s="207">
        <v>3591</v>
      </c>
      <c r="AA104" s="207">
        <v>0</v>
      </c>
      <c r="AB104" s="207">
        <v>2727</v>
      </c>
      <c r="AC104" s="207">
        <v>278</v>
      </c>
      <c r="AD104" s="207">
        <v>2310</v>
      </c>
      <c r="AE104" s="480">
        <v>1.1897700391704995</v>
      </c>
      <c r="AF104" s="207">
        <v>9244617.904118229</v>
      </c>
      <c r="AG104" s="175">
        <v>145</v>
      </c>
      <c r="AH104" s="175">
        <v>2843</v>
      </c>
      <c r="AI104" s="175">
        <v>0.5227756869974081</v>
      </c>
      <c r="AJ104" s="175">
        <v>278</v>
      </c>
      <c r="AK104" s="175">
        <v>0.04214675560946028</v>
      </c>
      <c r="AL104" s="175">
        <v>0.03886567649899728</v>
      </c>
      <c r="AM104" s="175">
        <v>3</v>
      </c>
      <c r="AN104" s="175">
        <v>3591</v>
      </c>
      <c r="AO104" s="175">
        <v>0</v>
      </c>
      <c r="AP104" s="175">
        <v>0</v>
      </c>
      <c r="AQ104" s="175">
        <v>0</v>
      </c>
      <c r="AR104" s="175">
        <v>683.04</v>
      </c>
      <c r="AS104" s="175">
        <v>9.656828297025065</v>
      </c>
      <c r="AT104" s="175">
        <v>1.8795531599650295</v>
      </c>
      <c r="AU104" s="175">
        <v>250</v>
      </c>
      <c r="AV104" s="175">
        <v>1601</v>
      </c>
      <c r="AW104" s="175">
        <v>0.1561524047470331</v>
      </c>
      <c r="AX104" s="175">
        <v>0.1006911710175481</v>
      </c>
      <c r="AY104" s="175">
        <v>0.4862</v>
      </c>
      <c r="AZ104" s="207">
        <v>2445</v>
      </c>
      <c r="BA104" s="175">
        <v>2604</v>
      </c>
      <c r="BB104" s="175">
        <v>0.9389400921658986</v>
      </c>
      <c r="BC104" s="175">
        <v>0.5492452447421867</v>
      </c>
      <c r="BD104" s="175">
        <v>0</v>
      </c>
      <c r="BE104" s="175">
        <v>0</v>
      </c>
      <c r="BF104" s="207">
        <v>-41885.78</v>
      </c>
      <c r="BG104" s="207">
        <v>-51245.36</v>
      </c>
      <c r="BH104" s="207">
        <v>-27043.6</v>
      </c>
      <c r="BI104" s="207">
        <v>-110854.59999999999</v>
      </c>
      <c r="BJ104" s="207">
        <v>0</v>
      </c>
      <c r="BK104" s="207">
        <v>0</v>
      </c>
      <c r="BL104" s="207">
        <v>-114657</v>
      </c>
      <c r="BM104" s="207">
        <v>-104550.49278833844</v>
      </c>
      <c r="BN104" s="207">
        <v>-280725.76</v>
      </c>
      <c r="BO104" s="207">
        <v>168304.4416630827</v>
      </c>
      <c r="BP104" s="207">
        <v>692802</v>
      </c>
      <c r="BQ104" s="207">
        <v>228414</v>
      </c>
      <c r="BR104" s="207">
        <v>568548.2001782603</v>
      </c>
      <c r="BS104" s="207">
        <v>30177.065317712404</v>
      </c>
      <c r="BT104" s="207">
        <v>84240.24277662033</v>
      </c>
      <c r="BU104" s="207">
        <v>255219.49443637565</v>
      </c>
      <c r="BV104" s="207">
        <v>392060.7792299144</v>
      </c>
      <c r="BW104" s="207">
        <v>659173.8744729864</v>
      </c>
      <c r="BX104" s="207">
        <v>219634.1354778587</v>
      </c>
      <c r="BY104" s="207">
        <v>347455.59014017653</v>
      </c>
      <c r="BZ104" s="207">
        <v>593.64</v>
      </c>
      <c r="CA104" s="207">
        <v>-11820.749207567504</v>
      </c>
      <c r="CB104" s="207">
        <v>42420.332455515185</v>
      </c>
      <c r="CC104" s="207">
        <v>-776118.6203328234</v>
      </c>
      <c r="CD104" s="207">
        <v>0</v>
      </c>
      <c r="CE104" s="207">
        <v>449304.1622001561</v>
      </c>
      <c r="CF104" s="207">
        <v>0</v>
      </c>
      <c r="CG104" s="207">
        <v>4125974.226292295</v>
      </c>
      <c r="CH104" s="207">
        <v>116233</v>
      </c>
      <c r="CI104" s="207">
        <v>890653.9824000001</v>
      </c>
      <c r="CJ104" s="207">
        <v>93795.978</v>
      </c>
      <c r="CK104" s="207">
        <v>796858.0044000001</v>
      </c>
      <c r="CL104" s="207">
        <v>17252041.82579966</v>
      </c>
      <c r="CM104" s="207">
        <v>20455757.320244193</v>
      </c>
      <c r="CN104" s="207">
        <v>6638</v>
      </c>
    </row>
    <row r="105" spans="1:92" ht="9.75">
      <c r="A105" s="207">
        <v>288</v>
      </c>
      <c r="B105" s="207" t="s">
        <v>162</v>
      </c>
      <c r="C105" s="207">
        <v>6509</v>
      </c>
      <c r="D105" s="207">
        <v>24808783.810000002</v>
      </c>
      <c r="E105" s="207">
        <v>6844549.332818631</v>
      </c>
      <c r="F105" s="207">
        <v>2789508.5177888055</v>
      </c>
      <c r="G105" s="207">
        <v>34442841.66060744</v>
      </c>
      <c r="H105" s="207">
        <v>3654.72</v>
      </c>
      <c r="I105" s="207">
        <v>23788572.48</v>
      </c>
      <c r="J105" s="207">
        <v>10654269.180607442</v>
      </c>
      <c r="K105" s="207">
        <v>196393.46479100623</v>
      </c>
      <c r="L105" s="207">
        <v>-895033.0253992296</v>
      </c>
      <c r="M105" s="207">
        <v>0</v>
      </c>
      <c r="N105" s="207">
        <v>9955629.619999217</v>
      </c>
      <c r="O105" s="207">
        <v>3636431.708627104</v>
      </c>
      <c r="P105" s="207">
        <v>13592061.32862632</v>
      </c>
      <c r="Q105" s="207">
        <v>394</v>
      </c>
      <c r="R105" s="207">
        <v>70</v>
      </c>
      <c r="S105" s="207">
        <v>492</v>
      </c>
      <c r="T105" s="207">
        <v>249</v>
      </c>
      <c r="U105" s="207">
        <v>259</v>
      </c>
      <c r="V105" s="207">
        <v>3422</v>
      </c>
      <c r="W105" s="207">
        <v>882</v>
      </c>
      <c r="X105" s="207">
        <v>499</v>
      </c>
      <c r="Y105" s="207">
        <v>242</v>
      </c>
      <c r="Z105" s="207">
        <v>5060</v>
      </c>
      <c r="AA105" s="207">
        <v>0</v>
      </c>
      <c r="AB105" s="207">
        <v>1236</v>
      </c>
      <c r="AC105" s="207">
        <v>213</v>
      </c>
      <c r="AD105" s="207">
        <v>1623</v>
      </c>
      <c r="AE105" s="480">
        <v>0.8926583999558964</v>
      </c>
      <c r="AF105" s="207">
        <v>6844549.332818631</v>
      </c>
      <c r="AG105" s="175">
        <v>131</v>
      </c>
      <c r="AH105" s="175">
        <v>3062</v>
      </c>
      <c r="AI105" s="175">
        <v>0.4385209519032088</v>
      </c>
      <c r="AJ105" s="175">
        <v>213</v>
      </c>
      <c r="AK105" s="175">
        <v>0.03272392072514979</v>
      </c>
      <c r="AL105" s="175">
        <v>0.029442841614686795</v>
      </c>
      <c r="AM105" s="175">
        <v>3</v>
      </c>
      <c r="AN105" s="175">
        <v>5060</v>
      </c>
      <c r="AO105" s="175">
        <v>0</v>
      </c>
      <c r="AP105" s="175">
        <v>0</v>
      </c>
      <c r="AQ105" s="175">
        <v>0</v>
      </c>
      <c r="AR105" s="175">
        <v>712.86</v>
      </c>
      <c r="AS105" s="175">
        <v>9.130825126953399</v>
      </c>
      <c r="AT105" s="175">
        <v>1.98782934603954</v>
      </c>
      <c r="AU105" s="175">
        <v>227</v>
      </c>
      <c r="AV105" s="175">
        <v>1860</v>
      </c>
      <c r="AW105" s="175">
        <v>0.12204301075268817</v>
      </c>
      <c r="AX105" s="175">
        <v>0.06658177702320317</v>
      </c>
      <c r="AY105" s="175">
        <v>0</v>
      </c>
      <c r="AZ105" s="207">
        <v>2443</v>
      </c>
      <c r="BA105" s="175">
        <v>2872</v>
      </c>
      <c r="BB105" s="175">
        <v>0.8506267409470752</v>
      </c>
      <c r="BC105" s="175">
        <v>0.4609318935233634</v>
      </c>
      <c r="BD105" s="175">
        <v>0</v>
      </c>
      <c r="BE105" s="175">
        <v>0</v>
      </c>
      <c r="BF105" s="207">
        <v>-41210.61</v>
      </c>
      <c r="BG105" s="207">
        <v>-50419.32</v>
      </c>
      <c r="BH105" s="207">
        <v>-26686.899999999998</v>
      </c>
      <c r="BI105" s="207">
        <v>-109067.7</v>
      </c>
      <c r="BJ105" s="207">
        <v>0</v>
      </c>
      <c r="BK105" s="207">
        <v>0</v>
      </c>
      <c r="BL105" s="207">
        <v>-32538</v>
      </c>
      <c r="BM105" s="207">
        <v>-42683.453685173445</v>
      </c>
      <c r="BN105" s="207">
        <v>-277023.04000000004</v>
      </c>
      <c r="BO105" s="207">
        <v>-40340.352658394724</v>
      </c>
      <c r="BP105" s="207">
        <v>575682</v>
      </c>
      <c r="BQ105" s="207">
        <v>200208</v>
      </c>
      <c r="BR105" s="207">
        <v>498934.73935790296</v>
      </c>
      <c r="BS105" s="207">
        <v>26028.434395778844</v>
      </c>
      <c r="BT105" s="207">
        <v>65840.18374348737</v>
      </c>
      <c r="BU105" s="207">
        <v>210501.86059898874</v>
      </c>
      <c r="BV105" s="207">
        <v>389555.4606137078</v>
      </c>
      <c r="BW105" s="207">
        <v>647069.5953866849</v>
      </c>
      <c r="BX105" s="207">
        <v>190445.68935750786</v>
      </c>
      <c r="BY105" s="207">
        <v>321821.6558431388</v>
      </c>
      <c r="BZ105" s="207">
        <v>585.81</v>
      </c>
      <c r="CA105" s="207">
        <v>-76083.51905566148</v>
      </c>
      <c r="CB105" s="207">
        <v>-148376.0617140562</v>
      </c>
      <c r="CC105" s="207">
        <v>-895033.0253992296</v>
      </c>
      <c r="CD105" s="207">
        <v>0</v>
      </c>
      <c r="CE105" s="207">
        <v>427756.4741443714</v>
      </c>
      <c r="CF105" s="207">
        <v>0</v>
      </c>
      <c r="CG105" s="207">
        <v>3636431.708627104</v>
      </c>
      <c r="CH105" s="207">
        <v>18770</v>
      </c>
      <c r="CI105" s="207">
        <v>73405.548</v>
      </c>
      <c r="CJ105" s="207">
        <v>496574.9386</v>
      </c>
      <c r="CK105" s="207">
        <v>-423169.3906</v>
      </c>
      <c r="CL105" s="207">
        <v>13610831.32862632</v>
      </c>
      <c r="CM105" s="207">
        <v>15688294.594126083</v>
      </c>
      <c r="CN105" s="207">
        <v>6531</v>
      </c>
    </row>
    <row r="106" spans="1:92" ht="9.75">
      <c r="A106" s="207">
        <v>290</v>
      </c>
      <c r="B106" s="207" t="s">
        <v>163</v>
      </c>
      <c r="C106" s="207">
        <v>8329</v>
      </c>
      <c r="D106" s="207">
        <v>29629844.709999997</v>
      </c>
      <c r="E106" s="207">
        <v>14723584.889199266</v>
      </c>
      <c r="F106" s="207">
        <v>5006277.525771658</v>
      </c>
      <c r="G106" s="207">
        <v>49359707.12497092</v>
      </c>
      <c r="H106" s="207">
        <v>3654.72</v>
      </c>
      <c r="I106" s="207">
        <v>30440162.88</v>
      </c>
      <c r="J106" s="207">
        <v>18919544.24497092</v>
      </c>
      <c r="K106" s="207">
        <v>3851523.353973714</v>
      </c>
      <c r="L106" s="207">
        <v>-423525.0240492034</v>
      </c>
      <c r="M106" s="207">
        <v>0</v>
      </c>
      <c r="N106" s="207">
        <v>22347542.57489543</v>
      </c>
      <c r="O106" s="207">
        <v>6265233.992108668</v>
      </c>
      <c r="P106" s="207">
        <v>28612776.5670041</v>
      </c>
      <c r="Q106" s="207">
        <v>286</v>
      </c>
      <c r="R106" s="207">
        <v>67</v>
      </c>
      <c r="S106" s="207">
        <v>450</v>
      </c>
      <c r="T106" s="207">
        <v>229</v>
      </c>
      <c r="U106" s="207">
        <v>204</v>
      </c>
      <c r="V106" s="207">
        <v>4191</v>
      </c>
      <c r="W106" s="207">
        <v>1621</v>
      </c>
      <c r="X106" s="207">
        <v>948</v>
      </c>
      <c r="Y106" s="207">
        <v>333</v>
      </c>
      <c r="Z106" s="207">
        <v>6</v>
      </c>
      <c r="AA106" s="207">
        <v>0</v>
      </c>
      <c r="AB106" s="207">
        <v>8149</v>
      </c>
      <c r="AC106" s="207">
        <v>174</v>
      </c>
      <c r="AD106" s="207">
        <v>2902</v>
      </c>
      <c r="AE106" s="480">
        <v>1.5006361769103906</v>
      </c>
      <c r="AF106" s="207">
        <v>14723584.889199266</v>
      </c>
      <c r="AG106" s="175">
        <v>466</v>
      </c>
      <c r="AH106" s="175">
        <v>3560</v>
      </c>
      <c r="AI106" s="175">
        <v>1.3417146369823172</v>
      </c>
      <c r="AJ106" s="175">
        <v>174</v>
      </c>
      <c r="AK106" s="175">
        <v>0.020890863248889422</v>
      </c>
      <c r="AL106" s="175">
        <v>0.017609784138426426</v>
      </c>
      <c r="AM106" s="175">
        <v>0</v>
      </c>
      <c r="AN106" s="175">
        <v>6</v>
      </c>
      <c r="AO106" s="175">
        <v>0</v>
      </c>
      <c r="AP106" s="175">
        <v>0</v>
      </c>
      <c r="AQ106" s="175">
        <v>0</v>
      </c>
      <c r="AR106" s="175">
        <v>4806.52</v>
      </c>
      <c r="AS106" s="175">
        <v>1.7328545392508508</v>
      </c>
      <c r="AT106" s="175">
        <v>10.474348382848122</v>
      </c>
      <c r="AU106" s="175">
        <v>246</v>
      </c>
      <c r="AV106" s="175">
        <v>2069</v>
      </c>
      <c r="AW106" s="175">
        <v>0.11889801836636056</v>
      </c>
      <c r="AX106" s="175">
        <v>0.06343678463687555</v>
      </c>
      <c r="AY106" s="175">
        <v>1.31055</v>
      </c>
      <c r="AZ106" s="207">
        <v>2711</v>
      </c>
      <c r="BA106" s="175">
        <v>2777</v>
      </c>
      <c r="BB106" s="175">
        <v>0.9762333453366943</v>
      </c>
      <c r="BC106" s="175">
        <v>0.5865384979129824</v>
      </c>
      <c r="BD106" s="175">
        <v>0</v>
      </c>
      <c r="BE106" s="175">
        <v>0</v>
      </c>
      <c r="BF106" s="207">
        <v>-53628.689999999995</v>
      </c>
      <c r="BG106" s="207">
        <v>-65612.28</v>
      </c>
      <c r="BH106" s="207">
        <v>-34148.899999999994</v>
      </c>
      <c r="BI106" s="207">
        <v>-141933.3</v>
      </c>
      <c r="BJ106" s="207">
        <v>0</v>
      </c>
      <c r="BK106" s="207">
        <v>0</v>
      </c>
      <c r="BL106" s="207">
        <v>576522</v>
      </c>
      <c r="BM106" s="207">
        <v>-178975.8569297406</v>
      </c>
      <c r="BN106" s="207">
        <v>-354482.24</v>
      </c>
      <c r="BO106" s="207">
        <v>45840.17907136306</v>
      </c>
      <c r="BP106" s="207">
        <v>879743</v>
      </c>
      <c r="BQ106" s="207">
        <v>272146</v>
      </c>
      <c r="BR106" s="207">
        <v>703979.2439260354</v>
      </c>
      <c r="BS106" s="207">
        <v>36783.39677402133</v>
      </c>
      <c r="BT106" s="207">
        <v>141222.52031815654</v>
      </c>
      <c r="BU106" s="207">
        <v>373179.4735321675</v>
      </c>
      <c r="BV106" s="207">
        <v>459507.82671199803</v>
      </c>
      <c r="BW106" s="207">
        <v>735798.274178321</v>
      </c>
      <c r="BX106" s="207">
        <v>213856.4882541266</v>
      </c>
      <c r="BY106" s="207">
        <v>397634.08734254126</v>
      </c>
      <c r="BZ106" s="207">
        <v>749.61</v>
      </c>
      <c r="CA106" s="207">
        <v>37511.5938091742</v>
      </c>
      <c r="CB106" s="207">
        <v>660623.3828805373</v>
      </c>
      <c r="CC106" s="207">
        <v>-423525.0240492034</v>
      </c>
      <c r="CD106" s="207">
        <v>0</v>
      </c>
      <c r="CE106" s="207">
        <v>536682.6034845845</v>
      </c>
      <c r="CF106" s="207">
        <v>0</v>
      </c>
      <c r="CG106" s="207">
        <v>6265233.992108668</v>
      </c>
      <c r="CH106" s="207">
        <v>-524674</v>
      </c>
      <c r="CI106" s="207">
        <v>42140.222</v>
      </c>
      <c r="CJ106" s="207">
        <v>91077.254</v>
      </c>
      <c r="CK106" s="207">
        <v>-48937.032</v>
      </c>
      <c r="CL106" s="207">
        <v>28088102.5670041</v>
      </c>
      <c r="CM106" s="207">
        <v>31742243.361706343</v>
      </c>
      <c r="CN106" s="207">
        <v>8499</v>
      </c>
    </row>
    <row r="107" spans="1:92" ht="9.75">
      <c r="A107" s="207">
        <v>291</v>
      </c>
      <c r="B107" s="207" t="s">
        <v>164</v>
      </c>
      <c r="C107" s="207">
        <v>2238</v>
      </c>
      <c r="D107" s="207">
        <v>8811714.94</v>
      </c>
      <c r="E107" s="207">
        <v>4168753.77715512</v>
      </c>
      <c r="F107" s="207">
        <v>863374.5418142176</v>
      </c>
      <c r="G107" s="207">
        <v>13843843.258969337</v>
      </c>
      <c r="H107" s="207">
        <v>3654.72</v>
      </c>
      <c r="I107" s="207">
        <v>8179263.359999999</v>
      </c>
      <c r="J107" s="207">
        <v>5664579.898969337</v>
      </c>
      <c r="K107" s="207">
        <v>408479.4313380326</v>
      </c>
      <c r="L107" s="207">
        <v>-265749.8293871268</v>
      </c>
      <c r="M107" s="207">
        <v>0</v>
      </c>
      <c r="N107" s="207">
        <v>5807309.500920244</v>
      </c>
      <c r="O107" s="207">
        <v>1663522.709435584</v>
      </c>
      <c r="P107" s="207">
        <v>7470832.210355828</v>
      </c>
      <c r="Q107" s="207">
        <v>63</v>
      </c>
      <c r="R107" s="207">
        <v>11</v>
      </c>
      <c r="S107" s="207">
        <v>87</v>
      </c>
      <c r="T107" s="207">
        <v>37</v>
      </c>
      <c r="U107" s="207">
        <v>76</v>
      </c>
      <c r="V107" s="207">
        <v>1003</v>
      </c>
      <c r="W107" s="207">
        <v>498</v>
      </c>
      <c r="X107" s="207">
        <v>312</v>
      </c>
      <c r="Y107" s="207">
        <v>151</v>
      </c>
      <c r="Z107" s="207">
        <v>5</v>
      </c>
      <c r="AA107" s="207">
        <v>0</v>
      </c>
      <c r="AB107" s="207">
        <v>2211</v>
      </c>
      <c r="AC107" s="207">
        <v>22</v>
      </c>
      <c r="AD107" s="207">
        <v>961</v>
      </c>
      <c r="AE107" s="480">
        <v>1.5812512146103952</v>
      </c>
      <c r="AF107" s="207">
        <v>4168753.77715512</v>
      </c>
      <c r="AG107" s="175">
        <v>94</v>
      </c>
      <c r="AH107" s="175">
        <v>842</v>
      </c>
      <c r="AI107" s="175">
        <v>1.1443002714764625</v>
      </c>
      <c r="AJ107" s="175">
        <v>22</v>
      </c>
      <c r="AK107" s="175">
        <v>0.009830205540661306</v>
      </c>
      <c r="AL107" s="175">
        <v>0.006549126430198309</v>
      </c>
      <c r="AM107" s="175">
        <v>0</v>
      </c>
      <c r="AN107" s="175">
        <v>5</v>
      </c>
      <c r="AO107" s="175">
        <v>0</v>
      </c>
      <c r="AP107" s="175">
        <v>3</v>
      </c>
      <c r="AQ107" s="175">
        <v>174</v>
      </c>
      <c r="AR107" s="175">
        <v>660.95</v>
      </c>
      <c r="AS107" s="175">
        <v>3.3860352522883725</v>
      </c>
      <c r="AT107" s="175">
        <v>5.36040554469909</v>
      </c>
      <c r="AU107" s="175">
        <v>66</v>
      </c>
      <c r="AV107" s="175">
        <v>489</v>
      </c>
      <c r="AW107" s="175">
        <v>0.13496932515337423</v>
      </c>
      <c r="AX107" s="175">
        <v>0.07950809142388923</v>
      </c>
      <c r="AY107" s="175">
        <v>0.7082166666666667</v>
      </c>
      <c r="AZ107" s="207">
        <v>591</v>
      </c>
      <c r="BA107" s="175">
        <v>700</v>
      </c>
      <c r="BB107" s="175">
        <v>0.8442857142857143</v>
      </c>
      <c r="BC107" s="175">
        <v>0.45459086686200245</v>
      </c>
      <c r="BD107" s="175">
        <v>0</v>
      </c>
      <c r="BE107" s="175">
        <v>0</v>
      </c>
      <c r="BF107" s="207">
        <v>-14210.119999999999</v>
      </c>
      <c r="BG107" s="207">
        <v>-17385.44</v>
      </c>
      <c r="BH107" s="207">
        <v>-9175.8</v>
      </c>
      <c r="BI107" s="207">
        <v>-37608.4</v>
      </c>
      <c r="BJ107" s="207">
        <v>0</v>
      </c>
      <c r="BK107" s="207">
        <v>0</v>
      </c>
      <c r="BL107" s="207">
        <v>41818</v>
      </c>
      <c r="BM107" s="207">
        <v>-62215.456716327644</v>
      </c>
      <c r="BN107" s="207">
        <v>-95249.28</v>
      </c>
      <c r="BO107" s="207">
        <v>7533.050449972972</v>
      </c>
      <c r="BP107" s="207">
        <v>263880</v>
      </c>
      <c r="BQ107" s="207">
        <v>73319</v>
      </c>
      <c r="BR107" s="207">
        <v>170391.72029912568</v>
      </c>
      <c r="BS107" s="207">
        <v>10287.71598803778</v>
      </c>
      <c r="BT107" s="207">
        <v>30345.713254875387</v>
      </c>
      <c r="BU107" s="207">
        <v>102649.1409805688</v>
      </c>
      <c r="BV107" s="207">
        <v>114930.21923193669</v>
      </c>
      <c r="BW107" s="207">
        <v>197835.3142036988</v>
      </c>
      <c r="BX107" s="207">
        <v>57829.09509328805</v>
      </c>
      <c r="BY107" s="207">
        <v>105456.41620269901</v>
      </c>
      <c r="BZ107" s="207">
        <v>201.42</v>
      </c>
      <c r="CA107" s="207">
        <v>-10840.723120772134</v>
      </c>
      <c r="CB107" s="207">
        <v>38711.747329200836</v>
      </c>
      <c r="CC107" s="207">
        <v>-265749.8293871268</v>
      </c>
      <c r="CD107" s="207">
        <v>0</v>
      </c>
      <c r="CE107" s="207">
        <v>133090.2622624692</v>
      </c>
      <c r="CF107" s="207">
        <v>0</v>
      </c>
      <c r="CG107" s="207">
        <v>1663522.709435584</v>
      </c>
      <c r="CH107" s="207">
        <v>-17775</v>
      </c>
      <c r="CI107" s="207">
        <v>21749.792</v>
      </c>
      <c r="CJ107" s="207">
        <v>17671.706000000002</v>
      </c>
      <c r="CK107" s="207">
        <v>4078.0859999999993</v>
      </c>
      <c r="CL107" s="207">
        <v>7453057.210355828</v>
      </c>
      <c r="CM107" s="207">
        <v>8133127.347937342</v>
      </c>
      <c r="CN107" s="207">
        <v>2252</v>
      </c>
    </row>
    <row r="108" spans="1:92" ht="9.75">
      <c r="A108" s="207">
        <v>297</v>
      </c>
      <c r="B108" s="207" t="s">
        <v>165</v>
      </c>
      <c r="C108" s="207">
        <v>118664</v>
      </c>
      <c r="D108" s="207">
        <v>387747205.5500001</v>
      </c>
      <c r="E108" s="207">
        <v>169538001.4088937</v>
      </c>
      <c r="F108" s="207">
        <v>24651710.791913737</v>
      </c>
      <c r="G108" s="207">
        <v>581936917.7508075</v>
      </c>
      <c r="H108" s="207">
        <v>3654.72</v>
      </c>
      <c r="I108" s="207">
        <v>433683694.08</v>
      </c>
      <c r="J108" s="207">
        <v>148253223.67080754</v>
      </c>
      <c r="K108" s="207">
        <v>5084676.217884613</v>
      </c>
      <c r="L108" s="207">
        <v>-22132367.370376788</v>
      </c>
      <c r="M108" s="207">
        <v>0</v>
      </c>
      <c r="N108" s="207">
        <v>131205532.51831535</v>
      </c>
      <c r="O108" s="207">
        <v>35770068.09471242</v>
      </c>
      <c r="P108" s="207">
        <v>166975600.61302775</v>
      </c>
      <c r="Q108" s="207">
        <v>6847</v>
      </c>
      <c r="R108" s="207">
        <v>1262</v>
      </c>
      <c r="S108" s="207">
        <v>7099</v>
      </c>
      <c r="T108" s="207">
        <v>3578</v>
      </c>
      <c r="U108" s="207">
        <v>3746</v>
      </c>
      <c r="V108" s="207">
        <v>71403</v>
      </c>
      <c r="W108" s="207">
        <v>14358</v>
      </c>
      <c r="X108" s="207">
        <v>7330</v>
      </c>
      <c r="Y108" s="207">
        <v>3041</v>
      </c>
      <c r="Z108" s="207">
        <v>123</v>
      </c>
      <c r="AA108" s="207">
        <v>2</v>
      </c>
      <c r="AB108" s="207">
        <v>113854</v>
      </c>
      <c r="AC108" s="207">
        <v>4685</v>
      </c>
      <c r="AD108" s="207">
        <v>24729</v>
      </c>
      <c r="AE108" s="480">
        <v>1.212837970497785</v>
      </c>
      <c r="AF108" s="207">
        <v>169538001.4088937</v>
      </c>
      <c r="AG108" s="175">
        <v>5887</v>
      </c>
      <c r="AH108" s="175">
        <v>56280</v>
      </c>
      <c r="AI108" s="175">
        <v>1.0721713200466494</v>
      </c>
      <c r="AJ108" s="175">
        <v>4685</v>
      </c>
      <c r="AK108" s="175">
        <v>0.03948122429717522</v>
      </c>
      <c r="AL108" s="175">
        <v>0.03620014518671222</v>
      </c>
      <c r="AM108" s="175">
        <v>0</v>
      </c>
      <c r="AN108" s="175">
        <v>123</v>
      </c>
      <c r="AO108" s="175">
        <v>2</v>
      </c>
      <c r="AP108" s="175">
        <v>3</v>
      </c>
      <c r="AQ108" s="175">
        <v>822</v>
      </c>
      <c r="AR108" s="175">
        <v>3241.03</v>
      </c>
      <c r="AS108" s="175">
        <v>36.61305202358509</v>
      </c>
      <c r="AT108" s="175">
        <v>0.4957391186405636</v>
      </c>
      <c r="AU108" s="175">
        <v>3394</v>
      </c>
      <c r="AV108" s="175">
        <v>35668</v>
      </c>
      <c r="AW108" s="175">
        <v>0.09515532129640013</v>
      </c>
      <c r="AX108" s="175">
        <v>0.03969408756691512</v>
      </c>
      <c r="AY108" s="175">
        <v>0</v>
      </c>
      <c r="AZ108" s="207">
        <v>51833</v>
      </c>
      <c r="BA108" s="175">
        <v>49635</v>
      </c>
      <c r="BB108" s="175">
        <v>1.044283267855344</v>
      </c>
      <c r="BC108" s="175">
        <v>0.6545884204316321</v>
      </c>
      <c r="BD108" s="175">
        <v>0</v>
      </c>
      <c r="BE108" s="175">
        <v>2</v>
      </c>
      <c r="BF108" s="207">
        <v>-745898.7899999999</v>
      </c>
      <c r="BG108" s="207">
        <v>-912573.48</v>
      </c>
      <c r="BH108" s="207">
        <v>-486522.39999999997</v>
      </c>
      <c r="BI108" s="207">
        <v>-1974090.2999999998</v>
      </c>
      <c r="BJ108" s="207">
        <v>0</v>
      </c>
      <c r="BK108" s="207">
        <v>0</v>
      </c>
      <c r="BL108" s="207">
        <v>344001</v>
      </c>
      <c r="BM108" s="207">
        <v>-10976593.923668547</v>
      </c>
      <c r="BN108" s="207">
        <v>-5050339.84</v>
      </c>
      <c r="BO108" s="207">
        <v>568576.9896894507</v>
      </c>
      <c r="BP108" s="207">
        <v>8192552</v>
      </c>
      <c r="BQ108" s="207">
        <v>2780481</v>
      </c>
      <c r="BR108" s="207">
        <v>6685946.670357633</v>
      </c>
      <c r="BS108" s="207">
        <v>274340.2053332768</v>
      </c>
      <c r="BT108" s="207">
        <v>542984.4859595057</v>
      </c>
      <c r="BU108" s="207">
        <v>3006730.6654707086</v>
      </c>
      <c r="BV108" s="207">
        <v>6029936.960660052</v>
      </c>
      <c r="BW108" s="207">
        <v>8709832.970961055</v>
      </c>
      <c r="BX108" s="207">
        <v>3071318.894731569</v>
      </c>
      <c r="BY108" s="207">
        <v>5163829.576663302</v>
      </c>
      <c r="BZ108" s="207">
        <v>10679.76</v>
      </c>
      <c r="CA108" s="207">
        <v>728631.8536023047</v>
      </c>
      <c r="CB108" s="207">
        <v>1651889.6032917555</v>
      </c>
      <c r="CC108" s="207">
        <v>-22132367.370376788</v>
      </c>
      <c r="CD108" s="207">
        <v>0</v>
      </c>
      <c r="CE108" s="207">
        <v>6676813.103969116</v>
      </c>
      <c r="CF108" s="207">
        <v>0</v>
      </c>
      <c r="CG108" s="207">
        <v>35770068.09471242</v>
      </c>
      <c r="CH108" s="207">
        <v>-2842022</v>
      </c>
      <c r="CI108" s="207">
        <v>1223901.5766999999</v>
      </c>
      <c r="CJ108" s="207">
        <v>3662489.6151020005</v>
      </c>
      <c r="CK108" s="207">
        <v>-2438588.0384020004</v>
      </c>
      <c r="CL108" s="207">
        <v>164133578.61302775</v>
      </c>
      <c r="CM108" s="207">
        <v>197892143.85011753</v>
      </c>
      <c r="CN108" s="207">
        <v>118209</v>
      </c>
    </row>
    <row r="109" spans="1:92" ht="9.75">
      <c r="A109" s="207">
        <v>300</v>
      </c>
      <c r="B109" s="207" t="s">
        <v>166</v>
      </c>
      <c r="C109" s="207">
        <v>3572</v>
      </c>
      <c r="D109" s="207">
        <v>14166649.840000002</v>
      </c>
      <c r="E109" s="207">
        <v>6346182.550328511</v>
      </c>
      <c r="F109" s="207">
        <v>684097.4567174044</v>
      </c>
      <c r="G109" s="207">
        <v>21196929.847045917</v>
      </c>
      <c r="H109" s="207">
        <v>3654.72</v>
      </c>
      <c r="I109" s="207">
        <v>13054659.84</v>
      </c>
      <c r="J109" s="207">
        <v>8142270.007045917</v>
      </c>
      <c r="K109" s="207">
        <v>132558.9241166529</v>
      </c>
      <c r="L109" s="207">
        <v>-437352.03806586884</v>
      </c>
      <c r="M109" s="207">
        <v>0</v>
      </c>
      <c r="N109" s="207">
        <v>7837476.893096701</v>
      </c>
      <c r="O109" s="207">
        <v>3233256.934250374</v>
      </c>
      <c r="P109" s="207">
        <v>11070733.827347076</v>
      </c>
      <c r="Q109" s="207">
        <v>151</v>
      </c>
      <c r="R109" s="207">
        <v>38</v>
      </c>
      <c r="S109" s="207">
        <v>246</v>
      </c>
      <c r="T109" s="207">
        <v>120</v>
      </c>
      <c r="U109" s="207">
        <v>135</v>
      </c>
      <c r="V109" s="207">
        <v>1761</v>
      </c>
      <c r="W109" s="207">
        <v>576</v>
      </c>
      <c r="X109" s="207">
        <v>362</v>
      </c>
      <c r="Y109" s="207">
        <v>183</v>
      </c>
      <c r="Z109" s="207">
        <v>4</v>
      </c>
      <c r="AA109" s="207">
        <v>0</v>
      </c>
      <c r="AB109" s="207">
        <v>3514</v>
      </c>
      <c r="AC109" s="207">
        <v>54</v>
      </c>
      <c r="AD109" s="207">
        <v>1121</v>
      </c>
      <c r="AE109" s="480">
        <v>1.5081891770763054</v>
      </c>
      <c r="AF109" s="207">
        <v>6346182.550328511</v>
      </c>
      <c r="AG109" s="175">
        <v>74</v>
      </c>
      <c r="AH109" s="175">
        <v>1542</v>
      </c>
      <c r="AI109" s="175">
        <v>0.4918940676322229</v>
      </c>
      <c r="AJ109" s="175">
        <v>54</v>
      </c>
      <c r="AK109" s="175">
        <v>0.015117581187010079</v>
      </c>
      <c r="AL109" s="175">
        <v>0.011836502076547083</v>
      </c>
      <c r="AM109" s="175">
        <v>0</v>
      </c>
      <c r="AN109" s="175">
        <v>4</v>
      </c>
      <c r="AO109" s="175">
        <v>0</v>
      </c>
      <c r="AP109" s="175">
        <v>0</v>
      </c>
      <c r="AQ109" s="175">
        <v>0</v>
      </c>
      <c r="AR109" s="175">
        <v>462.18</v>
      </c>
      <c r="AS109" s="175">
        <v>7.728590592409883</v>
      </c>
      <c r="AT109" s="175">
        <v>2.3484905719729148</v>
      </c>
      <c r="AU109" s="175">
        <v>124</v>
      </c>
      <c r="AV109" s="175">
        <v>969</v>
      </c>
      <c r="AW109" s="175">
        <v>0.12796697626418987</v>
      </c>
      <c r="AX109" s="175">
        <v>0.07250574253470488</v>
      </c>
      <c r="AY109" s="175">
        <v>0</v>
      </c>
      <c r="AZ109" s="207">
        <v>1345</v>
      </c>
      <c r="BA109" s="175">
        <v>1406</v>
      </c>
      <c r="BB109" s="175">
        <v>0.9566145092460882</v>
      </c>
      <c r="BC109" s="175">
        <v>0.5669196618223763</v>
      </c>
      <c r="BD109" s="175">
        <v>0</v>
      </c>
      <c r="BE109" s="175">
        <v>0</v>
      </c>
      <c r="BF109" s="207">
        <v>-22949.469999999998</v>
      </c>
      <c r="BG109" s="207">
        <v>-28077.64</v>
      </c>
      <c r="BH109" s="207">
        <v>-14645.199999999999</v>
      </c>
      <c r="BI109" s="207">
        <v>-60737.899999999994</v>
      </c>
      <c r="BJ109" s="207">
        <v>0</v>
      </c>
      <c r="BK109" s="207">
        <v>0</v>
      </c>
      <c r="BL109" s="207">
        <v>-28763</v>
      </c>
      <c r="BM109" s="207">
        <v>-53942.24896141479</v>
      </c>
      <c r="BN109" s="207">
        <v>-152024.32</v>
      </c>
      <c r="BO109" s="207">
        <v>43572.96139998175</v>
      </c>
      <c r="BP109" s="207">
        <v>402441</v>
      </c>
      <c r="BQ109" s="207">
        <v>120659</v>
      </c>
      <c r="BR109" s="207">
        <v>305156.2929916715</v>
      </c>
      <c r="BS109" s="207">
        <v>18450.74644536792</v>
      </c>
      <c r="BT109" s="207">
        <v>1795.9278249640176</v>
      </c>
      <c r="BU109" s="207">
        <v>137432.4563507495</v>
      </c>
      <c r="BV109" s="207">
        <v>220951.71960317195</v>
      </c>
      <c r="BW109" s="207">
        <v>351056.0725939158</v>
      </c>
      <c r="BX109" s="207">
        <v>102632.65252673901</v>
      </c>
      <c r="BY109" s="207">
        <v>178955.60971562</v>
      </c>
      <c r="BZ109" s="207">
        <v>321.47999999999996</v>
      </c>
      <c r="CA109" s="207">
        <v>-10589.180504435826</v>
      </c>
      <c r="CB109" s="207">
        <v>4542.260895545925</v>
      </c>
      <c r="CC109" s="207">
        <v>-437352.03806586884</v>
      </c>
      <c r="CD109" s="207">
        <v>0</v>
      </c>
      <c r="CE109" s="207">
        <v>245777.7770770602</v>
      </c>
      <c r="CF109" s="207">
        <v>0</v>
      </c>
      <c r="CG109" s="207">
        <v>3233256.934250374</v>
      </c>
      <c r="CH109" s="207">
        <v>855966</v>
      </c>
      <c r="CI109" s="207">
        <v>295117.49020000006</v>
      </c>
      <c r="CJ109" s="207">
        <v>24468.516000000003</v>
      </c>
      <c r="CK109" s="207">
        <v>270648.97420000006</v>
      </c>
      <c r="CL109" s="207">
        <v>11926699.827347076</v>
      </c>
      <c r="CM109" s="207">
        <v>13125222.574951157</v>
      </c>
      <c r="CN109" s="207">
        <v>3637</v>
      </c>
    </row>
    <row r="110" spans="1:92" ht="9.75">
      <c r="A110" s="207">
        <v>301</v>
      </c>
      <c r="B110" s="207" t="s">
        <v>167</v>
      </c>
      <c r="C110" s="207">
        <v>20952</v>
      </c>
      <c r="D110" s="207">
        <v>77858758.82</v>
      </c>
      <c r="E110" s="207">
        <v>34148756.64844294</v>
      </c>
      <c r="F110" s="207">
        <v>3666554.3825374376</v>
      </c>
      <c r="G110" s="207">
        <v>115674069.85098037</v>
      </c>
      <c r="H110" s="207">
        <v>3654.72</v>
      </c>
      <c r="I110" s="207">
        <v>76573693.44</v>
      </c>
      <c r="J110" s="207">
        <v>39100376.41098037</v>
      </c>
      <c r="K110" s="207">
        <v>679739.5399199344</v>
      </c>
      <c r="L110" s="207">
        <v>-2788002.329811272</v>
      </c>
      <c r="M110" s="207">
        <v>0</v>
      </c>
      <c r="N110" s="207">
        <v>36992113.621089034</v>
      </c>
      <c r="O110" s="207">
        <v>17979770.791748345</v>
      </c>
      <c r="P110" s="207">
        <v>54971884.41283738</v>
      </c>
      <c r="Q110" s="207">
        <v>1135</v>
      </c>
      <c r="R110" s="207">
        <v>238</v>
      </c>
      <c r="S110" s="207">
        <v>1362</v>
      </c>
      <c r="T110" s="207">
        <v>711</v>
      </c>
      <c r="U110" s="207">
        <v>685</v>
      </c>
      <c r="V110" s="207">
        <v>10767</v>
      </c>
      <c r="W110" s="207">
        <v>3468</v>
      </c>
      <c r="X110" s="207">
        <v>1782</v>
      </c>
      <c r="Y110" s="207">
        <v>804</v>
      </c>
      <c r="Z110" s="207">
        <v>73</v>
      </c>
      <c r="AA110" s="207">
        <v>0</v>
      </c>
      <c r="AB110" s="207">
        <v>20541</v>
      </c>
      <c r="AC110" s="207">
        <v>338</v>
      </c>
      <c r="AD110" s="207">
        <v>6054</v>
      </c>
      <c r="AE110" s="480">
        <v>1.383579503917554</v>
      </c>
      <c r="AF110" s="207">
        <v>34148756.64844294</v>
      </c>
      <c r="AG110" s="175">
        <v>640</v>
      </c>
      <c r="AH110" s="175">
        <v>9237</v>
      </c>
      <c r="AI110" s="175">
        <v>0.7101879009870528</v>
      </c>
      <c r="AJ110" s="175">
        <v>338</v>
      </c>
      <c r="AK110" s="175">
        <v>0.016132111492936235</v>
      </c>
      <c r="AL110" s="175">
        <v>0.012851032382473239</v>
      </c>
      <c r="AM110" s="175">
        <v>0</v>
      </c>
      <c r="AN110" s="175">
        <v>73</v>
      </c>
      <c r="AO110" s="175">
        <v>0</v>
      </c>
      <c r="AP110" s="175">
        <v>0</v>
      </c>
      <c r="AQ110" s="175">
        <v>0</v>
      </c>
      <c r="AR110" s="175">
        <v>1724.62</v>
      </c>
      <c r="AS110" s="175">
        <v>12.148763205807658</v>
      </c>
      <c r="AT110" s="175">
        <v>1.4940222171946198</v>
      </c>
      <c r="AU110" s="175">
        <v>663</v>
      </c>
      <c r="AV110" s="175">
        <v>5667</v>
      </c>
      <c r="AW110" s="175">
        <v>0.1169931180518793</v>
      </c>
      <c r="AX110" s="175">
        <v>0.061531884322394294</v>
      </c>
      <c r="AY110" s="175">
        <v>0</v>
      </c>
      <c r="AZ110" s="207">
        <v>7248</v>
      </c>
      <c r="BA110" s="175">
        <v>8187</v>
      </c>
      <c r="BB110" s="175">
        <v>0.8853059728838403</v>
      </c>
      <c r="BC110" s="175">
        <v>0.4956111254601284</v>
      </c>
      <c r="BD110" s="175">
        <v>0</v>
      </c>
      <c r="BE110" s="175">
        <v>0</v>
      </c>
      <c r="BF110" s="207">
        <v>-133790.93</v>
      </c>
      <c r="BG110" s="207">
        <v>-163687.16</v>
      </c>
      <c r="BH110" s="207">
        <v>-85903.2</v>
      </c>
      <c r="BI110" s="207">
        <v>-354090.1</v>
      </c>
      <c r="BJ110" s="207">
        <v>0</v>
      </c>
      <c r="BK110" s="207">
        <v>0</v>
      </c>
      <c r="BL110" s="207">
        <v>-113946</v>
      </c>
      <c r="BM110" s="207">
        <v>-674146.754345836</v>
      </c>
      <c r="BN110" s="207">
        <v>-891717.12</v>
      </c>
      <c r="BO110" s="207">
        <v>261876.34645608068</v>
      </c>
      <c r="BP110" s="207">
        <v>2077689</v>
      </c>
      <c r="BQ110" s="207">
        <v>680804</v>
      </c>
      <c r="BR110" s="207">
        <v>1686262.0985350716</v>
      </c>
      <c r="BS110" s="207">
        <v>83240.06106929644</v>
      </c>
      <c r="BT110" s="207">
        <v>147392.0110943074</v>
      </c>
      <c r="BU110" s="207">
        <v>733409.5022579217</v>
      </c>
      <c r="BV110" s="207">
        <v>1300647.7488145032</v>
      </c>
      <c r="BW110" s="207">
        <v>1980529.4052533626</v>
      </c>
      <c r="BX110" s="207">
        <v>582317.8350698262</v>
      </c>
      <c r="BY110" s="207">
        <v>1046313.1277298393</v>
      </c>
      <c r="BZ110" s="207">
        <v>1885.6799999999998</v>
      </c>
      <c r="CA110" s="207">
        <v>7905.22807848356</v>
      </c>
      <c r="CB110" s="207">
        <v>157721.2545345642</v>
      </c>
      <c r="CC110" s="207">
        <v>-2788002.329811272</v>
      </c>
      <c r="CD110" s="207">
        <v>0</v>
      </c>
      <c r="CE110" s="207">
        <v>1428875.7360085375</v>
      </c>
      <c r="CF110" s="207">
        <v>0</v>
      </c>
      <c r="CG110" s="207">
        <v>17979770.791748345</v>
      </c>
      <c r="CH110" s="207">
        <v>-2626486</v>
      </c>
      <c r="CI110" s="207">
        <v>569708.6142000002</v>
      </c>
      <c r="CJ110" s="207">
        <v>153879.7784</v>
      </c>
      <c r="CK110" s="207">
        <v>415828.8358000002</v>
      </c>
      <c r="CL110" s="207">
        <v>52345398.41283738</v>
      </c>
      <c r="CM110" s="207">
        <v>59302244.752278864</v>
      </c>
      <c r="CN110" s="207">
        <v>21203</v>
      </c>
    </row>
    <row r="111" spans="1:92" ht="9.75">
      <c r="A111" s="207">
        <v>304</v>
      </c>
      <c r="B111" s="207" t="s">
        <v>168</v>
      </c>
      <c r="C111" s="207">
        <v>926</v>
      </c>
      <c r="D111" s="207">
        <v>2973494.3200000003</v>
      </c>
      <c r="E111" s="207">
        <v>1307794.0711313125</v>
      </c>
      <c r="F111" s="207">
        <v>652251.0920323342</v>
      </c>
      <c r="G111" s="207">
        <v>4933539.483163646</v>
      </c>
      <c r="H111" s="207">
        <v>3654.72</v>
      </c>
      <c r="I111" s="207">
        <v>3384270.7199999997</v>
      </c>
      <c r="J111" s="207">
        <v>1549268.7631636467</v>
      </c>
      <c r="K111" s="207">
        <v>134559.94222840565</v>
      </c>
      <c r="L111" s="207">
        <v>-40259.01337678451</v>
      </c>
      <c r="M111" s="207">
        <v>0</v>
      </c>
      <c r="N111" s="207">
        <v>1643569.692015268</v>
      </c>
      <c r="O111" s="207">
        <v>226451.6564411915</v>
      </c>
      <c r="P111" s="207">
        <v>1870021.3484564594</v>
      </c>
      <c r="Q111" s="207">
        <v>29</v>
      </c>
      <c r="R111" s="207">
        <v>5</v>
      </c>
      <c r="S111" s="207">
        <v>35</v>
      </c>
      <c r="T111" s="207">
        <v>17</v>
      </c>
      <c r="U111" s="207">
        <v>14</v>
      </c>
      <c r="V111" s="207">
        <v>473</v>
      </c>
      <c r="W111" s="207">
        <v>226</v>
      </c>
      <c r="X111" s="207">
        <v>92</v>
      </c>
      <c r="Y111" s="207">
        <v>35</v>
      </c>
      <c r="Z111" s="207">
        <v>12</v>
      </c>
      <c r="AA111" s="207">
        <v>0</v>
      </c>
      <c r="AB111" s="207">
        <v>887</v>
      </c>
      <c r="AC111" s="207">
        <v>27</v>
      </c>
      <c r="AD111" s="207">
        <v>353</v>
      </c>
      <c r="AE111" s="480">
        <v>1.1989003501297295</v>
      </c>
      <c r="AF111" s="207">
        <v>1307794.0711313125</v>
      </c>
      <c r="AG111" s="175">
        <v>36</v>
      </c>
      <c r="AH111" s="175">
        <v>362</v>
      </c>
      <c r="AI111" s="175">
        <v>1.0193378931760473</v>
      </c>
      <c r="AJ111" s="175">
        <v>27</v>
      </c>
      <c r="AK111" s="175">
        <v>0.029157667386609073</v>
      </c>
      <c r="AL111" s="175">
        <v>0.025876588276146077</v>
      </c>
      <c r="AM111" s="175">
        <v>0</v>
      </c>
      <c r="AN111" s="175">
        <v>12</v>
      </c>
      <c r="AO111" s="175">
        <v>0</v>
      </c>
      <c r="AP111" s="175">
        <v>1</v>
      </c>
      <c r="AQ111" s="175">
        <v>0</v>
      </c>
      <c r="AR111" s="175">
        <v>165.81</v>
      </c>
      <c r="AS111" s="175">
        <v>5.584705385682407</v>
      </c>
      <c r="AT111" s="175">
        <v>3.2500411189900795</v>
      </c>
      <c r="AU111" s="175">
        <v>35</v>
      </c>
      <c r="AV111" s="175">
        <v>221</v>
      </c>
      <c r="AW111" s="175">
        <v>0.1583710407239819</v>
      </c>
      <c r="AX111" s="175">
        <v>0.1029098069944969</v>
      </c>
      <c r="AY111" s="175">
        <v>0.5434</v>
      </c>
      <c r="AZ111" s="207">
        <v>276</v>
      </c>
      <c r="BA111" s="175">
        <v>337</v>
      </c>
      <c r="BB111" s="175">
        <v>0.8189910979228486</v>
      </c>
      <c r="BC111" s="175">
        <v>0.4292962504991368</v>
      </c>
      <c r="BD111" s="175">
        <v>0</v>
      </c>
      <c r="BE111" s="175">
        <v>0</v>
      </c>
      <c r="BF111" s="207">
        <v>-5824.129999999999</v>
      </c>
      <c r="BG111" s="207">
        <v>-7125.5599999999995</v>
      </c>
      <c r="BH111" s="207">
        <v>-3796.5999999999995</v>
      </c>
      <c r="BI111" s="207">
        <v>-15414.099999999999</v>
      </c>
      <c r="BJ111" s="207">
        <v>0</v>
      </c>
      <c r="BK111" s="207">
        <v>0</v>
      </c>
      <c r="BL111" s="207">
        <v>14097</v>
      </c>
      <c r="BM111" s="207">
        <v>5068.505048829436</v>
      </c>
      <c r="BN111" s="207">
        <v>-39410.560000000005</v>
      </c>
      <c r="BO111" s="207">
        <v>44742.655345892534</v>
      </c>
      <c r="BP111" s="207">
        <v>85842</v>
      </c>
      <c r="BQ111" s="207">
        <v>32620</v>
      </c>
      <c r="BR111" s="207">
        <v>75487.32994316822</v>
      </c>
      <c r="BS111" s="207">
        <v>4273.189155356878</v>
      </c>
      <c r="BT111" s="207">
        <v>8143.4788131842</v>
      </c>
      <c r="BU111" s="207">
        <v>29434.574132182515</v>
      </c>
      <c r="BV111" s="207">
        <v>45615.810298082986</v>
      </c>
      <c r="BW111" s="207">
        <v>79648.67830292518</v>
      </c>
      <c r="BX111" s="207">
        <v>28605.933380118007</v>
      </c>
      <c r="BY111" s="207">
        <v>43665.68596173301</v>
      </c>
      <c r="BZ111" s="207">
        <v>83.34</v>
      </c>
      <c r="CA111" s="207">
        <v>-4288.403771506481</v>
      </c>
      <c r="CB111" s="207">
        <v>54634.59157438605</v>
      </c>
      <c r="CC111" s="207">
        <v>-40259.01337678451</v>
      </c>
      <c r="CD111" s="207">
        <v>0</v>
      </c>
      <c r="CE111" s="207">
        <v>53307.65703344457</v>
      </c>
      <c r="CF111" s="207">
        <v>0</v>
      </c>
      <c r="CG111" s="207">
        <v>226451.6564411915</v>
      </c>
      <c r="CH111" s="207">
        <v>-189863</v>
      </c>
      <c r="CI111" s="207">
        <v>0</v>
      </c>
      <c r="CJ111" s="207">
        <v>184873.23200000002</v>
      </c>
      <c r="CK111" s="207">
        <v>-184873.23200000002</v>
      </c>
      <c r="CL111" s="207">
        <v>1680158.3484564594</v>
      </c>
      <c r="CM111" s="207">
        <v>2089039.5465156874</v>
      </c>
      <c r="CN111" s="207">
        <v>923</v>
      </c>
    </row>
    <row r="112" spans="1:92" ht="9.75">
      <c r="A112" s="207">
        <v>305</v>
      </c>
      <c r="B112" s="207" t="s">
        <v>169</v>
      </c>
      <c r="C112" s="207">
        <v>15207</v>
      </c>
      <c r="D112" s="207">
        <v>53987081.17999999</v>
      </c>
      <c r="E112" s="207">
        <v>24846231.756387573</v>
      </c>
      <c r="F112" s="207">
        <v>5711606.92885369</v>
      </c>
      <c r="G112" s="207">
        <v>84544919.86524126</v>
      </c>
      <c r="H112" s="207">
        <v>3654.72</v>
      </c>
      <c r="I112" s="207">
        <v>55577327.04</v>
      </c>
      <c r="J112" s="207">
        <v>28967592.82524126</v>
      </c>
      <c r="K112" s="207">
        <v>3165918.1367588574</v>
      </c>
      <c r="L112" s="207">
        <v>-2345330.956665351</v>
      </c>
      <c r="M112" s="207">
        <v>0</v>
      </c>
      <c r="N112" s="207">
        <v>29788180.005334765</v>
      </c>
      <c r="O112" s="207">
        <v>10742965.156632962</v>
      </c>
      <c r="P112" s="207">
        <v>40531145.161967725</v>
      </c>
      <c r="Q112" s="207">
        <v>763</v>
      </c>
      <c r="R112" s="207">
        <v>178</v>
      </c>
      <c r="S112" s="207">
        <v>1015</v>
      </c>
      <c r="T112" s="207">
        <v>517</v>
      </c>
      <c r="U112" s="207">
        <v>468</v>
      </c>
      <c r="V112" s="207">
        <v>8235</v>
      </c>
      <c r="W112" s="207">
        <v>2222</v>
      </c>
      <c r="X112" s="207">
        <v>1341</v>
      </c>
      <c r="Y112" s="207">
        <v>468</v>
      </c>
      <c r="Z112" s="207">
        <v>35</v>
      </c>
      <c r="AA112" s="207">
        <v>5</v>
      </c>
      <c r="AB112" s="207">
        <v>14882</v>
      </c>
      <c r="AC112" s="207">
        <v>285</v>
      </c>
      <c r="AD112" s="207">
        <v>4031</v>
      </c>
      <c r="AE112" s="480">
        <v>1.386984780174373</v>
      </c>
      <c r="AF112" s="207">
        <v>24846231.756387573</v>
      </c>
      <c r="AG112" s="175">
        <v>637</v>
      </c>
      <c r="AH112" s="175">
        <v>6674</v>
      </c>
      <c r="AI112" s="175">
        <v>0.9783121988272794</v>
      </c>
      <c r="AJ112" s="175">
        <v>285</v>
      </c>
      <c r="AK112" s="175">
        <v>0.01874136910633261</v>
      </c>
      <c r="AL112" s="175">
        <v>0.015460289995869615</v>
      </c>
      <c r="AM112" s="175">
        <v>0</v>
      </c>
      <c r="AN112" s="175">
        <v>35</v>
      </c>
      <c r="AO112" s="175">
        <v>5</v>
      </c>
      <c r="AP112" s="175">
        <v>0</v>
      </c>
      <c r="AQ112" s="175">
        <v>0</v>
      </c>
      <c r="AR112" s="175">
        <v>4978.3</v>
      </c>
      <c r="AS112" s="175">
        <v>3.0546572123013878</v>
      </c>
      <c r="AT112" s="175">
        <v>5.941917825613735</v>
      </c>
      <c r="AU112" s="175">
        <v>417</v>
      </c>
      <c r="AV112" s="175">
        <v>4127</v>
      </c>
      <c r="AW112" s="175">
        <v>0.10104191906954205</v>
      </c>
      <c r="AX112" s="175">
        <v>0.04558068534005704</v>
      </c>
      <c r="AY112" s="175">
        <v>0.7748166666666667</v>
      </c>
      <c r="AZ112" s="207">
        <v>5939</v>
      </c>
      <c r="BA112" s="175">
        <v>5840</v>
      </c>
      <c r="BB112" s="175">
        <v>1.0169520547945206</v>
      </c>
      <c r="BC112" s="175">
        <v>0.6272572073708087</v>
      </c>
      <c r="BD112" s="175">
        <v>0</v>
      </c>
      <c r="BE112" s="175">
        <v>5</v>
      </c>
      <c r="BF112" s="207">
        <v>-97085.65999999999</v>
      </c>
      <c r="BG112" s="207">
        <v>-118779.92</v>
      </c>
      <c r="BH112" s="207">
        <v>-62348.7</v>
      </c>
      <c r="BI112" s="207">
        <v>-256946.19999999998</v>
      </c>
      <c r="BJ112" s="207">
        <v>0</v>
      </c>
      <c r="BK112" s="207">
        <v>0</v>
      </c>
      <c r="BL112" s="207">
        <v>250403</v>
      </c>
      <c r="BM112" s="207">
        <v>-371748.7561271932</v>
      </c>
      <c r="BN112" s="207">
        <v>-647209.92</v>
      </c>
      <c r="BO112" s="207">
        <v>-579082.7256268188</v>
      </c>
      <c r="BP112" s="207">
        <v>1313963</v>
      </c>
      <c r="BQ112" s="207">
        <v>435634</v>
      </c>
      <c r="BR112" s="207">
        <v>1098414.486511707</v>
      </c>
      <c r="BS112" s="207">
        <v>52714.551751714826</v>
      </c>
      <c r="BT112" s="207">
        <v>141116.00218029704</v>
      </c>
      <c r="BU112" s="207">
        <v>546955.3250817208</v>
      </c>
      <c r="BV112" s="207">
        <v>838660.793254376</v>
      </c>
      <c r="BW112" s="207">
        <v>1266459.4287688755</v>
      </c>
      <c r="BX112" s="207">
        <v>388094.8259751491</v>
      </c>
      <c r="BY112" s="207">
        <v>695696.6055543876</v>
      </c>
      <c r="BZ112" s="207">
        <v>1368.6299999999999</v>
      </c>
      <c r="CA112" s="207">
        <v>2345.9150886613643</v>
      </c>
      <c r="CB112" s="207">
        <v>-324965.18053815747</v>
      </c>
      <c r="CC112" s="207">
        <v>-2345330.956665351</v>
      </c>
      <c r="CD112" s="207">
        <v>0</v>
      </c>
      <c r="CE112" s="207">
        <v>928099.3717782049</v>
      </c>
      <c r="CF112" s="207">
        <v>0</v>
      </c>
      <c r="CG112" s="207">
        <v>10742965.156632962</v>
      </c>
      <c r="CH112" s="207">
        <v>-986916</v>
      </c>
      <c r="CI112" s="207">
        <v>108748.96</v>
      </c>
      <c r="CJ112" s="207">
        <v>161247.52044</v>
      </c>
      <c r="CK112" s="207">
        <v>-52498.56043999999</v>
      </c>
      <c r="CL112" s="207">
        <v>39544229.161967725</v>
      </c>
      <c r="CM112" s="207">
        <v>45040093.77746997</v>
      </c>
      <c r="CN112" s="207">
        <v>15386</v>
      </c>
    </row>
    <row r="113" spans="1:92" ht="9.75">
      <c r="A113" s="207">
        <v>312</v>
      </c>
      <c r="B113" s="207" t="s">
        <v>170</v>
      </c>
      <c r="C113" s="207">
        <v>1343</v>
      </c>
      <c r="D113" s="207">
        <v>5071575.84</v>
      </c>
      <c r="E113" s="207">
        <v>2156413.3929359424</v>
      </c>
      <c r="F113" s="207">
        <v>545709.9987970411</v>
      </c>
      <c r="G113" s="207">
        <v>7773699.231732984</v>
      </c>
      <c r="H113" s="207">
        <v>3654.72</v>
      </c>
      <c r="I113" s="207">
        <v>4908288.96</v>
      </c>
      <c r="J113" s="207">
        <v>2865410.271732984</v>
      </c>
      <c r="K113" s="207">
        <v>303980.68488916906</v>
      </c>
      <c r="L113" s="207">
        <v>-200995.73115422032</v>
      </c>
      <c r="M113" s="207">
        <v>0</v>
      </c>
      <c r="N113" s="207">
        <v>2968395.225467933</v>
      </c>
      <c r="O113" s="207">
        <v>1149286.4036844957</v>
      </c>
      <c r="P113" s="207">
        <v>4117681.6291524284</v>
      </c>
      <c r="Q113" s="207">
        <v>84</v>
      </c>
      <c r="R113" s="207">
        <v>16</v>
      </c>
      <c r="S113" s="207">
        <v>87</v>
      </c>
      <c r="T113" s="207">
        <v>36</v>
      </c>
      <c r="U113" s="207">
        <v>47</v>
      </c>
      <c r="V113" s="207">
        <v>642</v>
      </c>
      <c r="W113" s="207">
        <v>248</v>
      </c>
      <c r="X113" s="207">
        <v>132</v>
      </c>
      <c r="Y113" s="207">
        <v>51</v>
      </c>
      <c r="Z113" s="207">
        <v>1</v>
      </c>
      <c r="AA113" s="207">
        <v>0</v>
      </c>
      <c r="AB113" s="207">
        <v>1321</v>
      </c>
      <c r="AC113" s="207">
        <v>21</v>
      </c>
      <c r="AD113" s="207">
        <v>431</v>
      </c>
      <c r="AE113" s="480">
        <v>1.3630466424887788</v>
      </c>
      <c r="AF113" s="207">
        <v>2156413.3929359424</v>
      </c>
      <c r="AG113" s="175">
        <v>54</v>
      </c>
      <c r="AH113" s="175">
        <v>557</v>
      </c>
      <c r="AI113" s="175">
        <v>0.9937171920908323</v>
      </c>
      <c r="AJ113" s="175">
        <v>21</v>
      </c>
      <c r="AK113" s="175">
        <v>0.01563663440059568</v>
      </c>
      <c r="AL113" s="175">
        <v>0.012355555290132686</v>
      </c>
      <c r="AM113" s="175">
        <v>0</v>
      </c>
      <c r="AN113" s="175">
        <v>1</v>
      </c>
      <c r="AO113" s="175">
        <v>0</v>
      </c>
      <c r="AP113" s="175">
        <v>0</v>
      </c>
      <c r="AQ113" s="175">
        <v>0</v>
      </c>
      <c r="AR113" s="175">
        <v>448.2</v>
      </c>
      <c r="AS113" s="175">
        <v>2.996430165104864</v>
      </c>
      <c r="AT113" s="175">
        <v>6.05738199818115</v>
      </c>
      <c r="AU113" s="175">
        <v>53</v>
      </c>
      <c r="AV113" s="175">
        <v>299</v>
      </c>
      <c r="AW113" s="175">
        <v>0.17725752508361203</v>
      </c>
      <c r="AX113" s="175">
        <v>0.12179629135412703</v>
      </c>
      <c r="AY113" s="175">
        <v>0.84475</v>
      </c>
      <c r="AZ113" s="207">
        <v>483</v>
      </c>
      <c r="BA113" s="175">
        <v>454</v>
      </c>
      <c r="BB113" s="175">
        <v>1.0638766519823788</v>
      </c>
      <c r="BC113" s="175">
        <v>0.6741818045586669</v>
      </c>
      <c r="BD113" s="175">
        <v>0</v>
      </c>
      <c r="BE113" s="175">
        <v>0</v>
      </c>
      <c r="BF113" s="207">
        <v>-8531.119999999999</v>
      </c>
      <c r="BG113" s="207">
        <v>-10437.44</v>
      </c>
      <c r="BH113" s="207">
        <v>-5506.299999999999</v>
      </c>
      <c r="BI113" s="207">
        <v>-22578.399999999998</v>
      </c>
      <c r="BJ113" s="207">
        <v>0</v>
      </c>
      <c r="BK113" s="207">
        <v>0</v>
      </c>
      <c r="BL113" s="207">
        <v>11212</v>
      </c>
      <c r="BM113" s="207">
        <v>-35426.94470557947</v>
      </c>
      <c r="BN113" s="207">
        <v>-57158.08</v>
      </c>
      <c r="BO113" s="207">
        <v>-17635.270867861807</v>
      </c>
      <c r="BP113" s="207">
        <v>144901</v>
      </c>
      <c r="BQ113" s="207">
        <v>45985</v>
      </c>
      <c r="BR113" s="207">
        <v>129179.66506163221</v>
      </c>
      <c r="BS113" s="207">
        <v>6978.775756307908</v>
      </c>
      <c r="BT113" s="207">
        <v>17248.587342765153</v>
      </c>
      <c r="BU113" s="207">
        <v>61124.31556323072</v>
      </c>
      <c r="BV113" s="207">
        <v>69743.67295566997</v>
      </c>
      <c r="BW113" s="207">
        <v>130961.70997997127</v>
      </c>
      <c r="BX113" s="207">
        <v>33993.843416983786</v>
      </c>
      <c r="BY113" s="207">
        <v>69898.03397201427</v>
      </c>
      <c r="BZ113" s="207">
        <v>120.86999999999999</v>
      </c>
      <c r="CA113" s="207">
        <v>-13878.66558077902</v>
      </c>
      <c r="CB113" s="207">
        <v>-20181.066448640828</v>
      </c>
      <c r="CC113" s="207">
        <v>-200995.73115422032</v>
      </c>
      <c r="CD113" s="207">
        <v>0</v>
      </c>
      <c r="CE113" s="207">
        <v>90282.75061554568</v>
      </c>
      <c r="CF113" s="207">
        <v>0</v>
      </c>
      <c r="CG113" s="207">
        <v>1149286.4036844957</v>
      </c>
      <c r="CH113" s="207">
        <v>-334327</v>
      </c>
      <c r="CI113" s="207">
        <v>77687.5383</v>
      </c>
      <c r="CJ113" s="207">
        <v>6796.81</v>
      </c>
      <c r="CK113" s="207">
        <v>70890.7283</v>
      </c>
      <c r="CL113" s="207">
        <v>3783354.6291524284</v>
      </c>
      <c r="CM113" s="207">
        <v>4075109.5361669566</v>
      </c>
      <c r="CN113" s="207">
        <v>1352</v>
      </c>
    </row>
    <row r="114" spans="1:92" ht="9.75">
      <c r="A114" s="207">
        <v>316</v>
      </c>
      <c r="B114" s="207" t="s">
        <v>171</v>
      </c>
      <c r="C114" s="207">
        <v>4451</v>
      </c>
      <c r="D114" s="207">
        <v>15020688.5</v>
      </c>
      <c r="E114" s="207">
        <v>5421599.738956604</v>
      </c>
      <c r="F114" s="207">
        <v>1143635.6591897921</v>
      </c>
      <c r="G114" s="207">
        <v>21585923.898146395</v>
      </c>
      <c r="H114" s="207">
        <v>3654.72</v>
      </c>
      <c r="I114" s="207">
        <v>16267158.719999999</v>
      </c>
      <c r="J114" s="207">
        <v>5318765.178146396</v>
      </c>
      <c r="K114" s="207">
        <v>164029.6024820225</v>
      </c>
      <c r="L114" s="207">
        <v>-801482.5701420874</v>
      </c>
      <c r="M114" s="207">
        <v>0</v>
      </c>
      <c r="N114" s="207">
        <v>4681312.210486331</v>
      </c>
      <c r="O114" s="207">
        <v>2814875.8790572085</v>
      </c>
      <c r="P114" s="207">
        <v>7496188.08954354</v>
      </c>
      <c r="Q114" s="207">
        <v>210</v>
      </c>
      <c r="R114" s="207">
        <v>42</v>
      </c>
      <c r="S114" s="207">
        <v>292</v>
      </c>
      <c r="T114" s="207">
        <v>143</v>
      </c>
      <c r="U114" s="207">
        <v>142</v>
      </c>
      <c r="V114" s="207">
        <v>2445</v>
      </c>
      <c r="W114" s="207">
        <v>727</v>
      </c>
      <c r="X114" s="207">
        <v>327</v>
      </c>
      <c r="Y114" s="207">
        <v>123</v>
      </c>
      <c r="Z114" s="207">
        <v>20</v>
      </c>
      <c r="AA114" s="207">
        <v>1</v>
      </c>
      <c r="AB114" s="207">
        <v>4279</v>
      </c>
      <c r="AC114" s="207">
        <v>151</v>
      </c>
      <c r="AD114" s="207">
        <v>1177</v>
      </c>
      <c r="AE114" s="480">
        <v>1.0340095907477354</v>
      </c>
      <c r="AF114" s="207">
        <v>5421599.738956604</v>
      </c>
      <c r="AG114" s="175">
        <v>214</v>
      </c>
      <c r="AH114" s="175">
        <v>2074</v>
      </c>
      <c r="AI114" s="175">
        <v>1.0576190387410536</v>
      </c>
      <c r="AJ114" s="175">
        <v>151</v>
      </c>
      <c r="AK114" s="175">
        <v>0.03392496068299258</v>
      </c>
      <c r="AL114" s="175">
        <v>0.030643881572529588</v>
      </c>
      <c r="AM114" s="175">
        <v>0</v>
      </c>
      <c r="AN114" s="175">
        <v>20</v>
      </c>
      <c r="AO114" s="175">
        <v>1</v>
      </c>
      <c r="AP114" s="175">
        <v>0</v>
      </c>
      <c r="AQ114" s="175">
        <v>0</v>
      </c>
      <c r="AR114" s="175">
        <v>256.49</v>
      </c>
      <c r="AS114" s="175">
        <v>17.353503060548167</v>
      </c>
      <c r="AT114" s="175">
        <v>1.045928425954352</v>
      </c>
      <c r="AU114" s="175">
        <v>263</v>
      </c>
      <c r="AV114" s="175">
        <v>1330</v>
      </c>
      <c r="AW114" s="175">
        <v>0.19774436090225564</v>
      </c>
      <c r="AX114" s="175">
        <v>0.14228312717277064</v>
      </c>
      <c r="AY114" s="175">
        <v>0</v>
      </c>
      <c r="AZ114" s="207">
        <v>1731</v>
      </c>
      <c r="BA114" s="175">
        <v>1817</v>
      </c>
      <c r="BB114" s="175">
        <v>0.9526692350027518</v>
      </c>
      <c r="BC114" s="175">
        <v>0.56297438757904</v>
      </c>
      <c r="BD114" s="175">
        <v>0</v>
      </c>
      <c r="BE114" s="175">
        <v>1</v>
      </c>
      <c r="BF114" s="207">
        <v>-28445.48</v>
      </c>
      <c r="BG114" s="207">
        <v>-34801.76</v>
      </c>
      <c r="BH114" s="207">
        <v>-18249.1</v>
      </c>
      <c r="BI114" s="207">
        <v>-75283.59999999999</v>
      </c>
      <c r="BJ114" s="207">
        <v>0</v>
      </c>
      <c r="BK114" s="207">
        <v>0</v>
      </c>
      <c r="BL114" s="207">
        <v>7835</v>
      </c>
      <c r="BM114" s="207">
        <v>-323181.62783946475</v>
      </c>
      <c r="BN114" s="207">
        <v>-189434.56</v>
      </c>
      <c r="BO114" s="207">
        <v>-35237.641212861985</v>
      </c>
      <c r="BP114" s="207">
        <v>389680</v>
      </c>
      <c r="BQ114" s="207">
        <v>123884</v>
      </c>
      <c r="BR114" s="207">
        <v>273763.615764534</v>
      </c>
      <c r="BS114" s="207">
        <v>13590.197081574734</v>
      </c>
      <c r="BT114" s="207">
        <v>61909.680832856684</v>
      </c>
      <c r="BU114" s="207">
        <v>128987.01462709896</v>
      </c>
      <c r="BV114" s="207">
        <v>247071.45361683314</v>
      </c>
      <c r="BW114" s="207">
        <v>415674.0463340416</v>
      </c>
      <c r="BX114" s="207">
        <v>112439.5435973581</v>
      </c>
      <c r="BY114" s="207">
        <v>194656.08423247086</v>
      </c>
      <c r="BZ114" s="207">
        <v>400.59</v>
      </c>
      <c r="CA114" s="207">
        <v>31383.268910239327</v>
      </c>
      <c r="CB114" s="207">
        <v>4381.217697377342</v>
      </c>
      <c r="CC114" s="207">
        <v>-801482.5701420874</v>
      </c>
      <c r="CD114" s="207">
        <v>0</v>
      </c>
      <c r="CE114" s="207">
        <v>267585.24522862566</v>
      </c>
      <c r="CF114" s="207">
        <v>0</v>
      </c>
      <c r="CG114" s="207">
        <v>2814875.8790572085</v>
      </c>
      <c r="CH114" s="207">
        <v>-1094322</v>
      </c>
      <c r="CI114" s="207">
        <v>107457.5661</v>
      </c>
      <c r="CJ114" s="207">
        <v>248817.62048000004</v>
      </c>
      <c r="CK114" s="207">
        <v>-141360.05438000005</v>
      </c>
      <c r="CL114" s="207">
        <v>6401866.08954354</v>
      </c>
      <c r="CM114" s="207">
        <v>7786187.248528086</v>
      </c>
      <c r="CN114" s="207">
        <v>4508</v>
      </c>
    </row>
    <row r="115" spans="1:92" ht="9.75">
      <c r="A115" s="207">
        <v>317</v>
      </c>
      <c r="B115" s="207" t="s">
        <v>172</v>
      </c>
      <c r="C115" s="207">
        <v>2613</v>
      </c>
      <c r="D115" s="207">
        <v>10324856.09</v>
      </c>
      <c r="E115" s="207">
        <v>4779731.611102059</v>
      </c>
      <c r="F115" s="207">
        <v>874437.3964135565</v>
      </c>
      <c r="G115" s="207">
        <v>15979025.097515617</v>
      </c>
      <c r="H115" s="207">
        <v>3654.72</v>
      </c>
      <c r="I115" s="207">
        <v>9549783.36</v>
      </c>
      <c r="J115" s="207">
        <v>6429241.737515617</v>
      </c>
      <c r="K115" s="207">
        <v>622743.6830266133</v>
      </c>
      <c r="L115" s="207">
        <v>-236454.63338818532</v>
      </c>
      <c r="M115" s="207">
        <v>0</v>
      </c>
      <c r="N115" s="207">
        <v>6815530.787154046</v>
      </c>
      <c r="O115" s="207">
        <v>2958507.7638749783</v>
      </c>
      <c r="P115" s="207">
        <v>9774038.551029025</v>
      </c>
      <c r="Q115" s="207">
        <v>160</v>
      </c>
      <c r="R115" s="207">
        <v>35</v>
      </c>
      <c r="S115" s="207">
        <v>217</v>
      </c>
      <c r="T115" s="207">
        <v>108</v>
      </c>
      <c r="U115" s="207">
        <v>112</v>
      </c>
      <c r="V115" s="207">
        <v>1290</v>
      </c>
      <c r="W115" s="207">
        <v>360</v>
      </c>
      <c r="X115" s="207">
        <v>242</v>
      </c>
      <c r="Y115" s="207">
        <v>89</v>
      </c>
      <c r="Z115" s="207">
        <v>2</v>
      </c>
      <c r="AA115" s="207">
        <v>0</v>
      </c>
      <c r="AB115" s="207">
        <v>2587</v>
      </c>
      <c r="AC115" s="207">
        <v>24</v>
      </c>
      <c r="AD115" s="207">
        <v>691</v>
      </c>
      <c r="AE115" s="480">
        <v>1.552811757817306</v>
      </c>
      <c r="AF115" s="207">
        <v>4779731.611102059</v>
      </c>
      <c r="AG115" s="175">
        <v>97</v>
      </c>
      <c r="AH115" s="175">
        <v>1032</v>
      </c>
      <c r="AI115" s="175">
        <v>0.9634213711505093</v>
      </c>
      <c r="AJ115" s="175">
        <v>24</v>
      </c>
      <c r="AK115" s="175">
        <v>0.009184845005740528</v>
      </c>
      <c r="AL115" s="175">
        <v>0.005903765895277532</v>
      </c>
      <c r="AM115" s="175">
        <v>0</v>
      </c>
      <c r="AN115" s="175">
        <v>2</v>
      </c>
      <c r="AO115" s="175">
        <v>0</v>
      </c>
      <c r="AP115" s="175">
        <v>0</v>
      </c>
      <c r="AQ115" s="175">
        <v>0</v>
      </c>
      <c r="AR115" s="175">
        <v>695.97</v>
      </c>
      <c r="AS115" s="175">
        <v>3.754472175524807</v>
      </c>
      <c r="AT115" s="175">
        <v>4.834373859323132</v>
      </c>
      <c r="AU115" s="175">
        <v>105</v>
      </c>
      <c r="AV115" s="175">
        <v>660</v>
      </c>
      <c r="AW115" s="175">
        <v>0.1590909090909091</v>
      </c>
      <c r="AX115" s="175">
        <v>0.10362967536142409</v>
      </c>
      <c r="AY115" s="175">
        <v>0.9186666666666667</v>
      </c>
      <c r="AZ115" s="207">
        <v>903</v>
      </c>
      <c r="BA115" s="175">
        <v>900</v>
      </c>
      <c r="BB115" s="175">
        <v>1.0033333333333334</v>
      </c>
      <c r="BC115" s="175">
        <v>0.6136384859096216</v>
      </c>
      <c r="BD115" s="175">
        <v>0</v>
      </c>
      <c r="BE115" s="175">
        <v>0</v>
      </c>
      <c r="BF115" s="207">
        <v>-16475.41</v>
      </c>
      <c r="BG115" s="207">
        <v>-20156.92</v>
      </c>
      <c r="BH115" s="207">
        <v>-10713.3</v>
      </c>
      <c r="BI115" s="207">
        <v>-43603.7</v>
      </c>
      <c r="BJ115" s="207">
        <v>0</v>
      </c>
      <c r="BK115" s="207">
        <v>0</v>
      </c>
      <c r="BL115" s="207">
        <v>60418</v>
      </c>
      <c r="BM115" s="207">
        <v>-78322.36466948935</v>
      </c>
      <c r="BN115" s="207">
        <v>-111209.28</v>
      </c>
      <c r="BO115" s="207">
        <v>49000.51558020711</v>
      </c>
      <c r="BP115" s="207">
        <v>296680</v>
      </c>
      <c r="BQ115" s="207">
        <v>93301</v>
      </c>
      <c r="BR115" s="207">
        <v>241156.9708270324</v>
      </c>
      <c r="BS115" s="207">
        <v>12942.928733045273</v>
      </c>
      <c r="BT115" s="207">
        <v>34878.62628951513</v>
      </c>
      <c r="BU115" s="207">
        <v>119431.05590188224</v>
      </c>
      <c r="BV115" s="207">
        <v>172131.00315916064</v>
      </c>
      <c r="BW115" s="207">
        <v>235013.8605017155</v>
      </c>
      <c r="BX115" s="207">
        <v>78449.33164571795</v>
      </c>
      <c r="BY115" s="207">
        <v>136398.27916938005</v>
      </c>
      <c r="BZ115" s="207">
        <v>235.17</v>
      </c>
      <c r="CA115" s="207">
        <v>14487.235701096903</v>
      </c>
      <c r="CB115" s="207">
        <v>124140.921281304</v>
      </c>
      <c r="CC115" s="207">
        <v>-236454.63338818532</v>
      </c>
      <c r="CD115" s="207">
        <v>0</v>
      </c>
      <c r="CE115" s="207">
        <v>188629.82254182707</v>
      </c>
      <c r="CF115" s="207">
        <v>0</v>
      </c>
      <c r="CG115" s="207">
        <v>2958507.7638749783</v>
      </c>
      <c r="CH115" s="207">
        <v>-47674</v>
      </c>
      <c r="CI115" s="207">
        <v>53015.118</v>
      </c>
      <c r="CJ115" s="207">
        <v>42140.222</v>
      </c>
      <c r="CK115" s="207">
        <v>10874.896</v>
      </c>
      <c r="CL115" s="207">
        <v>9726364.551029025</v>
      </c>
      <c r="CM115" s="207">
        <v>10894380.123375585</v>
      </c>
      <c r="CN115" s="207">
        <v>2611</v>
      </c>
    </row>
    <row r="116" spans="1:92" ht="9.75">
      <c r="A116" s="207">
        <v>398</v>
      </c>
      <c r="B116" s="207" t="s">
        <v>173</v>
      </c>
      <c r="C116" s="207">
        <v>119951</v>
      </c>
      <c r="D116" s="207">
        <v>399802544.75</v>
      </c>
      <c r="E116" s="207">
        <v>151054742.19849685</v>
      </c>
      <c r="F116" s="207">
        <v>36717693.84269069</v>
      </c>
      <c r="G116" s="207">
        <v>587574980.7911875</v>
      </c>
      <c r="H116" s="207">
        <v>3654.72</v>
      </c>
      <c r="I116" s="207">
        <v>438387318.71999997</v>
      </c>
      <c r="J116" s="207">
        <v>149187662.07118756</v>
      </c>
      <c r="K116" s="207">
        <v>5355547.285466697</v>
      </c>
      <c r="L116" s="207">
        <v>-21631383.146889374</v>
      </c>
      <c r="M116" s="207">
        <v>0</v>
      </c>
      <c r="N116" s="207">
        <v>132911826.20976488</v>
      </c>
      <c r="O116" s="207">
        <v>33541574.51167579</v>
      </c>
      <c r="P116" s="207">
        <v>166453400.72144067</v>
      </c>
      <c r="Q116" s="207">
        <v>6561</v>
      </c>
      <c r="R116" s="207">
        <v>1260</v>
      </c>
      <c r="S116" s="207">
        <v>7392</v>
      </c>
      <c r="T116" s="207">
        <v>3544</v>
      </c>
      <c r="U116" s="207">
        <v>3838</v>
      </c>
      <c r="V116" s="207">
        <v>68683</v>
      </c>
      <c r="W116" s="207">
        <v>16770</v>
      </c>
      <c r="X116" s="207">
        <v>8743</v>
      </c>
      <c r="Y116" s="207">
        <v>3160</v>
      </c>
      <c r="Z116" s="207">
        <v>453</v>
      </c>
      <c r="AA116" s="207">
        <v>14</v>
      </c>
      <c r="AB116" s="207">
        <v>111171</v>
      </c>
      <c r="AC116" s="207">
        <v>8313</v>
      </c>
      <c r="AD116" s="207">
        <v>28673</v>
      </c>
      <c r="AE116" s="480">
        <v>1.069018449925463</v>
      </c>
      <c r="AF116" s="207">
        <v>151054742.19849685</v>
      </c>
      <c r="AG116" s="175">
        <v>7978</v>
      </c>
      <c r="AH116" s="175">
        <v>56791</v>
      </c>
      <c r="AI116" s="175">
        <v>1.4399212960468006</v>
      </c>
      <c r="AJ116" s="175">
        <v>8313</v>
      </c>
      <c r="AK116" s="175">
        <v>0.06930329884702921</v>
      </c>
      <c r="AL116" s="175">
        <v>0.06602221973656622</v>
      </c>
      <c r="AM116" s="175">
        <v>0</v>
      </c>
      <c r="AN116" s="175">
        <v>453</v>
      </c>
      <c r="AO116" s="175">
        <v>14</v>
      </c>
      <c r="AP116" s="175">
        <v>0</v>
      </c>
      <c r="AQ116" s="175">
        <v>0</v>
      </c>
      <c r="AR116" s="175">
        <v>459.48</v>
      </c>
      <c r="AS116" s="175">
        <v>261.0581526943501</v>
      </c>
      <c r="AT116" s="175">
        <v>0.06952673936279637</v>
      </c>
      <c r="AU116" s="175">
        <v>5650</v>
      </c>
      <c r="AV116" s="175">
        <v>36289</v>
      </c>
      <c r="AW116" s="175">
        <v>0.15569456309074375</v>
      </c>
      <c r="AX116" s="175">
        <v>0.10023332936125876</v>
      </c>
      <c r="AY116" s="175">
        <v>0</v>
      </c>
      <c r="AZ116" s="207">
        <v>50573</v>
      </c>
      <c r="BA116" s="175">
        <v>47187</v>
      </c>
      <c r="BB116" s="175">
        <v>1.0717570517303494</v>
      </c>
      <c r="BC116" s="175">
        <v>0.6820622043066376</v>
      </c>
      <c r="BD116" s="175">
        <v>0</v>
      </c>
      <c r="BE116" s="175">
        <v>14</v>
      </c>
      <c r="BF116" s="207">
        <v>-754505.63</v>
      </c>
      <c r="BG116" s="207">
        <v>-923103.5599999999</v>
      </c>
      <c r="BH116" s="207">
        <v>-491799.1</v>
      </c>
      <c r="BI116" s="207">
        <v>-1996869.0999999999</v>
      </c>
      <c r="BJ116" s="207">
        <v>0</v>
      </c>
      <c r="BK116" s="207">
        <v>0</v>
      </c>
      <c r="BL116" s="207">
        <v>3879229</v>
      </c>
      <c r="BM116" s="207">
        <v>-13923563.427454863</v>
      </c>
      <c r="BN116" s="207">
        <v>-5105114.5600000005</v>
      </c>
      <c r="BO116" s="207">
        <v>-194497.132058952</v>
      </c>
      <c r="BP116" s="207">
        <v>8053889</v>
      </c>
      <c r="BQ116" s="207">
        <v>2744547</v>
      </c>
      <c r="BR116" s="207">
        <v>6470503.743043369</v>
      </c>
      <c r="BS116" s="207">
        <v>262175.4958546273</v>
      </c>
      <c r="BT116" s="207">
        <v>117375.99346749118</v>
      </c>
      <c r="BU116" s="207">
        <v>3024360.3881341554</v>
      </c>
      <c r="BV116" s="207">
        <v>5639445.098830124</v>
      </c>
      <c r="BW116" s="207">
        <v>8570366.7796735</v>
      </c>
      <c r="BX116" s="207">
        <v>2792435.931143376</v>
      </c>
      <c r="BY116" s="207">
        <v>4955703.451213543</v>
      </c>
      <c r="BZ116" s="207">
        <v>10795.59</v>
      </c>
      <c r="CA116" s="207">
        <v>1545742.4326244416</v>
      </c>
      <c r="CB116" s="207">
        <v>5241269.890565489</v>
      </c>
      <c r="CC116" s="207">
        <v>-21631383.146889374</v>
      </c>
      <c r="CD116" s="207">
        <v>0</v>
      </c>
      <c r="CE116" s="207">
        <v>6448426.123181674</v>
      </c>
      <c r="CF116" s="207">
        <v>0</v>
      </c>
      <c r="CG116" s="207">
        <v>33541574.51167579</v>
      </c>
      <c r="CH116" s="207">
        <v>-5087858</v>
      </c>
      <c r="CI116" s="207">
        <v>2805859.104200001</v>
      </c>
      <c r="CJ116" s="207">
        <v>9142574.004232002</v>
      </c>
      <c r="CK116" s="207">
        <v>-6336714.900032002</v>
      </c>
      <c r="CL116" s="207">
        <v>161365542.72144067</v>
      </c>
      <c r="CM116" s="207">
        <v>188699813.45214242</v>
      </c>
      <c r="CN116" s="207">
        <v>119573</v>
      </c>
    </row>
    <row r="117" spans="1:92" ht="9.75">
      <c r="A117" s="207">
        <v>399</v>
      </c>
      <c r="B117" s="207" t="s">
        <v>174</v>
      </c>
      <c r="C117" s="207">
        <v>8058</v>
      </c>
      <c r="D117" s="207">
        <v>30165087.16</v>
      </c>
      <c r="E117" s="207">
        <v>9110548.706458153</v>
      </c>
      <c r="F117" s="207">
        <v>1090094.1922864271</v>
      </c>
      <c r="G117" s="207">
        <v>40365730.05874458</v>
      </c>
      <c r="H117" s="207">
        <v>3654.72</v>
      </c>
      <c r="I117" s="207">
        <v>29449733.759999998</v>
      </c>
      <c r="J117" s="207">
        <v>10915996.298744582</v>
      </c>
      <c r="K117" s="207">
        <v>78859.746364698</v>
      </c>
      <c r="L117" s="207">
        <v>-1074079.8863010341</v>
      </c>
      <c r="M117" s="207">
        <v>0</v>
      </c>
      <c r="N117" s="207">
        <v>9920776.158808246</v>
      </c>
      <c r="O117" s="207">
        <v>3279904.298219697</v>
      </c>
      <c r="P117" s="207">
        <v>13200680.457027944</v>
      </c>
      <c r="Q117" s="207">
        <v>572</v>
      </c>
      <c r="R117" s="207">
        <v>127</v>
      </c>
      <c r="S117" s="207">
        <v>716</v>
      </c>
      <c r="T117" s="207">
        <v>299</v>
      </c>
      <c r="U117" s="207">
        <v>275</v>
      </c>
      <c r="V117" s="207">
        <v>4293</v>
      </c>
      <c r="W117" s="207">
        <v>1045</v>
      </c>
      <c r="X117" s="207">
        <v>507</v>
      </c>
      <c r="Y117" s="207">
        <v>224</v>
      </c>
      <c r="Z117" s="207">
        <v>93</v>
      </c>
      <c r="AA117" s="207">
        <v>0</v>
      </c>
      <c r="AB117" s="207">
        <v>7856</v>
      </c>
      <c r="AC117" s="207">
        <v>109</v>
      </c>
      <c r="AD117" s="207">
        <v>1776</v>
      </c>
      <c r="AE117" s="480">
        <v>0.9597806297444286</v>
      </c>
      <c r="AF117" s="207">
        <v>9110548.706458153</v>
      </c>
      <c r="AG117" s="175">
        <v>234</v>
      </c>
      <c r="AH117" s="175">
        <v>3789</v>
      </c>
      <c r="AI117" s="175">
        <v>0.6330171714550644</v>
      </c>
      <c r="AJ117" s="175">
        <v>109</v>
      </c>
      <c r="AK117" s="175">
        <v>0.01352692975924547</v>
      </c>
      <c r="AL117" s="175">
        <v>0.010245850648782473</v>
      </c>
      <c r="AM117" s="175">
        <v>0</v>
      </c>
      <c r="AN117" s="175">
        <v>93</v>
      </c>
      <c r="AO117" s="175">
        <v>0</v>
      </c>
      <c r="AP117" s="175">
        <v>0</v>
      </c>
      <c r="AQ117" s="175">
        <v>0</v>
      </c>
      <c r="AR117" s="175">
        <v>505.16</v>
      </c>
      <c r="AS117" s="175">
        <v>15.951381740438672</v>
      </c>
      <c r="AT117" s="175">
        <v>1.1378651979031646</v>
      </c>
      <c r="AU117" s="175">
        <v>217</v>
      </c>
      <c r="AV117" s="175">
        <v>2577</v>
      </c>
      <c r="AW117" s="175">
        <v>0.08420644159875824</v>
      </c>
      <c r="AX117" s="175">
        <v>0.02874520786927324</v>
      </c>
      <c r="AY117" s="175">
        <v>0</v>
      </c>
      <c r="AZ117" s="207">
        <v>1857</v>
      </c>
      <c r="BA117" s="175">
        <v>3444</v>
      </c>
      <c r="BB117" s="175">
        <v>0.539198606271777</v>
      </c>
      <c r="BC117" s="175">
        <v>0.1495037588480651</v>
      </c>
      <c r="BD117" s="175">
        <v>0</v>
      </c>
      <c r="BE117" s="175">
        <v>0</v>
      </c>
      <c r="BF117" s="207">
        <v>-50801.81</v>
      </c>
      <c r="BG117" s="207">
        <v>-62153.72</v>
      </c>
      <c r="BH117" s="207">
        <v>-33037.799999999996</v>
      </c>
      <c r="BI117" s="207">
        <v>-134451.69999999998</v>
      </c>
      <c r="BJ117" s="207">
        <v>0</v>
      </c>
      <c r="BK117" s="207">
        <v>0</v>
      </c>
      <c r="BL117" s="207">
        <v>-80765</v>
      </c>
      <c r="BM117" s="207">
        <v>-28389.3784524503</v>
      </c>
      <c r="BN117" s="207">
        <v>-342948.48000000004</v>
      </c>
      <c r="BO117" s="207">
        <v>-82669.05663659237</v>
      </c>
      <c r="BP117" s="207">
        <v>630442</v>
      </c>
      <c r="BQ117" s="207">
        <v>196494</v>
      </c>
      <c r="BR117" s="207">
        <v>488277.6115921374</v>
      </c>
      <c r="BS117" s="207">
        <v>13438.707080138607</v>
      </c>
      <c r="BT117" s="207">
        <v>56865.71957189152</v>
      </c>
      <c r="BU117" s="207">
        <v>183097.91458002324</v>
      </c>
      <c r="BV117" s="207">
        <v>402271.6029004239</v>
      </c>
      <c r="BW117" s="207">
        <v>650793.6444336704</v>
      </c>
      <c r="BX117" s="207">
        <v>171958.51660430492</v>
      </c>
      <c r="BY117" s="207">
        <v>332204.5728419575</v>
      </c>
      <c r="BZ117" s="207">
        <v>725.22</v>
      </c>
      <c r="CA117" s="207">
        <v>-12529.881211991415</v>
      </c>
      <c r="CB117" s="207">
        <v>-175238.7178485838</v>
      </c>
      <c r="CC117" s="207">
        <v>-1074079.8863010341</v>
      </c>
      <c r="CD117" s="207">
        <v>0</v>
      </c>
      <c r="CE117" s="207">
        <v>434540.9473183577</v>
      </c>
      <c r="CF117" s="207">
        <v>0</v>
      </c>
      <c r="CG117" s="207">
        <v>3279904.298219697</v>
      </c>
      <c r="CH117" s="207">
        <v>-586145</v>
      </c>
      <c r="CI117" s="207">
        <v>81765.6243</v>
      </c>
      <c r="CJ117" s="207">
        <v>157223.80891999998</v>
      </c>
      <c r="CK117" s="207">
        <v>-75458.18461999999</v>
      </c>
      <c r="CL117" s="207">
        <v>12614535.457027944</v>
      </c>
      <c r="CM117" s="207">
        <v>15198244.473198952</v>
      </c>
      <c r="CN117" s="207">
        <v>8051</v>
      </c>
    </row>
    <row r="118" spans="1:92" ht="9.75">
      <c r="A118" s="207">
        <v>400</v>
      </c>
      <c r="B118" s="207" t="s">
        <v>175</v>
      </c>
      <c r="C118" s="207">
        <v>8647</v>
      </c>
      <c r="D118" s="207">
        <v>31279089.17</v>
      </c>
      <c r="E118" s="207">
        <v>10687912.286136039</v>
      </c>
      <c r="F118" s="207">
        <v>2314757.566581092</v>
      </c>
      <c r="G118" s="207">
        <v>44281759.02271713</v>
      </c>
      <c r="H118" s="207">
        <v>3654.72</v>
      </c>
      <c r="I118" s="207">
        <v>31602363.84</v>
      </c>
      <c r="J118" s="207">
        <v>12679395.182717133</v>
      </c>
      <c r="K118" s="207">
        <v>348579.05402830034</v>
      </c>
      <c r="L118" s="207">
        <v>-1098381.2351563869</v>
      </c>
      <c r="M118" s="207">
        <v>0</v>
      </c>
      <c r="N118" s="207">
        <v>11929593.001589047</v>
      </c>
      <c r="O118" s="207">
        <v>4769660.906741936</v>
      </c>
      <c r="P118" s="207">
        <v>16699253.908330983</v>
      </c>
      <c r="Q118" s="207">
        <v>549</v>
      </c>
      <c r="R118" s="207">
        <v>103</v>
      </c>
      <c r="S118" s="207">
        <v>613</v>
      </c>
      <c r="T118" s="207">
        <v>288</v>
      </c>
      <c r="U118" s="207">
        <v>293</v>
      </c>
      <c r="V118" s="207">
        <v>4755</v>
      </c>
      <c r="W118" s="207">
        <v>1134</v>
      </c>
      <c r="X118" s="207">
        <v>637</v>
      </c>
      <c r="Y118" s="207">
        <v>275</v>
      </c>
      <c r="Z118" s="207">
        <v>36</v>
      </c>
      <c r="AA118" s="207">
        <v>0</v>
      </c>
      <c r="AB118" s="207">
        <v>8027</v>
      </c>
      <c r="AC118" s="207">
        <v>584</v>
      </c>
      <c r="AD118" s="207">
        <v>2046</v>
      </c>
      <c r="AE118" s="480">
        <v>1.0492576192196394</v>
      </c>
      <c r="AF118" s="207">
        <v>10687912.286136039</v>
      </c>
      <c r="AG118" s="175">
        <v>179</v>
      </c>
      <c r="AH118" s="175">
        <v>3907</v>
      </c>
      <c r="AI118" s="175">
        <v>0.469606239527497</v>
      </c>
      <c r="AJ118" s="175">
        <v>584</v>
      </c>
      <c r="AK118" s="175">
        <v>0.06753787440730889</v>
      </c>
      <c r="AL118" s="175">
        <v>0.0642567952968459</v>
      </c>
      <c r="AM118" s="175">
        <v>0</v>
      </c>
      <c r="AN118" s="175">
        <v>36</v>
      </c>
      <c r="AO118" s="175">
        <v>0</v>
      </c>
      <c r="AP118" s="175">
        <v>0</v>
      </c>
      <c r="AQ118" s="175">
        <v>0</v>
      </c>
      <c r="AR118" s="175">
        <v>531.61</v>
      </c>
      <c r="AS118" s="175">
        <v>16.26568348977634</v>
      </c>
      <c r="AT118" s="175">
        <v>1.115878232373176</v>
      </c>
      <c r="AU118" s="175">
        <v>487</v>
      </c>
      <c r="AV118" s="175">
        <v>2621</v>
      </c>
      <c r="AW118" s="175">
        <v>0.18580694391453645</v>
      </c>
      <c r="AX118" s="175">
        <v>0.13034571018505145</v>
      </c>
      <c r="AY118" s="175">
        <v>0</v>
      </c>
      <c r="AZ118" s="207">
        <v>3823</v>
      </c>
      <c r="BA118" s="175">
        <v>3802</v>
      </c>
      <c r="BB118" s="175">
        <v>1.0055234087322462</v>
      </c>
      <c r="BC118" s="175">
        <v>0.6158285613085344</v>
      </c>
      <c r="BD118" s="175">
        <v>0</v>
      </c>
      <c r="BE118" s="175">
        <v>0</v>
      </c>
      <c r="BF118" s="207">
        <v>-54329.1</v>
      </c>
      <c r="BG118" s="207">
        <v>-66469.2</v>
      </c>
      <c r="BH118" s="207">
        <v>-35452.7</v>
      </c>
      <c r="BI118" s="207">
        <v>-143787</v>
      </c>
      <c r="BJ118" s="207">
        <v>0</v>
      </c>
      <c r="BK118" s="207">
        <v>0</v>
      </c>
      <c r="BL118" s="207">
        <v>-34740</v>
      </c>
      <c r="BM118" s="207">
        <v>-147476.17186072638</v>
      </c>
      <c r="BN118" s="207">
        <v>-368016.32</v>
      </c>
      <c r="BO118" s="207">
        <v>84422.16206699982</v>
      </c>
      <c r="BP118" s="207">
        <v>739591</v>
      </c>
      <c r="BQ118" s="207">
        <v>245424</v>
      </c>
      <c r="BR118" s="207">
        <v>599915.1630202786</v>
      </c>
      <c r="BS118" s="207">
        <v>28362.25053418359</v>
      </c>
      <c r="BT118" s="207">
        <v>66734.71021022498</v>
      </c>
      <c r="BU118" s="207">
        <v>271181.82292428904</v>
      </c>
      <c r="BV118" s="207">
        <v>489938.90179089195</v>
      </c>
      <c r="BW118" s="207">
        <v>793644.9780317354</v>
      </c>
      <c r="BX118" s="207">
        <v>232345.14997021123</v>
      </c>
      <c r="BY118" s="207">
        <v>403381.89974042116</v>
      </c>
      <c r="BZ118" s="207">
        <v>778.23</v>
      </c>
      <c r="CA118" s="207">
        <v>-68194.11536266029</v>
      </c>
      <c r="CB118" s="207">
        <v>-17733.723295660464</v>
      </c>
      <c r="CC118" s="207">
        <v>-1098381.2351563869</v>
      </c>
      <c r="CD118" s="207">
        <v>0</v>
      </c>
      <c r="CE118" s="207">
        <v>551483.9909379933</v>
      </c>
      <c r="CF118" s="207">
        <v>0</v>
      </c>
      <c r="CG118" s="207">
        <v>4769660.906741936</v>
      </c>
      <c r="CH118" s="207">
        <v>583850</v>
      </c>
      <c r="CI118" s="207">
        <v>376543.27400000003</v>
      </c>
      <c r="CJ118" s="207">
        <v>61239.2581</v>
      </c>
      <c r="CK118" s="207">
        <v>315304.01590000006</v>
      </c>
      <c r="CL118" s="207">
        <v>17283103.908330984</v>
      </c>
      <c r="CM118" s="207">
        <v>19816873.681423843</v>
      </c>
      <c r="CN118" s="207">
        <v>8610</v>
      </c>
    </row>
    <row r="119" spans="1:92" ht="9.75">
      <c r="A119" s="207">
        <v>407</v>
      </c>
      <c r="B119" s="207" t="s">
        <v>176</v>
      </c>
      <c r="C119" s="207">
        <v>2665</v>
      </c>
      <c r="D119" s="207">
        <v>10090282.22</v>
      </c>
      <c r="E119" s="207">
        <v>3528317.163416447</v>
      </c>
      <c r="F119" s="207">
        <v>1144956.7618941322</v>
      </c>
      <c r="G119" s="207">
        <v>14763556.14531058</v>
      </c>
      <c r="H119" s="207">
        <v>3654.72</v>
      </c>
      <c r="I119" s="207">
        <v>9739828.799999999</v>
      </c>
      <c r="J119" s="207">
        <v>5023727.345310582</v>
      </c>
      <c r="K119" s="207">
        <v>76530.04891151511</v>
      </c>
      <c r="L119" s="207">
        <v>-363500.2921045148</v>
      </c>
      <c r="M119" s="207">
        <v>0</v>
      </c>
      <c r="N119" s="207">
        <v>4736757.102117581</v>
      </c>
      <c r="O119" s="207">
        <v>1863035.5259042992</v>
      </c>
      <c r="P119" s="207">
        <v>6599792.628021881</v>
      </c>
      <c r="Q119" s="207">
        <v>138</v>
      </c>
      <c r="R119" s="207">
        <v>17</v>
      </c>
      <c r="S119" s="207">
        <v>185</v>
      </c>
      <c r="T119" s="207">
        <v>84</v>
      </c>
      <c r="U119" s="207">
        <v>79</v>
      </c>
      <c r="V119" s="207">
        <v>1387</v>
      </c>
      <c r="W119" s="207">
        <v>433</v>
      </c>
      <c r="X119" s="207">
        <v>217</v>
      </c>
      <c r="Y119" s="207">
        <v>125</v>
      </c>
      <c r="Z119" s="207">
        <v>819</v>
      </c>
      <c r="AA119" s="207">
        <v>0</v>
      </c>
      <c r="AB119" s="207">
        <v>1710</v>
      </c>
      <c r="AC119" s="207">
        <v>136</v>
      </c>
      <c r="AD119" s="207">
        <v>775</v>
      </c>
      <c r="AE119" s="480">
        <v>1.1238933809702096</v>
      </c>
      <c r="AF119" s="207">
        <v>3528317.163416447</v>
      </c>
      <c r="AG119" s="175">
        <v>99</v>
      </c>
      <c r="AH119" s="175">
        <v>1237</v>
      </c>
      <c r="AI119" s="175">
        <v>0.8203321525115239</v>
      </c>
      <c r="AJ119" s="175">
        <v>136</v>
      </c>
      <c r="AK119" s="175">
        <v>0.05103189493433396</v>
      </c>
      <c r="AL119" s="175">
        <v>0.04775081582387096</v>
      </c>
      <c r="AM119" s="175">
        <v>1</v>
      </c>
      <c r="AN119" s="175">
        <v>819</v>
      </c>
      <c r="AO119" s="175">
        <v>0</v>
      </c>
      <c r="AP119" s="175">
        <v>0</v>
      </c>
      <c r="AQ119" s="175">
        <v>0</v>
      </c>
      <c r="AR119" s="175">
        <v>329.88</v>
      </c>
      <c r="AS119" s="175">
        <v>8.07869528313326</v>
      </c>
      <c r="AT119" s="175">
        <v>2.246714538027932</v>
      </c>
      <c r="AU119" s="175">
        <v>180</v>
      </c>
      <c r="AV119" s="175">
        <v>790</v>
      </c>
      <c r="AW119" s="175">
        <v>0.22784810126582278</v>
      </c>
      <c r="AX119" s="175">
        <v>0.17238686753633778</v>
      </c>
      <c r="AY119" s="175">
        <v>0</v>
      </c>
      <c r="AZ119" s="207">
        <v>893</v>
      </c>
      <c r="BA119" s="175">
        <v>1078</v>
      </c>
      <c r="BB119" s="175">
        <v>0.8283858998144712</v>
      </c>
      <c r="BC119" s="175">
        <v>0.43869105239075934</v>
      </c>
      <c r="BD119" s="175">
        <v>0</v>
      </c>
      <c r="BE119" s="175">
        <v>0</v>
      </c>
      <c r="BF119" s="207">
        <v>-17074.86</v>
      </c>
      <c r="BG119" s="207">
        <v>-20890.32</v>
      </c>
      <c r="BH119" s="207">
        <v>-10926.499999999998</v>
      </c>
      <c r="BI119" s="207">
        <v>-45190.2</v>
      </c>
      <c r="BJ119" s="207">
        <v>0</v>
      </c>
      <c r="BK119" s="207">
        <v>0</v>
      </c>
      <c r="BL119" s="207">
        <v>-44318</v>
      </c>
      <c r="BM119" s="207">
        <v>-83031.22620208118</v>
      </c>
      <c r="BN119" s="207">
        <v>-113422.40000000001</v>
      </c>
      <c r="BO119" s="207">
        <v>28807.877030804753</v>
      </c>
      <c r="BP119" s="207">
        <v>266070</v>
      </c>
      <c r="BQ119" s="207">
        <v>86843</v>
      </c>
      <c r="BR119" s="207">
        <v>215737.08744909434</v>
      </c>
      <c r="BS119" s="207">
        <v>10073.129408609553</v>
      </c>
      <c r="BT119" s="207">
        <v>43753.06037410913</v>
      </c>
      <c r="BU119" s="207">
        <v>86084.27444925872</v>
      </c>
      <c r="BV119" s="207">
        <v>157534.1649968356</v>
      </c>
      <c r="BW119" s="207">
        <v>288427.1364173449</v>
      </c>
      <c r="BX119" s="207">
        <v>80419.06926967647</v>
      </c>
      <c r="BY119" s="207">
        <v>136460.939309663</v>
      </c>
      <c r="BZ119" s="207">
        <v>239.85</v>
      </c>
      <c r="CA119" s="207">
        <v>24014.387066761647</v>
      </c>
      <c r="CB119" s="207">
        <v>8744.1140975664</v>
      </c>
      <c r="CC119" s="207">
        <v>-363500.2921045148</v>
      </c>
      <c r="CD119" s="207">
        <v>0</v>
      </c>
      <c r="CE119" s="207">
        <v>183935.80408534728</v>
      </c>
      <c r="CF119" s="207">
        <v>0</v>
      </c>
      <c r="CG119" s="207">
        <v>1863035.5259042992</v>
      </c>
      <c r="CH119" s="207">
        <v>-614198</v>
      </c>
      <c r="CI119" s="207">
        <v>118536.3664</v>
      </c>
      <c r="CJ119" s="207">
        <v>941630.0574</v>
      </c>
      <c r="CK119" s="207">
        <v>-823093.6910000001</v>
      </c>
      <c r="CL119" s="207">
        <v>5985594.628021881</v>
      </c>
      <c r="CM119" s="207">
        <v>7137275.66777786</v>
      </c>
      <c r="CN119" s="207">
        <v>2706</v>
      </c>
    </row>
    <row r="120" spans="1:92" ht="9.75">
      <c r="A120" s="207">
        <v>402</v>
      </c>
      <c r="B120" s="207" t="s">
        <v>177</v>
      </c>
      <c r="C120" s="207">
        <v>9617</v>
      </c>
      <c r="D120" s="207">
        <v>34792293.64</v>
      </c>
      <c r="E120" s="207">
        <v>16757016.046496857</v>
      </c>
      <c r="F120" s="207">
        <v>2356742.1121146497</v>
      </c>
      <c r="G120" s="207">
        <v>53906051.79861151</v>
      </c>
      <c r="H120" s="207">
        <v>3654.72</v>
      </c>
      <c r="I120" s="207">
        <v>35147442.239999995</v>
      </c>
      <c r="J120" s="207">
        <v>18758609.558611512</v>
      </c>
      <c r="K120" s="207">
        <v>274084.5303430774</v>
      </c>
      <c r="L120" s="207">
        <v>-1078349.239441128</v>
      </c>
      <c r="M120" s="207">
        <v>0</v>
      </c>
      <c r="N120" s="207">
        <v>17954344.849513464</v>
      </c>
      <c r="O120" s="207">
        <v>8568031.563913131</v>
      </c>
      <c r="P120" s="207">
        <v>26522376.413426593</v>
      </c>
      <c r="Q120" s="207">
        <v>459</v>
      </c>
      <c r="R120" s="207">
        <v>115</v>
      </c>
      <c r="S120" s="207">
        <v>685</v>
      </c>
      <c r="T120" s="207">
        <v>338</v>
      </c>
      <c r="U120" s="207">
        <v>342</v>
      </c>
      <c r="V120" s="207">
        <v>5096</v>
      </c>
      <c r="W120" s="207">
        <v>1493</v>
      </c>
      <c r="X120" s="207">
        <v>763</v>
      </c>
      <c r="Y120" s="207">
        <v>326</v>
      </c>
      <c r="Z120" s="207">
        <v>11</v>
      </c>
      <c r="AA120" s="207">
        <v>0</v>
      </c>
      <c r="AB120" s="207">
        <v>9428</v>
      </c>
      <c r="AC120" s="207">
        <v>178</v>
      </c>
      <c r="AD120" s="207">
        <v>2582</v>
      </c>
      <c r="AE120" s="480">
        <v>1.4791485054582758</v>
      </c>
      <c r="AF120" s="207">
        <v>16757016.046496857</v>
      </c>
      <c r="AG120" s="175">
        <v>451</v>
      </c>
      <c r="AH120" s="175">
        <v>4286</v>
      </c>
      <c r="AI120" s="175">
        <v>1.0785706895558396</v>
      </c>
      <c r="AJ120" s="175">
        <v>178</v>
      </c>
      <c r="AK120" s="175">
        <v>0.018508890506394926</v>
      </c>
      <c r="AL120" s="175">
        <v>0.01522781139593193</v>
      </c>
      <c r="AM120" s="175">
        <v>0</v>
      </c>
      <c r="AN120" s="175">
        <v>11</v>
      </c>
      <c r="AO120" s="175">
        <v>0</v>
      </c>
      <c r="AP120" s="175">
        <v>0</v>
      </c>
      <c r="AQ120" s="175">
        <v>0</v>
      </c>
      <c r="AR120" s="175">
        <v>1096.59</v>
      </c>
      <c r="AS120" s="175">
        <v>8.769914006146328</v>
      </c>
      <c r="AT120" s="175">
        <v>2.0696351330460616</v>
      </c>
      <c r="AU120" s="175">
        <v>377</v>
      </c>
      <c r="AV120" s="175">
        <v>2724</v>
      </c>
      <c r="AW120" s="175">
        <v>0.1383994126284875</v>
      </c>
      <c r="AX120" s="175">
        <v>0.08293817889900251</v>
      </c>
      <c r="AY120" s="175">
        <v>0</v>
      </c>
      <c r="AZ120" s="207">
        <v>3014</v>
      </c>
      <c r="BA120" s="175">
        <v>3653</v>
      </c>
      <c r="BB120" s="175">
        <v>0.8250752805912949</v>
      </c>
      <c r="BC120" s="175">
        <v>0.435380433167583</v>
      </c>
      <c r="BD120" s="175">
        <v>0</v>
      </c>
      <c r="BE120" s="175">
        <v>0</v>
      </c>
      <c r="BF120" s="207">
        <v>-61156.52</v>
      </c>
      <c r="BG120" s="207">
        <v>-74822.23999999999</v>
      </c>
      <c r="BH120" s="207">
        <v>-39429.7</v>
      </c>
      <c r="BI120" s="207">
        <v>-161856.4</v>
      </c>
      <c r="BJ120" s="207">
        <v>0</v>
      </c>
      <c r="BK120" s="207">
        <v>0</v>
      </c>
      <c r="BL120" s="207">
        <v>244217</v>
      </c>
      <c r="BM120" s="207">
        <v>-281166.0402826824</v>
      </c>
      <c r="BN120" s="207">
        <v>-409299.52</v>
      </c>
      <c r="BO120" s="207">
        <v>-103708.25441498868</v>
      </c>
      <c r="BP120" s="207">
        <v>958412</v>
      </c>
      <c r="BQ120" s="207">
        <v>288726</v>
      </c>
      <c r="BR120" s="207">
        <v>687361.0736377841</v>
      </c>
      <c r="BS120" s="207">
        <v>29107.534124884838</v>
      </c>
      <c r="BT120" s="207">
        <v>88418.25418264151</v>
      </c>
      <c r="BU120" s="207">
        <v>332831.1518768048</v>
      </c>
      <c r="BV120" s="207">
        <v>530175.9507121128</v>
      </c>
      <c r="BW120" s="207">
        <v>829064.5310967282</v>
      </c>
      <c r="BX120" s="207">
        <v>247037.21744427693</v>
      </c>
      <c r="BY120" s="207">
        <v>448973.02594657306</v>
      </c>
      <c r="BZ120" s="207">
        <v>865.53</v>
      </c>
      <c r="CA120" s="207">
        <v>102864.12525654309</v>
      </c>
      <c r="CB120" s="207">
        <v>244238.4008415544</v>
      </c>
      <c r="CC120" s="207">
        <v>-1078349.239441128</v>
      </c>
      <c r="CD120" s="207">
        <v>0</v>
      </c>
      <c r="CE120" s="207">
        <v>636059.3935361317</v>
      </c>
      <c r="CF120" s="207">
        <v>0</v>
      </c>
      <c r="CG120" s="207">
        <v>8568031.563913131</v>
      </c>
      <c r="CH120" s="207">
        <v>-380912</v>
      </c>
      <c r="CI120" s="207">
        <v>331820.2642000001</v>
      </c>
      <c r="CJ120" s="207">
        <v>210837.0462</v>
      </c>
      <c r="CK120" s="207">
        <v>120983.21800000008</v>
      </c>
      <c r="CL120" s="207">
        <v>26141464.413426593</v>
      </c>
      <c r="CM120" s="207">
        <v>29363219.365062118</v>
      </c>
      <c r="CN120" s="207">
        <v>9692</v>
      </c>
    </row>
    <row r="121" spans="1:92" ht="9.75">
      <c r="A121" s="207">
        <v>403</v>
      </c>
      <c r="B121" s="207" t="s">
        <v>178</v>
      </c>
      <c r="C121" s="207">
        <v>3078</v>
      </c>
      <c r="D121" s="207">
        <v>11945561.25</v>
      </c>
      <c r="E121" s="207">
        <v>5547090.054668307</v>
      </c>
      <c r="F121" s="207">
        <v>818150.6686519799</v>
      </c>
      <c r="G121" s="207">
        <v>18310801.973320287</v>
      </c>
      <c r="H121" s="207">
        <v>3654.72</v>
      </c>
      <c r="I121" s="207">
        <v>11249228.16</v>
      </c>
      <c r="J121" s="207">
        <v>7061573.813320287</v>
      </c>
      <c r="K121" s="207">
        <v>109142.21565760006</v>
      </c>
      <c r="L121" s="207">
        <v>-383789.0214485016</v>
      </c>
      <c r="M121" s="207">
        <v>0</v>
      </c>
      <c r="N121" s="207">
        <v>6786927.007529385</v>
      </c>
      <c r="O121" s="207">
        <v>2947153.3065478154</v>
      </c>
      <c r="P121" s="207">
        <v>9734080.3140772</v>
      </c>
      <c r="Q121" s="207">
        <v>161</v>
      </c>
      <c r="R121" s="207">
        <v>37</v>
      </c>
      <c r="S121" s="207">
        <v>181</v>
      </c>
      <c r="T121" s="207">
        <v>80</v>
      </c>
      <c r="U121" s="207">
        <v>107</v>
      </c>
      <c r="V121" s="207">
        <v>1488</v>
      </c>
      <c r="W121" s="207">
        <v>549</v>
      </c>
      <c r="X121" s="207">
        <v>324</v>
      </c>
      <c r="Y121" s="207">
        <v>151</v>
      </c>
      <c r="Z121" s="207">
        <v>13</v>
      </c>
      <c r="AA121" s="207">
        <v>0</v>
      </c>
      <c r="AB121" s="207">
        <v>2918</v>
      </c>
      <c r="AC121" s="207">
        <v>147</v>
      </c>
      <c r="AD121" s="207">
        <v>1024</v>
      </c>
      <c r="AE121" s="480">
        <v>1.5298586647196402</v>
      </c>
      <c r="AF121" s="207">
        <v>5547090.054668307</v>
      </c>
      <c r="AG121" s="175">
        <v>73</v>
      </c>
      <c r="AH121" s="175">
        <v>1259</v>
      </c>
      <c r="AI121" s="175">
        <v>0.5943214006943391</v>
      </c>
      <c r="AJ121" s="175">
        <v>147</v>
      </c>
      <c r="AK121" s="175">
        <v>0.04775828460038986</v>
      </c>
      <c r="AL121" s="175">
        <v>0.04447720548992686</v>
      </c>
      <c r="AM121" s="175">
        <v>0</v>
      </c>
      <c r="AN121" s="175">
        <v>13</v>
      </c>
      <c r="AO121" s="175">
        <v>0</v>
      </c>
      <c r="AP121" s="175">
        <v>0</v>
      </c>
      <c r="AQ121" s="175">
        <v>0</v>
      </c>
      <c r="AR121" s="175">
        <v>420.81</v>
      </c>
      <c r="AS121" s="175">
        <v>7.314464960433449</v>
      </c>
      <c r="AT121" s="175">
        <v>2.481455887627574</v>
      </c>
      <c r="AU121" s="175">
        <v>81</v>
      </c>
      <c r="AV121" s="175">
        <v>702</v>
      </c>
      <c r="AW121" s="175">
        <v>0.11538461538461539</v>
      </c>
      <c r="AX121" s="175">
        <v>0.059923381655130385</v>
      </c>
      <c r="AY121" s="175">
        <v>0</v>
      </c>
      <c r="AZ121" s="207">
        <v>1018</v>
      </c>
      <c r="BA121" s="175">
        <v>1093</v>
      </c>
      <c r="BB121" s="175">
        <v>0.9313815187557182</v>
      </c>
      <c r="BC121" s="175">
        <v>0.5416866713320063</v>
      </c>
      <c r="BD121" s="175">
        <v>0</v>
      </c>
      <c r="BE121" s="175">
        <v>0</v>
      </c>
      <c r="BF121" s="207">
        <v>-19813.399999999998</v>
      </c>
      <c r="BG121" s="207">
        <v>-24240.8</v>
      </c>
      <c r="BH121" s="207">
        <v>-12619.8</v>
      </c>
      <c r="BI121" s="207">
        <v>-52438</v>
      </c>
      <c r="BJ121" s="207">
        <v>0</v>
      </c>
      <c r="BK121" s="207">
        <v>0</v>
      </c>
      <c r="BL121" s="207">
        <v>-43921</v>
      </c>
      <c r="BM121" s="207">
        <v>-18622.914037204544</v>
      </c>
      <c r="BN121" s="207">
        <v>-130999.68000000001</v>
      </c>
      <c r="BO121" s="207">
        <v>48930.923893926665</v>
      </c>
      <c r="BP121" s="207">
        <v>344633</v>
      </c>
      <c r="BQ121" s="207">
        <v>101443</v>
      </c>
      <c r="BR121" s="207">
        <v>292774.96621069574</v>
      </c>
      <c r="BS121" s="207">
        <v>17263.521425798896</v>
      </c>
      <c r="BT121" s="207">
        <v>43252.75609648673</v>
      </c>
      <c r="BU121" s="207">
        <v>132095.14889464315</v>
      </c>
      <c r="BV121" s="207">
        <v>189115.0652921132</v>
      </c>
      <c r="BW121" s="207">
        <v>300305.9793463635</v>
      </c>
      <c r="BX121" s="207">
        <v>92165.83359087528</v>
      </c>
      <c r="BY121" s="207">
        <v>155718.07021177432</v>
      </c>
      <c r="BZ121" s="207">
        <v>277.02</v>
      </c>
      <c r="CA121" s="207">
        <v>-35969.89130522375</v>
      </c>
      <c r="CB121" s="207">
        <v>-30682.947411297082</v>
      </c>
      <c r="CC121" s="207">
        <v>-383789.0214485016</v>
      </c>
      <c r="CD121" s="207">
        <v>0</v>
      </c>
      <c r="CE121" s="207">
        <v>210110.4295760663</v>
      </c>
      <c r="CF121" s="207">
        <v>0</v>
      </c>
      <c r="CG121" s="207">
        <v>2947153.3065478154</v>
      </c>
      <c r="CH121" s="207">
        <v>-98903</v>
      </c>
      <c r="CI121" s="207">
        <v>10874.896</v>
      </c>
      <c r="CJ121" s="207">
        <v>48937.032</v>
      </c>
      <c r="CK121" s="207">
        <v>-38062.136</v>
      </c>
      <c r="CL121" s="207">
        <v>9635177.3140772</v>
      </c>
      <c r="CM121" s="207">
        <v>10929195.798850203</v>
      </c>
      <c r="CN121" s="207">
        <v>3140</v>
      </c>
    </row>
    <row r="122" spans="1:92" ht="9.75">
      <c r="A122" s="207">
        <v>405</v>
      </c>
      <c r="B122" s="207" t="s">
        <v>179</v>
      </c>
      <c r="C122" s="207">
        <v>72699</v>
      </c>
      <c r="D122" s="207">
        <v>244026588.41000003</v>
      </c>
      <c r="E122" s="207">
        <v>87752052.77205609</v>
      </c>
      <c r="F122" s="207">
        <v>20879390.234400034</v>
      </c>
      <c r="G122" s="207">
        <v>352658031.41645616</v>
      </c>
      <c r="H122" s="207">
        <v>3654.72</v>
      </c>
      <c r="I122" s="207">
        <v>265694489.27999997</v>
      </c>
      <c r="J122" s="207">
        <v>86963542.13645619</v>
      </c>
      <c r="K122" s="207">
        <v>3294845.491239272</v>
      </c>
      <c r="L122" s="207">
        <v>-11459058.321523955</v>
      </c>
      <c r="M122" s="207">
        <v>0</v>
      </c>
      <c r="N122" s="207">
        <v>78799329.30617152</v>
      </c>
      <c r="O122" s="207">
        <v>16777787.80860919</v>
      </c>
      <c r="P122" s="207">
        <v>95577117.11478071</v>
      </c>
      <c r="Q122" s="207">
        <v>3777</v>
      </c>
      <c r="R122" s="207">
        <v>718</v>
      </c>
      <c r="S122" s="207">
        <v>4409</v>
      </c>
      <c r="T122" s="207">
        <v>2081</v>
      </c>
      <c r="U122" s="207">
        <v>2233</v>
      </c>
      <c r="V122" s="207">
        <v>42535</v>
      </c>
      <c r="W122" s="207">
        <v>9473</v>
      </c>
      <c r="X122" s="207">
        <v>5223</v>
      </c>
      <c r="Y122" s="207">
        <v>2250</v>
      </c>
      <c r="Z122" s="207">
        <v>128</v>
      </c>
      <c r="AA122" s="207">
        <v>1</v>
      </c>
      <c r="AB122" s="207">
        <v>67164</v>
      </c>
      <c r="AC122" s="207">
        <v>5406</v>
      </c>
      <c r="AD122" s="207">
        <v>16946</v>
      </c>
      <c r="AE122" s="480">
        <v>1.0246689050757032</v>
      </c>
      <c r="AF122" s="207">
        <v>87752052.77205609</v>
      </c>
      <c r="AG122" s="175">
        <v>3912</v>
      </c>
      <c r="AH122" s="175">
        <v>34327</v>
      </c>
      <c r="AI122" s="175">
        <v>1.1681193953204152</v>
      </c>
      <c r="AJ122" s="175">
        <v>5406</v>
      </c>
      <c r="AK122" s="175">
        <v>0.07436140799735898</v>
      </c>
      <c r="AL122" s="175">
        <v>0.07108032888689599</v>
      </c>
      <c r="AM122" s="175">
        <v>0</v>
      </c>
      <c r="AN122" s="175">
        <v>128</v>
      </c>
      <c r="AO122" s="175">
        <v>1</v>
      </c>
      <c r="AP122" s="175">
        <v>0</v>
      </c>
      <c r="AQ122" s="175">
        <v>0</v>
      </c>
      <c r="AR122" s="175">
        <v>1433.78</v>
      </c>
      <c r="AS122" s="175">
        <v>50.70443164223242</v>
      </c>
      <c r="AT122" s="175">
        <v>0.35796717472315287</v>
      </c>
      <c r="AU122" s="175">
        <v>2563</v>
      </c>
      <c r="AV122" s="175">
        <v>21844</v>
      </c>
      <c r="AW122" s="175">
        <v>0.11733199047793444</v>
      </c>
      <c r="AX122" s="175">
        <v>0.06187075674844943</v>
      </c>
      <c r="AY122" s="175">
        <v>0</v>
      </c>
      <c r="AZ122" s="207">
        <v>31544</v>
      </c>
      <c r="BA122" s="175">
        <v>29152</v>
      </c>
      <c r="BB122" s="175">
        <v>1.08205268935236</v>
      </c>
      <c r="BC122" s="175">
        <v>0.6923578419286482</v>
      </c>
      <c r="BD122" s="175">
        <v>0</v>
      </c>
      <c r="BE122" s="175">
        <v>1</v>
      </c>
      <c r="BF122" s="207">
        <v>-460055.79</v>
      </c>
      <c r="BG122" s="207">
        <v>-562857.48</v>
      </c>
      <c r="BH122" s="207">
        <v>-298065.89999999997</v>
      </c>
      <c r="BI122" s="207">
        <v>-1217580.3</v>
      </c>
      <c r="BJ122" s="207">
        <v>0</v>
      </c>
      <c r="BK122" s="207">
        <v>0</v>
      </c>
      <c r="BL122" s="207">
        <v>339710</v>
      </c>
      <c r="BM122" s="207">
        <v>-5093224.841903263</v>
      </c>
      <c r="BN122" s="207">
        <v>-3094069.44</v>
      </c>
      <c r="BO122" s="207">
        <v>997030.4585953057</v>
      </c>
      <c r="BP122" s="207">
        <v>5098431</v>
      </c>
      <c r="BQ122" s="207">
        <v>1727824</v>
      </c>
      <c r="BR122" s="207">
        <v>4014176.8117610975</v>
      </c>
      <c r="BS122" s="207">
        <v>165037.3374035371</v>
      </c>
      <c r="BT122" s="207">
        <v>403872.2532490542</v>
      </c>
      <c r="BU122" s="207">
        <v>1978357.3557773354</v>
      </c>
      <c r="BV122" s="207">
        <v>3604287.803340834</v>
      </c>
      <c r="BW122" s="207">
        <v>5400271.836280328</v>
      </c>
      <c r="BX122" s="207">
        <v>1799754.4576979543</v>
      </c>
      <c r="BY122" s="207">
        <v>3080522.5380868055</v>
      </c>
      <c r="BZ122" s="207">
        <v>6542.91</v>
      </c>
      <c r="CA122" s="207">
        <v>152463.40178400092</v>
      </c>
      <c r="CB122" s="207">
        <v>1495746.7703793065</v>
      </c>
      <c r="CC122" s="207">
        <v>-11459058.321523955</v>
      </c>
      <c r="CD122" s="207">
        <v>0</v>
      </c>
      <c r="CE122" s="207">
        <v>3906566.686291977</v>
      </c>
      <c r="CF122" s="207">
        <v>0</v>
      </c>
      <c r="CG122" s="207">
        <v>16777787.80860919</v>
      </c>
      <c r="CH122" s="207">
        <v>-5211217</v>
      </c>
      <c r="CI122" s="207">
        <v>848581.7285</v>
      </c>
      <c r="CJ122" s="207">
        <v>2824138.445014</v>
      </c>
      <c r="CK122" s="207">
        <v>-1975556.716514</v>
      </c>
      <c r="CL122" s="207">
        <v>90365900.11478071</v>
      </c>
      <c r="CM122" s="207">
        <v>106916671.84675081</v>
      </c>
      <c r="CN122" s="207">
        <v>72909</v>
      </c>
    </row>
    <row r="123" spans="1:92" ht="9.75">
      <c r="A123" s="207">
        <v>408</v>
      </c>
      <c r="B123" s="207" t="s">
        <v>180</v>
      </c>
      <c r="C123" s="207">
        <v>14427</v>
      </c>
      <c r="D123" s="207">
        <v>55192597.36</v>
      </c>
      <c r="E123" s="207">
        <v>19369701.611070268</v>
      </c>
      <c r="F123" s="207">
        <v>2468282.890792207</v>
      </c>
      <c r="G123" s="207">
        <v>77030581.86186247</v>
      </c>
      <c r="H123" s="207">
        <v>3654.72</v>
      </c>
      <c r="I123" s="207">
        <v>52726645.44</v>
      </c>
      <c r="J123" s="207">
        <v>24303936.421862468</v>
      </c>
      <c r="K123" s="207">
        <v>390657.3259218108</v>
      </c>
      <c r="L123" s="207">
        <v>-1957921.8621521308</v>
      </c>
      <c r="M123" s="207">
        <v>0</v>
      </c>
      <c r="N123" s="207">
        <v>22736671.88563215</v>
      </c>
      <c r="O123" s="207">
        <v>9509208.309821315</v>
      </c>
      <c r="P123" s="207">
        <v>32245880.195453465</v>
      </c>
      <c r="Q123" s="207">
        <v>980</v>
      </c>
      <c r="R123" s="207">
        <v>189</v>
      </c>
      <c r="S123" s="207">
        <v>1118</v>
      </c>
      <c r="T123" s="207">
        <v>593</v>
      </c>
      <c r="U123" s="207">
        <v>530</v>
      </c>
      <c r="V123" s="207">
        <v>7631</v>
      </c>
      <c r="W123" s="207">
        <v>1888</v>
      </c>
      <c r="X123" s="207">
        <v>1010</v>
      </c>
      <c r="Y123" s="207">
        <v>488</v>
      </c>
      <c r="Z123" s="207">
        <v>21</v>
      </c>
      <c r="AA123" s="207">
        <v>0</v>
      </c>
      <c r="AB123" s="207">
        <v>14015</v>
      </c>
      <c r="AC123" s="207">
        <v>391</v>
      </c>
      <c r="AD123" s="207">
        <v>3386</v>
      </c>
      <c r="AE123" s="480">
        <v>1.1397290245775886</v>
      </c>
      <c r="AF123" s="207">
        <v>19369701.611070268</v>
      </c>
      <c r="AG123" s="175">
        <v>456</v>
      </c>
      <c r="AH123" s="175">
        <v>6490</v>
      </c>
      <c r="AI123" s="175">
        <v>0.7201855191848848</v>
      </c>
      <c r="AJ123" s="175">
        <v>391</v>
      </c>
      <c r="AK123" s="175">
        <v>0.027101961599778193</v>
      </c>
      <c r="AL123" s="175">
        <v>0.023820882489315198</v>
      </c>
      <c r="AM123" s="175">
        <v>0</v>
      </c>
      <c r="AN123" s="175">
        <v>21</v>
      </c>
      <c r="AO123" s="175">
        <v>0</v>
      </c>
      <c r="AP123" s="175">
        <v>0</v>
      </c>
      <c r="AQ123" s="175">
        <v>0</v>
      </c>
      <c r="AR123" s="175">
        <v>737.15</v>
      </c>
      <c r="AS123" s="175">
        <v>19.571321983314117</v>
      </c>
      <c r="AT123" s="175">
        <v>0.9274039922488491</v>
      </c>
      <c r="AU123" s="175">
        <v>465</v>
      </c>
      <c r="AV123" s="175">
        <v>4339</v>
      </c>
      <c r="AW123" s="175">
        <v>0.10716755012675731</v>
      </c>
      <c r="AX123" s="175">
        <v>0.05170631639727231</v>
      </c>
      <c r="AY123" s="175">
        <v>0</v>
      </c>
      <c r="AZ123" s="207">
        <v>4645</v>
      </c>
      <c r="BA123" s="175">
        <v>5782</v>
      </c>
      <c r="BB123" s="175">
        <v>0.8033552404012453</v>
      </c>
      <c r="BC123" s="175">
        <v>0.41366039297753343</v>
      </c>
      <c r="BD123" s="175">
        <v>0</v>
      </c>
      <c r="BE123" s="175">
        <v>0</v>
      </c>
      <c r="BF123" s="207">
        <v>-91457.14</v>
      </c>
      <c r="BG123" s="207">
        <v>-111893.68</v>
      </c>
      <c r="BH123" s="207">
        <v>-59150.7</v>
      </c>
      <c r="BI123" s="207">
        <v>-242049.8</v>
      </c>
      <c r="BJ123" s="207">
        <v>0</v>
      </c>
      <c r="BK123" s="207">
        <v>0</v>
      </c>
      <c r="BL123" s="207">
        <v>-265852</v>
      </c>
      <c r="BM123" s="207">
        <v>-460378.72599609895</v>
      </c>
      <c r="BN123" s="207">
        <v>-614013.12</v>
      </c>
      <c r="BO123" s="207">
        <v>357807.1910356991</v>
      </c>
      <c r="BP123" s="207">
        <v>1158445</v>
      </c>
      <c r="BQ123" s="207">
        <v>386915</v>
      </c>
      <c r="BR123" s="207">
        <v>964292.5946574889</v>
      </c>
      <c r="BS123" s="207">
        <v>40385.642318928454</v>
      </c>
      <c r="BT123" s="207">
        <v>123093.3811491682</v>
      </c>
      <c r="BU123" s="207">
        <v>419128.21563631925</v>
      </c>
      <c r="BV123" s="207">
        <v>779181.7214906423</v>
      </c>
      <c r="BW123" s="207">
        <v>1226683.438706409</v>
      </c>
      <c r="BX123" s="207">
        <v>340504.40546555363</v>
      </c>
      <c r="BY123" s="207">
        <v>640987.2107160434</v>
      </c>
      <c r="BZ123" s="207">
        <v>1298.43</v>
      </c>
      <c r="CA123" s="207">
        <v>-29900.497191731003</v>
      </c>
      <c r="CB123" s="207">
        <v>63353.12384396809</v>
      </c>
      <c r="CC123" s="207">
        <v>-1957921.8621521308</v>
      </c>
      <c r="CD123" s="207">
        <v>0</v>
      </c>
      <c r="CE123" s="207">
        <v>858364.1379680133</v>
      </c>
      <c r="CF123" s="207">
        <v>0</v>
      </c>
      <c r="CG123" s="207">
        <v>9509208.309821315</v>
      </c>
      <c r="CH123" s="207">
        <v>-351005</v>
      </c>
      <c r="CI123" s="207">
        <v>142800.9781</v>
      </c>
      <c r="CJ123" s="207">
        <v>166752.93653999997</v>
      </c>
      <c r="CK123" s="207">
        <v>-23951.95843999996</v>
      </c>
      <c r="CL123" s="207">
        <v>31894875.195453465</v>
      </c>
      <c r="CM123" s="207">
        <v>36231860.02822189</v>
      </c>
      <c r="CN123" s="207">
        <v>14494</v>
      </c>
    </row>
    <row r="124" spans="1:92" ht="9.75">
      <c r="A124" s="207">
        <v>410</v>
      </c>
      <c r="B124" s="207" t="s">
        <v>181</v>
      </c>
      <c r="C124" s="207">
        <v>18927</v>
      </c>
      <c r="D124" s="207">
        <v>72839014.14000002</v>
      </c>
      <c r="E124" s="207">
        <v>20461438.05518809</v>
      </c>
      <c r="F124" s="207">
        <v>2836781.936199831</v>
      </c>
      <c r="G124" s="207">
        <v>96137234.13138793</v>
      </c>
      <c r="H124" s="207">
        <v>3654.72</v>
      </c>
      <c r="I124" s="207">
        <v>69172885.44</v>
      </c>
      <c r="J124" s="207">
        <v>26964348.691387936</v>
      </c>
      <c r="K124" s="207">
        <v>437792.348589145</v>
      </c>
      <c r="L124" s="207">
        <v>-2806955.9156228337</v>
      </c>
      <c r="M124" s="207">
        <v>0</v>
      </c>
      <c r="N124" s="207">
        <v>24595185.124354247</v>
      </c>
      <c r="O124" s="207">
        <v>11219213.871423509</v>
      </c>
      <c r="P124" s="207">
        <v>35814398.995777756</v>
      </c>
      <c r="Q124" s="207">
        <v>1586</v>
      </c>
      <c r="R124" s="207">
        <v>321</v>
      </c>
      <c r="S124" s="207">
        <v>1842</v>
      </c>
      <c r="T124" s="207">
        <v>837</v>
      </c>
      <c r="U124" s="207">
        <v>706</v>
      </c>
      <c r="V124" s="207">
        <v>9949</v>
      </c>
      <c r="W124" s="207">
        <v>2198</v>
      </c>
      <c r="X124" s="207">
        <v>1074</v>
      </c>
      <c r="Y124" s="207">
        <v>414</v>
      </c>
      <c r="Z124" s="207">
        <v>23</v>
      </c>
      <c r="AA124" s="207">
        <v>2</v>
      </c>
      <c r="AB124" s="207">
        <v>18644</v>
      </c>
      <c r="AC124" s="207">
        <v>258</v>
      </c>
      <c r="AD124" s="207">
        <v>3686</v>
      </c>
      <c r="AE124" s="480">
        <v>0.9177176421278362</v>
      </c>
      <c r="AF124" s="207">
        <v>20461438.05518809</v>
      </c>
      <c r="AG124" s="175">
        <v>822</v>
      </c>
      <c r="AH124" s="175">
        <v>8598</v>
      </c>
      <c r="AI124" s="175">
        <v>0.9799380374151524</v>
      </c>
      <c r="AJ124" s="175">
        <v>258</v>
      </c>
      <c r="AK124" s="175">
        <v>0.013631320336027897</v>
      </c>
      <c r="AL124" s="175">
        <v>0.0103502412255649</v>
      </c>
      <c r="AM124" s="175">
        <v>0</v>
      </c>
      <c r="AN124" s="175">
        <v>23</v>
      </c>
      <c r="AO124" s="175">
        <v>2</v>
      </c>
      <c r="AP124" s="175">
        <v>0</v>
      </c>
      <c r="AQ124" s="175">
        <v>0</v>
      </c>
      <c r="AR124" s="175">
        <v>648.49</v>
      </c>
      <c r="AS124" s="175">
        <v>29.18626347360792</v>
      </c>
      <c r="AT124" s="175">
        <v>0.6218857770994233</v>
      </c>
      <c r="AU124" s="175">
        <v>557</v>
      </c>
      <c r="AV124" s="175">
        <v>6047</v>
      </c>
      <c r="AW124" s="175">
        <v>0.09211179097072929</v>
      </c>
      <c r="AX124" s="175">
        <v>0.03665055724124428</v>
      </c>
      <c r="AY124" s="175">
        <v>0</v>
      </c>
      <c r="AZ124" s="207">
        <v>5639</v>
      </c>
      <c r="BA124" s="175">
        <v>7589</v>
      </c>
      <c r="BB124" s="175">
        <v>0.7430491500856503</v>
      </c>
      <c r="BC124" s="175">
        <v>0.35335430266193846</v>
      </c>
      <c r="BD124" s="175">
        <v>0</v>
      </c>
      <c r="BE124" s="175">
        <v>2</v>
      </c>
      <c r="BF124" s="207">
        <v>-119751.18</v>
      </c>
      <c r="BG124" s="207">
        <v>-146510.16</v>
      </c>
      <c r="BH124" s="207">
        <v>-77600.7</v>
      </c>
      <c r="BI124" s="207">
        <v>-316932.6</v>
      </c>
      <c r="BJ124" s="207">
        <v>0</v>
      </c>
      <c r="BK124" s="207">
        <v>0</v>
      </c>
      <c r="BL124" s="207">
        <v>194838</v>
      </c>
      <c r="BM124" s="207">
        <v>-969899.1286962064</v>
      </c>
      <c r="BN124" s="207">
        <v>-805533.12</v>
      </c>
      <c r="BO124" s="207">
        <v>-78414.6230551675</v>
      </c>
      <c r="BP124" s="207">
        <v>1303995</v>
      </c>
      <c r="BQ124" s="207">
        <v>416357</v>
      </c>
      <c r="BR124" s="207">
        <v>855099.5997353231</v>
      </c>
      <c r="BS124" s="207">
        <v>20238.89504379743</v>
      </c>
      <c r="BT124" s="207">
        <v>20659.495845095145</v>
      </c>
      <c r="BU124" s="207">
        <v>443704.675469128</v>
      </c>
      <c r="BV124" s="207">
        <v>862823.3342152307</v>
      </c>
      <c r="BW124" s="207">
        <v>1423658.3558661467</v>
      </c>
      <c r="BX124" s="207">
        <v>329080.5211485977</v>
      </c>
      <c r="BY124" s="207">
        <v>707053.806914659</v>
      </c>
      <c r="BZ124" s="207">
        <v>1703.4299999999998</v>
      </c>
      <c r="CA124" s="207">
        <v>91445.98612854056</v>
      </c>
      <c r="CB124" s="207">
        <v>209572.79307337306</v>
      </c>
      <c r="CC124" s="207">
        <v>-2806955.9156228337</v>
      </c>
      <c r="CD124" s="207">
        <v>0</v>
      </c>
      <c r="CE124" s="207">
        <v>878122.6191199832</v>
      </c>
      <c r="CF124" s="207">
        <v>0</v>
      </c>
      <c r="CG124" s="207">
        <v>11219213.871423509</v>
      </c>
      <c r="CH124" s="207">
        <v>-2047258</v>
      </c>
      <c r="CI124" s="207">
        <v>384971.3184</v>
      </c>
      <c r="CJ124" s="207">
        <v>363806.05206</v>
      </c>
      <c r="CK124" s="207">
        <v>21165.266339999973</v>
      </c>
      <c r="CL124" s="207">
        <v>33767140.995777756</v>
      </c>
      <c r="CM124" s="207">
        <v>37147911.281712346</v>
      </c>
      <c r="CN124" s="207">
        <v>18978</v>
      </c>
    </row>
    <row r="125" spans="1:92" ht="9.75">
      <c r="A125" s="207">
        <v>416</v>
      </c>
      <c r="B125" s="207" t="s">
        <v>182</v>
      </c>
      <c r="C125" s="207">
        <v>3043</v>
      </c>
      <c r="D125" s="207">
        <v>11441959.629999999</v>
      </c>
      <c r="E125" s="207">
        <v>3389984.599659045</v>
      </c>
      <c r="F125" s="207">
        <v>586041.2719802525</v>
      </c>
      <c r="G125" s="207">
        <v>15417985.501639295</v>
      </c>
      <c r="H125" s="207">
        <v>3654.72</v>
      </c>
      <c r="I125" s="207">
        <v>11121312.959999999</v>
      </c>
      <c r="J125" s="207">
        <v>4296672.541639296</v>
      </c>
      <c r="K125" s="207">
        <v>13067.808183081605</v>
      </c>
      <c r="L125" s="207">
        <v>-433116.916006257</v>
      </c>
      <c r="M125" s="207">
        <v>0</v>
      </c>
      <c r="N125" s="207">
        <v>3876623.433816121</v>
      </c>
      <c r="O125" s="207">
        <v>2054073.2820662356</v>
      </c>
      <c r="P125" s="207">
        <v>5930696.715882356</v>
      </c>
      <c r="Q125" s="207">
        <v>190</v>
      </c>
      <c r="R125" s="207">
        <v>45</v>
      </c>
      <c r="S125" s="207">
        <v>240</v>
      </c>
      <c r="T125" s="207">
        <v>103</v>
      </c>
      <c r="U125" s="207">
        <v>101</v>
      </c>
      <c r="V125" s="207">
        <v>1597</v>
      </c>
      <c r="W125" s="207">
        <v>423</v>
      </c>
      <c r="X125" s="207">
        <v>241</v>
      </c>
      <c r="Y125" s="207">
        <v>103</v>
      </c>
      <c r="Z125" s="207">
        <v>4</v>
      </c>
      <c r="AA125" s="207">
        <v>0</v>
      </c>
      <c r="AB125" s="207">
        <v>2974</v>
      </c>
      <c r="AC125" s="207">
        <v>65</v>
      </c>
      <c r="AD125" s="207">
        <v>767</v>
      </c>
      <c r="AE125" s="480">
        <v>0.9456936707584735</v>
      </c>
      <c r="AF125" s="207">
        <v>3389984.599659045</v>
      </c>
      <c r="AG125" s="175">
        <v>126</v>
      </c>
      <c r="AH125" s="175">
        <v>1384</v>
      </c>
      <c r="AI125" s="175">
        <v>0.9331655423800952</v>
      </c>
      <c r="AJ125" s="175">
        <v>65</v>
      </c>
      <c r="AK125" s="175">
        <v>0.021360499507065395</v>
      </c>
      <c r="AL125" s="175">
        <v>0.0180794203966024</v>
      </c>
      <c r="AM125" s="175">
        <v>0</v>
      </c>
      <c r="AN125" s="175">
        <v>4</v>
      </c>
      <c r="AO125" s="175">
        <v>0</v>
      </c>
      <c r="AP125" s="175">
        <v>0</v>
      </c>
      <c r="AQ125" s="175">
        <v>0</v>
      </c>
      <c r="AR125" s="175">
        <v>217.9</v>
      </c>
      <c r="AS125" s="175">
        <v>13.965121615419918</v>
      </c>
      <c r="AT125" s="175">
        <v>1.2997038365116598</v>
      </c>
      <c r="AU125" s="175">
        <v>93</v>
      </c>
      <c r="AV125" s="175">
        <v>898</v>
      </c>
      <c r="AW125" s="175">
        <v>0.10356347438752785</v>
      </c>
      <c r="AX125" s="175">
        <v>0.04810224065804284</v>
      </c>
      <c r="AY125" s="175">
        <v>0</v>
      </c>
      <c r="AZ125" s="207">
        <v>550</v>
      </c>
      <c r="BA125" s="175">
        <v>1208</v>
      </c>
      <c r="BB125" s="175">
        <v>0.4552980132450331</v>
      </c>
      <c r="BC125" s="175">
        <v>0.06560316582132125</v>
      </c>
      <c r="BD125" s="175">
        <v>0</v>
      </c>
      <c r="BE125" s="175">
        <v>0</v>
      </c>
      <c r="BF125" s="207">
        <v>-19327.53</v>
      </c>
      <c r="BG125" s="207">
        <v>-23646.36</v>
      </c>
      <c r="BH125" s="207">
        <v>-12476.3</v>
      </c>
      <c r="BI125" s="207">
        <v>-51152.1</v>
      </c>
      <c r="BJ125" s="207">
        <v>0</v>
      </c>
      <c r="BK125" s="207">
        <v>0</v>
      </c>
      <c r="BL125" s="207">
        <v>34956</v>
      </c>
      <c r="BM125" s="207">
        <v>-134271.1642026333</v>
      </c>
      <c r="BN125" s="207">
        <v>-129510.08</v>
      </c>
      <c r="BO125" s="207">
        <v>-11455.423512226902</v>
      </c>
      <c r="BP125" s="207">
        <v>279320</v>
      </c>
      <c r="BQ125" s="207">
        <v>82236</v>
      </c>
      <c r="BR125" s="207">
        <v>190087.50948810115</v>
      </c>
      <c r="BS125" s="207">
        <v>5433.9903436895065</v>
      </c>
      <c r="BT125" s="207">
        <v>12855.739432420762</v>
      </c>
      <c r="BU125" s="207">
        <v>85809.04218262987</v>
      </c>
      <c r="BV125" s="207">
        <v>150215.59532392293</v>
      </c>
      <c r="BW125" s="207">
        <v>236626.36320856414</v>
      </c>
      <c r="BX125" s="207">
        <v>65877.87675757242</v>
      </c>
      <c r="BY125" s="207">
        <v>122636.70339636307</v>
      </c>
      <c r="BZ125" s="207">
        <v>273.87</v>
      </c>
      <c r="CA125" s="207">
        <v>6790.5517086032305</v>
      </c>
      <c r="CB125" s="207">
        <v>30564.998196376328</v>
      </c>
      <c r="CC125" s="207">
        <v>-433116.916006257</v>
      </c>
      <c r="CD125" s="207">
        <v>0</v>
      </c>
      <c r="CE125" s="207">
        <v>171760.77178995038</v>
      </c>
      <c r="CF125" s="207">
        <v>0</v>
      </c>
      <c r="CG125" s="207">
        <v>2054073.2820662356</v>
      </c>
      <c r="CH125" s="207">
        <v>-630348</v>
      </c>
      <c r="CI125" s="207">
        <v>63957.9821</v>
      </c>
      <c r="CJ125" s="207">
        <v>116374.98082000001</v>
      </c>
      <c r="CK125" s="207">
        <v>-52416.99872000001</v>
      </c>
      <c r="CL125" s="207">
        <v>5300348.715882356</v>
      </c>
      <c r="CM125" s="207">
        <v>6176134.4226077795</v>
      </c>
      <c r="CN125" s="207">
        <v>3063</v>
      </c>
    </row>
    <row r="126" spans="1:92" ht="9.75">
      <c r="A126" s="207">
        <v>418</v>
      </c>
      <c r="B126" s="207" t="s">
        <v>183</v>
      </c>
      <c r="C126" s="207">
        <v>23206</v>
      </c>
      <c r="D126" s="207">
        <v>86282113.4</v>
      </c>
      <c r="E126" s="207">
        <v>19284775.499872196</v>
      </c>
      <c r="F126" s="207">
        <v>2641338.964868257</v>
      </c>
      <c r="G126" s="207">
        <v>108208227.86474046</v>
      </c>
      <c r="H126" s="207">
        <v>3654.72</v>
      </c>
      <c r="I126" s="207">
        <v>84811432.32</v>
      </c>
      <c r="J126" s="207">
        <v>23396795.54474047</v>
      </c>
      <c r="K126" s="207">
        <v>511055.1270036404</v>
      </c>
      <c r="L126" s="207">
        <v>-3287649.497062856</v>
      </c>
      <c r="M126" s="207">
        <v>0</v>
      </c>
      <c r="N126" s="207">
        <v>20620201.174681254</v>
      </c>
      <c r="O126" s="207">
        <v>409519.0139287758</v>
      </c>
      <c r="P126" s="207">
        <v>21029720.18861003</v>
      </c>
      <c r="Q126" s="207">
        <v>1896</v>
      </c>
      <c r="R126" s="207">
        <v>392</v>
      </c>
      <c r="S126" s="207">
        <v>2387</v>
      </c>
      <c r="T126" s="207">
        <v>1014</v>
      </c>
      <c r="U126" s="207">
        <v>897</v>
      </c>
      <c r="V126" s="207">
        <v>12821</v>
      </c>
      <c r="W126" s="207">
        <v>2329</v>
      </c>
      <c r="X126" s="207">
        <v>1067</v>
      </c>
      <c r="Y126" s="207">
        <v>403</v>
      </c>
      <c r="Z126" s="207">
        <v>64</v>
      </c>
      <c r="AA126" s="207">
        <v>0</v>
      </c>
      <c r="AB126" s="207">
        <v>22602</v>
      </c>
      <c r="AC126" s="207">
        <v>540</v>
      </c>
      <c r="AD126" s="207">
        <v>3799</v>
      </c>
      <c r="AE126" s="480">
        <v>0.7054545016192975</v>
      </c>
      <c r="AF126" s="207">
        <v>19284775.499872196</v>
      </c>
      <c r="AG126" s="175">
        <v>684</v>
      </c>
      <c r="AH126" s="175">
        <v>11014</v>
      </c>
      <c r="AI126" s="175">
        <v>0.6365540248106821</v>
      </c>
      <c r="AJ126" s="175">
        <v>540</v>
      </c>
      <c r="AK126" s="175">
        <v>0.023269844005860553</v>
      </c>
      <c r="AL126" s="175">
        <v>0.019988764895397557</v>
      </c>
      <c r="AM126" s="175">
        <v>0</v>
      </c>
      <c r="AN126" s="175">
        <v>64</v>
      </c>
      <c r="AO126" s="175">
        <v>0</v>
      </c>
      <c r="AP126" s="175">
        <v>0</v>
      </c>
      <c r="AQ126" s="175">
        <v>0</v>
      </c>
      <c r="AR126" s="175">
        <v>269.55</v>
      </c>
      <c r="AS126" s="175">
        <v>86.09163420515674</v>
      </c>
      <c r="AT126" s="175">
        <v>0.21082794290628057</v>
      </c>
      <c r="AU126" s="175">
        <v>601</v>
      </c>
      <c r="AV126" s="175">
        <v>8122</v>
      </c>
      <c r="AW126" s="175">
        <v>0.07399655257325782</v>
      </c>
      <c r="AX126" s="175">
        <v>0.018535318843772818</v>
      </c>
      <c r="AY126" s="175">
        <v>0</v>
      </c>
      <c r="AZ126" s="207">
        <v>7230</v>
      </c>
      <c r="BA126" s="175">
        <v>9957</v>
      </c>
      <c r="BB126" s="175">
        <v>0.7261223260018078</v>
      </c>
      <c r="BC126" s="175">
        <v>0.33642747857809596</v>
      </c>
      <c r="BD126" s="175">
        <v>0</v>
      </c>
      <c r="BE126" s="175">
        <v>0</v>
      </c>
      <c r="BF126" s="207">
        <v>-144050.99</v>
      </c>
      <c r="BG126" s="207">
        <v>-176239.88</v>
      </c>
      <c r="BH126" s="207">
        <v>-95144.59999999999</v>
      </c>
      <c r="BI126" s="207">
        <v>-381244.3</v>
      </c>
      <c r="BJ126" s="207">
        <v>0</v>
      </c>
      <c r="BK126" s="207">
        <v>0</v>
      </c>
      <c r="BL126" s="207">
        <v>343408</v>
      </c>
      <c r="BM126" s="207">
        <v>-1142948.245709211</v>
      </c>
      <c r="BN126" s="207">
        <v>-987647.3600000001</v>
      </c>
      <c r="BO126" s="207">
        <v>-22639.194855719805</v>
      </c>
      <c r="BP126" s="207">
        <v>1342222</v>
      </c>
      <c r="BQ126" s="207">
        <v>425216</v>
      </c>
      <c r="BR126" s="207">
        <v>845415.0618822824</v>
      </c>
      <c r="BS126" s="207">
        <v>8296.370292491418</v>
      </c>
      <c r="BT126" s="207">
        <v>-22793.950664415817</v>
      </c>
      <c r="BU126" s="207">
        <v>436658.97893666575</v>
      </c>
      <c r="BV126" s="207">
        <v>906480.7620530743</v>
      </c>
      <c r="BW126" s="207">
        <v>1500871.9621401401</v>
      </c>
      <c r="BX126" s="207">
        <v>378895.34219319944</v>
      </c>
      <c r="BY126" s="207">
        <v>753953.5517261815</v>
      </c>
      <c r="BZ126" s="207">
        <v>2088.54</v>
      </c>
      <c r="CA126" s="207">
        <v>28264.493502075667</v>
      </c>
      <c r="CB126" s="207">
        <v>351121.83864635584</v>
      </c>
      <c r="CC126" s="207">
        <v>-3287649.497062856</v>
      </c>
      <c r="CD126" s="207">
        <v>0</v>
      </c>
      <c r="CE126" s="207">
        <v>931237.0161211846</v>
      </c>
      <c r="CF126" s="207">
        <v>0</v>
      </c>
      <c r="CG126" s="207">
        <v>409519.0139287758</v>
      </c>
      <c r="CH126" s="207">
        <v>-2293759</v>
      </c>
      <c r="CI126" s="207">
        <v>458444.83450000006</v>
      </c>
      <c r="CJ126" s="207">
        <v>661003.36612</v>
      </c>
      <c r="CK126" s="207">
        <v>-202558.53161999997</v>
      </c>
      <c r="CL126" s="207">
        <v>18735961.18861003</v>
      </c>
      <c r="CM126" s="207">
        <v>22488009.104777243</v>
      </c>
      <c r="CN126" s="207">
        <v>22829</v>
      </c>
    </row>
    <row r="127" spans="1:92" ht="9.75">
      <c r="A127" s="207">
        <v>420</v>
      </c>
      <c r="B127" s="207" t="s">
        <v>184</v>
      </c>
      <c r="C127" s="207">
        <v>9650</v>
      </c>
      <c r="D127" s="207">
        <v>34929306.980000004</v>
      </c>
      <c r="E127" s="207">
        <v>16472864.715183234</v>
      </c>
      <c r="F127" s="207">
        <v>2180477.438489333</v>
      </c>
      <c r="G127" s="207">
        <v>53582649.13367257</v>
      </c>
      <c r="H127" s="207">
        <v>3654.72</v>
      </c>
      <c r="I127" s="207">
        <v>35268048</v>
      </c>
      <c r="J127" s="207">
        <v>18314601.133672573</v>
      </c>
      <c r="K127" s="207">
        <v>241965.11954195722</v>
      </c>
      <c r="L127" s="207">
        <v>-1497465.8654904945</v>
      </c>
      <c r="M127" s="207">
        <v>0</v>
      </c>
      <c r="N127" s="207">
        <v>17059100.387724034</v>
      </c>
      <c r="O127" s="207">
        <v>5104577.595739284</v>
      </c>
      <c r="P127" s="207">
        <v>22163677.983463317</v>
      </c>
      <c r="Q127" s="207">
        <v>428</v>
      </c>
      <c r="R127" s="207">
        <v>93</v>
      </c>
      <c r="S127" s="207">
        <v>596</v>
      </c>
      <c r="T127" s="207">
        <v>290</v>
      </c>
      <c r="U127" s="207">
        <v>308</v>
      </c>
      <c r="V127" s="207">
        <v>5066</v>
      </c>
      <c r="W127" s="207">
        <v>1555</v>
      </c>
      <c r="X127" s="207">
        <v>939</v>
      </c>
      <c r="Y127" s="207">
        <v>375</v>
      </c>
      <c r="Z127" s="207">
        <v>11</v>
      </c>
      <c r="AA127" s="207">
        <v>0</v>
      </c>
      <c r="AB127" s="207">
        <v>9464</v>
      </c>
      <c r="AC127" s="207">
        <v>175</v>
      </c>
      <c r="AD127" s="207">
        <v>2869</v>
      </c>
      <c r="AE127" s="480">
        <v>1.4490938989578572</v>
      </c>
      <c r="AF127" s="207">
        <v>16472864.715183234</v>
      </c>
      <c r="AG127" s="175">
        <v>398</v>
      </c>
      <c r="AH127" s="175">
        <v>4221</v>
      </c>
      <c r="AI127" s="175">
        <v>0.9664779692623666</v>
      </c>
      <c r="AJ127" s="175">
        <v>175</v>
      </c>
      <c r="AK127" s="175">
        <v>0.018134715025906734</v>
      </c>
      <c r="AL127" s="175">
        <v>0.014853635915443739</v>
      </c>
      <c r="AM127" s="175">
        <v>0</v>
      </c>
      <c r="AN127" s="175">
        <v>11</v>
      </c>
      <c r="AO127" s="175">
        <v>0</v>
      </c>
      <c r="AP127" s="175">
        <v>0</v>
      </c>
      <c r="AQ127" s="175">
        <v>0</v>
      </c>
      <c r="AR127" s="175">
        <v>1135.98</v>
      </c>
      <c r="AS127" s="175">
        <v>8.494867867392031</v>
      </c>
      <c r="AT127" s="175">
        <v>2.1366456105320775</v>
      </c>
      <c r="AU127" s="175">
        <v>298</v>
      </c>
      <c r="AV127" s="175">
        <v>2665</v>
      </c>
      <c r="AW127" s="175">
        <v>0.11181988742964352</v>
      </c>
      <c r="AX127" s="175">
        <v>0.056358653700158516</v>
      </c>
      <c r="AY127" s="175">
        <v>0</v>
      </c>
      <c r="AZ127" s="207">
        <v>2863</v>
      </c>
      <c r="BA127" s="175">
        <v>3705</v>
      </c>
      <c r="BB127" s="175">
        <v>0.7727395411605938</v>
      </c>
      <c r="BC127" s="175">
        <v>0.383044693736882</v>
      </c>
      <c r="BD127" s="175">
        <v>0</v>
      </c>
      <c r="BE127" s="175">
        <v>0</v>
      </c>
      <c r="BF127" s="207">
        <v>-61724.42</v>
      </c>
      <c r="BG127" s="207">
        <v>-75517.04</v>
      </c>
      <c r="BH127" s="207">
        <v>-39565</v>
      </c>
      <c r="BI127" s="207">
        <v>-163359.4</v>
      </c>
      <c r="BJ127" s="207">
        <v>0</v>
      </c>
      <c r="BK127" s="207">
        <v>0</v>
      </c>
      <c r="BL127" s="207">
        <v>13462</v>
      </c>
      <c r="BM127" s="207">
        <v>-333810.5107172375</v>
      </c>
      <c r="BN127" s="207">
        <v>-410704</v>
      </c>
      <c r="BO127" s="207">
        <v>-162756.96273579448</v>
      </c>
      <c r="BP127" s="207">
        <v>916807</v>
      </c>
      <c r="BQ127" s="207">
        <v>274888</v>
      </c>
      <c r="BR127" s="207">
        <v>642507.6030536001</v>
      </c>
      <c r="BS127" s="207">
        <v>26076.26417859702</v>
      </c>
      <c r="BT127" s="207">
        <v>100966.89511105619</v>
      </c>
      <c r="BU127" s="207">
        <v>316588.37062268355</v>
      </c>
      <c r="BV127" s="207">
        <v>483606.50641529675</v>
      </c>
      <c r="BW127" s="207">
        <v>771459.6196428823</v>
      </c>
      <c r="BX127" s="207">
        <v>225046.2031277343</v>
      </c>
      <c r="BY127" s="207">
        <v>416066.2286854894</v>
      </c>
      <c r="BZ127" s="207">
        <v>868.5</v>
      </c>
      <c r="CA127" s="207">
        <v>31509.96796253744</v>
      </c>
      <c r="CB127" s="207">
        <v>-116916.49477325704</v>
      </c>
      <c r="CC127" s="207">
        <v>-1497465.8654904945</v>
      </c>
      <c r="CD127" s="207">
        <v>0</v>
      </c>
      <c r="CE127" s="207">
        <v>545904.3005056434</v>
      </c>
      <c r="CF127" s="207">
        <v>0</v>
      </c>
      <c r="CG127" s="207">
        <v>5104577.595739284</v>
      </c>
      <c r="CH127" s="207">
        <v>-1062967</v>
      </c>
      <c r="CI127" s="207">
        <v>112895.01410000001</v>
      </c>
      <c r="CJ127" s="207">
        <v>216981.36244000003</v>
      </c>
      <c r="CK127" s="207">
        <v>-104086.34834000001</v>
      </c>
      <c r="CL127" s="207">
        <v>21100710.983463317</v>
      </c>
      <c r="CM127" s="207">
        <v>23434847.326605026</v>
      </c>
      <c r="CN127" s="207">
        <v>9782</v>
      </c>
    </row>
    <row r="128" spans="1:92" ht="9.75">
      <c r="A128" s="207">
        <v>421</v>
      </c>
      <c r="B128" s="207" t="s">
        <v>185</v>
      </c>
      <c r="C128" s="207">
        <v>737</v>
      </c>
      <c r="D128" s="207">
        <v>2843747.11</v>
      </c>
      <c r="E128" s="207">
        <v>1263172.2612324643</v>
      </c>
      <c r="F128" s="207">
        <v>441724.6649907807</v>
      </c>
      <c r="G128" s="207">
        <v>4548644.036223245</v>
      </c>
      <c r="H128" s="207">
        <v>3654.72</v>
      </c>
      <c r="I128" s="207">
        <v>2693528.6399999997</v>
      </c>
      <c r="J128" s="207">
        <v>1855115.3962232452</v>
      </c>
      <c r="K128" s="207">
        <v>168516.86930140527</v>
      </c>
      <c r="L128" s="207">
        <v>-30508.031480607562</v>
      </c>
      <c r="M128" s="207">
        <v>0</v>
      </c>
      <c r="N128" s="207">
        <v>1993124.2340440429</v>
      </c>
      <c r="O128" s="207">
        <v>710015.9770286222</v>
      </c>
      <c r="P128" s="207">
        <v>2703140.211072665</v>
      </c>
      <c r="Q128" s="207">
        <v>45</v>
      </c>
      <c r="R128" s="207">
        <v>3</v>
      </c>
      <c r="S128" s="207">
        <v>39</v>
      </c>
      <c r="T128" s="207">
        <v>23</v>
      </c>
      <c r="U128" s="207">
        <v>30</v>
      </c>
      <c r="V128" s="207">
        <v>363</v>
      </c>
      <c r="W128" s="207">
        <v>134</v>
      </c>
      <c r="X128" s="207">
        <v>63</v>
      </c>
      <c r="Y128" s="207">
        <v>37</v>
      </c>
      <c r="Z128" s="207">
        <v>1</v>
      </c>
      <c r="AA128" s="207">
        <v>0</v>
      </c>
      <c r="AB128" s="207">
        <v>723</v>
      </c>
      <c r="AC128" s="207">
        <v>13</v>
      </c>
      <c r="AD128" s="207">
        <v>234</v>
      </c>
      <c r="AE128" s="480">
        <v>1.4549558058209466</v>
      </c>
      <c r="AF128" s="207">
        <v>1263172.2612324643</v>
      </c>
      <c r="AG128" s="175">
        <v>22</v>
      </c>
      <c r="AH128" s="175">
        <v>316</v>
      </c>
      <c r="AI128" s="175">
        <v>0.7136082086193776</v>
      </c>
      <c r="AJ128" s="175">
        <v>13</v>
      </c>
      <c r="AK128" s="175">
        <v>0.017639077340569877</v>
      </c>
      <c r="AL128" s="175">
        <v>0.014357998230106882</v>
      </c>
      <c r="AM128" s="175">
        <v>0</v>
      </c>
      <c r="AN128" s="175">
        <v>1</v>
      </c>
      <c r="AO128" s="175">
        <v>0</v>
      </c>
      <c r="AP128" s="175">
        <v>0</v>
      </c>
      <c r="AQ128" s="175">
        <v>0</v>
      </c>
      <c r="AR128" s="175">
        <v>480.3</v>
      </c>
      <c r="AS128" s="175">
        <v>1.534457630647512</v>
      </c>
      <c r="AT128" s="175">
        <v>11.828623859268111</v>
      </c>
      <c r="AU128" s="175">
        <v>22</v>
      </c>
      <c r="AV128" s="175">
        <v>158</v>
      </c>
      <c r="AW128" s="175">
        <v>0.13924050632911392</v>
      </c>
      <c r="AX128" s="175">
        <v>0.08377927259962892</v>
      </c>
      <c r="AY128" s="175">
        <v>0.8569833333333334</v>
      </c>
      <c r="AZ128" s="207">
        <v>288</v>
      </c>
      <c r="BA128" s="175">
        <v>272</v>
      </c>
      <c r="BB128" s="175">
        <v>1.0588235294117647</v>
      </c>
      <c r="BC128" s="175">
        <v>0.6691286819880529</v>
      </c>
      <c r="BD128" s="175">
        <v>0</v>
      </c>
      <c r="BE128" s="175">
        <v>0</v>
      </c>
      <c r="BF128" s="207">
        <v>-4978.59</v>
      </c>
      <c r="BG128" s="207">
        <v>-6091.08</v>
      </c>
      <c r="BH128" s="207">
        <v>-3021.7</v>
      </c>
      <c r="BI128" s="207">
        <v>-13176.3</v>
      </c>
      <c r="BJ128" s="207">
        <v>0</v>
      </c>
      <c r="BK128" s="207">
        <v>0</v>
      </c>
      <c r="BL128" s="207">
        <v>18127</v>
      </c>
      <c r="BM128" s="207">
        <v>4075.7004890680255</v>
      </c>
      <c r="BN128" s="207">
        <v>-31366.72</v>
      </c>
      <c r="BO128" s="207">
        <v>39125.340264778584</v>
      </c>
      <c r="BP128" s="207">
        <v>87058</v>
      </c>
      <c r="BQ128" s="207">
        <v>27619</v>
      </c>
      <c r="BR128" s="207">
        <v>77405.55972526678</v>
      </c>
      <c r="BS128" s="207">
        <v>3950.5922864278295</v>
      </c>
      <c r="BT128" s="207">
        <v>13927.977188081828</v>
      </c>
      <c r="BU128" s="207">
        <v>33393.64252528982</v>
      </c>
      <c r="BV128" s="207">
        <v>41412.7244548931</v>
      </c>
      <c r="BW128" s="207">
        <v>78470.13888235787</v>
      </c>
      <c r="BX128" s="207">
        <v>23278.63636519998</v>
      </c>
      <c r="BY128" s="207">
        <v>41380.884639625365</v>
      </c>
      <c r="BZ128" s="207">
        <v>66.33</v>
      </c>
      <c r="CA128" s="207">
        <v>-10671.592234454174</v>
      </c>
      <c r="CB128" s="207">
        <v>46647.07803032441</v>
      </c>
      <c r="CC128" s="207">
        <v>-30508.031480607562</v>
      </c>
      <c r="CD128" s="207">
        <v>0</v>
      </c>
      <c r="CE128" s="207">
        <v>58612.48138877049</v>
      </c>
      <c r="CF128" s="207">
        <v>0</v>
      </c>
      <c r="CG128" s="207">
        <v>710015.9770286222</v>
      </c>
      <c r="CH128" s="207">
        <v>-119042</v>
      </c>
      <c r="CI128" s="207">
        <v>0</v>
      </c>
      <c r="CJ128" s="207">
        <v>10874.896</v>
      </c>
      <c r="CK128" s="207">
        <v>-10874.896</v>
      </c>
      <c r="CL128" s="207">
        <v>2584098.211072665</v>
      </c>
      <c r="CM128" s="207">
        <v>2979608.8655115324</v>
      </c>
      <c r="CN128" s="207">
        <v>789</v>
      </c>
    </row>
    <row r="129" spans="1:92" ht="9.75">
      <c r="A129" s="207">
        <v>422</v>
      </c>
      <c r="B129" s="207" t="s">
        <v>186</v>
      </c>
      <c r="C129" s="207">
        <v>11098</v>
      </c>
      <c r="D129" s="207">
        <v>39032540.24</v>
      </c>
      <c r="E129" s="207">
        <v>20862059.520436484</v>
      </c>
      <c r="F129" s="207">
        <v>5390496.80257043</v>
      </c>
      <c r="G129" s="207">
        <v>65285096.56300692</v>
      </c>
      <c r="H129" s="207">
        <v>3654.72</v>
      </c>
      <c r="I129" s="207">
        <v>40560082.559999995</v>
      </c>
      <c r="J129" s="207">
        <v>24725014.003006928</v>
      </c>
      <c r="K129" s="207">
        <v>2602704.1089544315</v>
      </c>
      <c r="L129" s="207">
        <v>-1113757.0752759336</v>
      </c>
      <c r="M129" s="207">
        <v>0</v>
      </c>
      <c r="N129" s="207">
        <v>26213961.036685422</v>
      </c>
      <c r="O129" s="207">
        <v>7054469.082937604</v>
      </c>
      <c r="P129" s="207">
        <v>33268430.119623028</v>
      </c>
      <c r="Q129" s="207">
        <v>406</v>
      </c>
      <c r="R129" s="207">
        <v>90</v>
      </c>
      <c r="S129" s="207">
        <v>502</v>
      </c>
      <c r="T129" s="207">
        <v>245</v>
      </c>
      <c r="U129" s="207">
        <v>258</v>
      </c>
      <c r="V129" s="207">
        <v>5625</v>
      </c>
      <c r="W129" s="207">
        <v>2272</v>
      </c>
      <c r="X129" s="207">
        <v>1207</v>
      </c>
      <c r="Y129" s="207">
        <v>493</v>
      </c>
      <c r="Z129" s="207">
        <v>11</v>
      </c>
      <c r="AA129" s="207">
        <v>0</v>
      </c>
      <c r="AB129" s="207">
        <v>10680</v>
      </c>
      <c r="AC129" s="207">
        <v>407</v>
      </c>
      <c r="AD129" s="207">
        <v>3972</v>
      </c>
      <c r="AE129" s="480">
        <v>1.5957585101857235</v>
      </c>
      <c r="AF129" s="207">
        <v>20862059.520436484</v>
      </c>
      <c r="AG129" s="175">
        <v>713</v>
      </c>
      <c r="AH129" s="175">
        <v>4500</v>
      </c>
      <c r="AI129" s="175">
        <v>1.6240569521981287</v>
      </c>
      <c r="AJ129" s="175">
        <v>407</v>
      </c>
      <c r="AK129" s="175">
        <v>0.03667327446386737</v>
      </c>
      <c r="AL129" s="175">
        <v>0.03339219535340437</v>
      </c>
      <c r="AM129" s="175">
        <v>0</v>
      </c>
      <c r="AN129" s="175">
        <v>11</v>
      </c>
      <c r="AO129" s="175">
        <v>0</v>
      </c>
      <c r="AP129" s="175">
        <v>3</v>
      </c>
      <c r="AQ129" s="175">
        <v>235</v>
      </c>
      <c r="AR129" s="175">
        <v>3417.89</v>
      </c>
      <c r="AS129" s="175">
        <v>3.2470325259151114</v>
      </c>
      <c r="AT129" s="175">
        <v>5.589879989205778</v>
      </c>
      <c r="AU129" s="175">
        <v>403</v>
      </c>
      <c r="AV129" s="175">
        <v>2535</v>
      </c>
      <c r="AW129" s="175">
        <v>0.15897435897435896</v>
      </c>
      <c r="AX129" s="175">
        <v>0.10351312524487397</v>
      </c>
      <c r="AY129" s="175">
        <v>0.8942833333333333</v>
      </c>
      <c r="AZ129" s="207">
        <v>3532</v>
      </c>
      <c r="BA129" s="175">
        <v>3444</v>
      </c>
      <c r="BB129" s="175">
        <v>1.0255516840882695</v>
      </c>
      <c r="BC129" s="175">
        <v>0.6358568366645576</v>
      </c>
      <c r="BD129" s="175">
        <v>0</v>
      </c>
      <c r="BE129" s="175">
        <v>0</v>
      </c>
      <c r="BF129" s="207">
        <v>-71284.06999999999</v>
      </c>
      <c r="BG129" s="207">
        <v>-87212.84</v>
      </c>
      <c r="BH129" s="207">
        <v>-45501.799999999996</v>
      </c>
      <c r="BI129" s="207">
        <v>-188659.9</v>
      </c>
      <c r="BJ129" s="207">
        <v>0</v>
      </c>
      <c r="BK129" s="207">
        <v>0</v>
      </c>
      <c r="BL129" s="207">
        <v>635429</v>
      </c>
      <c r="BM129" s="207">
        <v>-337793.5548480045</v>
      </c>
      <c r="BN129" s="207">
        <v>-472330.88</v>
      </c>
      <c r="BO129" s="207">
        <v>-315981.70902796835</v>
      </c>
      <c r="BP129" s="207">
        <v>1068144</v>
      </c>
      <c r="BQ129" s="207">
        <v>308816</v>
      </c>
      <c r="BR129" s="207">
        <v>830643.1792137162</v>
      </c>
      <c r="BS129" s="207">
        <v>50258.222704215</v>
      </c>
      <c r="BT129" s="207">
        <v>160868.26536115995</v>
      </c>
      <c r="BU129" s="207">
        <v>477634.4870978819</v>
      </c>
      <c r="BV129" s="207">
        <v>576044.7873923811</v>
      </c>
      <c r="BW129" s="207">
        <v>990194.3049416464</v>
      </c>
      <c r="BX129" s="207">
        <v>262197.11248605064</v>
      </c>
      <c r="BY129" s="207">
        <v>511283.1012130259</v>
      </c>
      <c r="BZ129" s="207">
        <v>998.8199999999999</v>
      </c>
      <c r="CA129" s="207">
        <v>108844.53860003932</v>
      </c>
      <c r="CB129" s="207">
        <v>429290.649572071</v>
      </c>
      <c r="CC129" s="207">
        <v>-1113757.0752759336</v>
      </c>
      <c r="CD129" s="207">
        <v>0</v>
      </c>
      <c r="CE129" s="207">
        <v>647151.1154425527</v>
      </c>
      <c r="CF129" s="207">
        <v>0</v>
      </c>
      <c r="CG129" s="207">
        <v>7054469.082937604</v>
      </c>
      <c r="CH129" s="207">
        <v>-609554</v>
      </c>
      <c r="CI129" s="207">
        <v>342831.0964</v>
      </c>
      <c r="CJ129" s="207">
        <v>97466.2554</v>
      </c>
      <c r="CK129" s="207">
        <v>245364.841</v>
      </c>
      <c r="CL129" s="207">
        <v>32658876.119623028</v>
      </c>
      <c r="CM129" s="207">
        <v>36689509.3587397</v>
      </c>
      <c r="CN129" s="207">
        <v>11297</v>
      </c>
    </row>
    <row r="130" spans="1:92" ht="9.75">
      <c r="A130" s="207">
        <v>423</v>
      </c>
      <c r="B130" s="207" t="s">
        <v>187</v>
      </c>
      <c r="C130" s="207">
        <v>19831</v>
      </c>
      <c r="D130" s="207">
        <v>71753490.72</v>
      </c>
      <c r="E130" s="207">
        <v>17862041.498406935</v>
      </c>
      <c r="F130" s="207">
        <v>2565446.6144847767</v>
      </c>
      <c r="G130" s="207">
        <v>92180978.8328917</v>
      </c>
      <c r="H130" s="207">
        <v>3654.72</v>
      </c>
      <c r="I130" s="207">
        <v>72476752.32</v>
      </c>
      <c r="J130" s="207">
        <v>19704226.51289171</v>
      </c>
      <c r="K130" s="207">
        <v>420258.0562376209</v>
      </c>
      <c r="L130" s="207">
        <v>-2702315.936113745</v>
      </c>
      <c r="M130" s="207">
        <v>0</v>
      </c>
      <c r="N130" s="207">
        <v>17422168.633015584</v>
      </c>
      <c r="O130" s="207">
        <v>-194332.54812536575</v>
      </c>
      <c r="P130" s="207">
        <v>17227836.084890217</v>
      </c>
      <c r="Q130" s="207">
        <v>1412</v>
      </c>
      <c r="R130" s="207">
        <v>272</v>
      </c>
      <c r="S130" s="207">
        <v>1747</v>
      </c>
      <c r="T130" s="207">
        <v>826</v>
      </c>
      <c r="U130" s="207">
        <v>765</v>
      </c>
      <c r="V130" s="207">
        <v>11059</v>
      </c>
      <c r="W130" s="207">
        <v>2220</v>
      </c>
      <c r="X130" s="207">
        <v>1113</v>
      </c>
      <c r="Y130" s="207">
        <v>417</v>
      </c>
      <c r="Z130" s="207">
        <v>274</v>
      </c>
      <c r="AA130" s="207">
        <v>1</v>
      </c>
      <c r="AB130" s="207">
        <v>18939</v>
      </c>
      <c r="AC130" s="207">
        <v>617</v>
      </c>
      <c r="AD130" s="207">
        <v>3750</v>
      </c>
      <c r="AE130" s="480">
        <v>0.7646121397458325</v>
      </c>
      <c r="AF130" s="207">
        <v>17862041.498406935</v>
      </c>
      <c r="AG130" s="175">
        <v>502</v>
      </c>
      <c r="AH130" s="175">
        <v>9528</v>
      </c>
      <c r="AI130" s="175">
        <v>0.5400403468709885</v>
      </c>
      <c r="AJ130" s="175">
        <v>617</v>
      </c>
      <c r="AK130" s="175">
        <v>0.031112904039130654</v>
      </c>
      <c r="AL130" s="175">
        <v>0.027831824928667658</v>
      </c>
      <c r="AM130" s="175">
        <v>0</v>
      </c>
      <c r="AN130" s="175">
        <v>274</v>
      </c>
      <c r="AO130" s="175">
        <v>1</v>
      </c>
      <c r="AP130" s="175">
        <v>0</v>
      </c>
      <c r="AQ130" s="175">
        <v>0</v>
      </c>
      <c r="AR130" s="175">
        <v>300.52</v>
      </c>
      <c r="AS130" s="175">
        <v>65.98895248236391</v>
      </c>
      <c r="AT130" s="175">
        <v>0.2750539515802141</v>
      </c>
      <c r="AU130" s="175">
        <v>627</v>
      </c>
      <c r="AV130" s="175">
        <v>7008</v>
      </c>
      <c r="AW130" s="175">
        <v>0.08946917808219178</v>
      </c>
      <c r="AX130" s="175">
        <v>0.03400794435270677</v>
      </c>
      <c r="AY130" s="175">
        <v>0</v>
      </c>
      <c r="AZ130" s="207">
        <v>6463</v>
      </c>
      <c r="BA130" s="175">
        <v>9059</v>
      </c>
      <c r="BB130" s="175">
        <v>0.7134341538801192</v>
      </c>
      <c r="BC130" s="175">
        <v>0.32373930645640736</v>
      </c>
      <c r="BD130" s="175">
        <v>0</v>
      </c>
      <c r="BE130" s="175">
        <v>1</v>
      </c>
      <c r="BF130" s="207">
        <v>-123650.76</v>
      </c>
      <c r="BG130" s="207">
        <v>-151281.12</v>
      </c>
      <c r="BH130" s="207">
        <v>-81307.09999999999</v>
      </c>
      <c r="BI130" s="207">
        <v>-327253.2</v>
      </c>
      <c r="BJ130" s="207">
        <v>0</v>
      </c>
      <c r="BK130" s="207">
        <v>0</v>
      </c>
      <c r="BL130" s="207">
        <v>13774</v>
      </c>
      <c r="BM130" s="207">
        <v>-441034.5111091175</v>
      </c>
      <c r="BN130" s="207">
        <v>-844007.3600000001</v>
      </c>
      <c r="BO130" s="207">
        <v>-70084.70936955605</v>
      </c>
      <c r="BP130" s="207">
        <v>1240823</v>
      </c>
      <c r="BQ130" s="207">
        <v>412341</v>
      </c>
      <c r="BR130" s="207">
        <v>713439.9012823217</v>
      </c>
      <c r="BS130" s="207">
        <v>8667.180460595026</v>
      </c>
      <c r="BT130" s="207">
        <v>-59692.6854276775</v>
      </c>
      <c r="BU130" s="207">
        <v>360453.8116336227</v>
      </c>
      <c r="BV130" s="207">
        <v>779973.237662184</v>
      </c>
      <c r="BW130" s="207">
        <v>1391968.517984017</v>
      </c>
      <c r="BX130" s="207">
        <v>350090.31404010975</v>
      </c>
      <c r="BY130" s="207">
        <v>658548.9317850033</v>
      </c>
      <c r="BZ130" s="207">
        <v>1784.79</v>
      </c>
      <c r="CA130" s="207">
        <v>-71237.50563507101</v>
      </c>
      <c r="CB130" s="207">
        <v>-125763.42500462706</v>
      </c>
      <c r="CC130" s="207">
        <v>-2702315.936113745</v>
      </c>
      <c r="CD130" s="207">
        <v>0</v>
      </c>
      <c r="CE130" s="207">
        <v>795753.7438294659</v>
      </c>
      <c r="CF130" s="207">
        <v>0</v>
      </c>
      <c r="CG130" s="207">
        <v>-194332.54812536575</v>
      </c>
      <c r="CH130" s="207">
        <v>-1447708</v>
      </c>
      <c r="CI130" s="207">
        <v>727530.5424</v>
      </c>
      <c r="CJ130" s="207">
        <v>1309622.94442</v>
      </c>
      <c r="CK130" s="207">
        <v>-582092.40202</v>
      </c>
      <c r="CL130" s="207">
        <v>15780128.084890217</v>
      </c>
      <c r="CM130" s="207">
        <v>19837440.46097093</v>
      </c>
      <c r="CN130" s="207">
        <v>19596</v>
      </c>
    </row>
    <row r="131" spans="1:92" ht="9.75">
      <c r="A131" s="207">
        <v>425</v>
      </c>
      <c r="B131" s="207" t="s">
        <v>188</v>
      </c>
      <c r="C131" s="207">
        <v>10161</v>
      </c>
      <c r="D131" s="207">
        <v>44814981.11</v>
      </c>
      <c r="E131" s="207">
        <v>7560481.058441883</v>
      </c>
      <c r="F131" s="207">
        <v>1225892.0505131255</v>
      </c>
      <c r="G131" s="207">
        <v>53601354.21895501</v>
      </c>
      <c r="H131" s="207">
        <v>3654.72</v>
      </c>
      <c r="I131" s="207">
        <v>37135609.919999994</v>
      </c>
      <c r="J131" s="207">
        <v>16465744.298955016</v>
      </c>
      <c r="K131" s="207">
        <v>138947.70618515476</v>
      </c>
      <c r="L131" s="207">
        <v>-1300928.5999870547</v>
      </c>
      <c r="M131" s="207">
        <v>0</v>
      </c>
      <c r="N131" s="207">
        <v>15303763.405153116</v>
      </c>
      <c r="O131" s="207">
        <v>7246220.301039481</v>
      </c>
      <c r="P131" s="207">
        <v>22549983.706192598</v>
      </c>
      <c r="Q131" s="207">
        <v>1143</v>
      </c>
      <c r="R131" s="207">
        <v>268</v>
      </c>
      <c r="S131" s="207">
        <v>1468</v>
      </c>
      <c r="T131" s="207">
        <v>676</v>
      </c>
      <c r="U131" s="207">
        <v>587</v>
      </c>
      <c r="V131" s="207">
        <v>5012</v>
      </c>
      <c r="W131" s="207">
        <v>588</v>
      </c>
      <c r="X131" s="207">
        <v>298</v>
      </c>
      <c r="Y131" s="207">
        <v>121</v>
      </c>
      <c r="Z131" s="207">
        <v>10</v>
      </c>
      <c r="AA131" s="207">
        <v>2</v>
      </c>
      <c r="AB131" s="207">
        <v>10075</v>
      </c>
      <c r="AC131" s="207">
        <v>74</v>
      </c>
      <c r="AD131" s="207">
        <v>1007</v>
      </c>
      <c r="AE131" s="480">
        <v>0.6316371828202513</v>
      </c>
      <c r="AF131" s="207">
        <v>7560481.058441883</v>
      </c>
      <c r="AG131" s="175">
        <v>292</v>
      </c>
      <c r="AH131" s="175">
        <v>4252</v>
      </c>
      <c r="AI131" s="175">
        <v>0.7039046504931072</v>
      </c>
      <c r="AJ131" s="175">
        <v>74</v>
      </c>
      <c r="AK131" s="175">
        <v>0.007282747761047141</v>
      </c>
      <c r="AL131" s="175">
        <v>0.004001668650584145</v>
      </c>
      <c r="AM131" s="175">
        <v>0</v>
      </c>
      <c r="AN131" s="175">
        <v>10</v>
      </c>
      <c r="AO131" s="175">
        <v>2</v>
      </c>
      <c r="AP131" s="175">
        <v>0</v>
      </c>
      <c r="AQ131" s="175">
        <v>0</v>
      </c>
      <c r="AR131" s="175">
        <v>637.31</v>
      </c>
      <c r="AS131" s="175">
        <v>15.943575340101365</v>
      </c>
      <c r="AT131" s="175">
        <v>1.1384223270962872</v>
      </c>
      <c r="AU131" s="175">
        <v>214</v>
      </c>
      <c r="AV131" s="175">
        <v>3420</v>
      </c>
      <c r="AW131" s="175">
        <v>0.06257309941520468</v>
      </c>
      <c r="AX131" s="175">
        <v>0.007111865685719677</v>
      </c>
      <c r="AY131" s="175">
        <v>0</v>
      </c>
      <c r="AZ131" s="207">
        <v>2386</v>
      </c>
      <c r="BA131" s="175">
        <v>3986</v>
      </c>
      <c r="BB131" s="175">
        <v>0.5985950827897641</v>
      </c>
      <c r="BC131" s="175">
        <v>0.2089002353660523</v>
      </c>
      <c r="BD131" s="175">
        <v>0</v>
      </c>
      <c r="BE131" s="175">
        <v>2</v>
      </c>
      <c r="BF131" s="207">
        <v>-63939.229999999996</v>
      </c>
      <c r="BG131" s="207">
        <v>-78226.76</v>
      </c>
      <c r="BH131" s="207">
        <v>-41660.1</v>
      </c>
      <c r="BI131" s="207">
        <v>-169221.1</v>
      </c>
      <c r="BJ131" s="207">
        <v>0</v>
      </c>
      <c r="BK131" s="207">
        <v>0</v>
      </c>
      <c r="BL131" s="207">
        <v>40867</v>
      </c>
      <c r="BM131" s="207">
        <v>-46472.38882975365</v>
      </c>
      <c r="BN131" s="207">
        <v>-432452.16000000003</v>
      </c>
      <c r="BO131" s="207">
        <v>-237163.8779362552</v>
      </c>
      <c r="BP131" s="207">
        <v>593519</v>
      </c>
      <c r="BQ131" s="207">
        <v>166010</v>
      </c>
      <c r="BR131" s="207">
        <v>333043.6696408922</v>
      </c>
      <c r="BS131" s="207">
        <v>-639.7687502854976</v>
      </c>
      <c r="BT131" s="207">
        <v>-12296.181836887137</v>
      </c>
      <c r="BU131" s="207">
        <v>206898.77974201023</v>
      </c>
      <c r="BV131" s="207">
        <v>384628.31613368576</v>
      </c>
      <c r="BW131" s="207">
        <v>580936.6325078302</v>
      </c>
      <c r="BX131" s="207">
        <v>119767.59798885522</v>
      </c>
      <c r="BY131" s="207">
        <v>301142.6827639761</v>
      </c>
      <c r="BZ131" s="207">
        <v>914.49</v>
      </c>
      <c r="CA131" s="207">
        <v>37961.786778954076</v>
      </c>
      <c r="CB131" s="207">
        <v>-157420.6011573011</v>
      </c>
      <c r="CC131" s="207">
        <v>-1300928.5999870547</v>
      </c>
      <c r="CD131" s="207">
        <v>0</v>
      </c>
      <c r="CE131" s="207">
        <v>419271.47203865193</v>
      </c>
      <c r="CF131" s="207">
        <v>0</v>
      </c>
      <c r="CG131" s="207">
        <v>7246220.301039481</v>
      </c>
      <c r="CH131" s="207">
        <v>279873</v>
      </c>
      <c r="CI131" s="207">
        <v>168832.7604</v>
      </c>
      <c r="CJ131" s="207">
        <v>151337.77146</v>
      </c>
      <c r="CK131" s="207">
        <v>17494.98894000001</v>
      </c>
      <c r="CL131" s="207">
        <v>22829856.706192598</v>
      </c>
      <c r="CM131" s="207">
        <v>24101050.77498963</v>
      </c>
      <c r="CN131" s="207">
        <v>10133</v>
      </c>
    </row>
    <row r="132" spans="1:92" ht="9.75">
      <c r="A132" s="207">
        <v>426</v>
      </c>
      <c r="B132" s="207" t="s">
        <v>189</v>
      </c>
      <c r="C132" s="207">
        <v>12145</v>
      </c>
      <c r="D132" s="207">
        <v>42562081.72</v>
      </c>
      <c r="E132" s="207">
        <v>16211096.384475665</v>
      </c>
      <c r="F132" s="207">
        <v>2307475.089989123</v>
      </c>
      <c r="G132" s="207">
        <v>61080653.19446479</v>
      </c>
      <c r="H132" s="207">
        <v>3654.72</v>
      </c>
      <c r="I132" s="207">
        <v>44386574.4</v>
      </c>
      <c r="J132" s="207">
        <v>16694078.79446479</v>
      </c>
      <c r="K132" s="207">
        <v>206501.50125390905</v>
      </c>
      <c r="L132" s="207">
        <v>-1213965.1131842542</v>
      </c>
      <c r="M132" s="207">
        <v>0</v>
      </c>
      <c r="N132" s="207">
        <v>15686615.182534445</v>
      </c>
      <c r="O132" s="207">
        <v>8878345.224242462</v>
      </c>
      <c r="P132" s="207">
        <v>24564960.406776905</v>
      </c>
      <c r="Q132" s="207">
        <v>822</v>
      </c>
      <c r="R132" s="207">
        <v>164</v>
      </c>
      <c r="S132" s="207">
        <v>966</v>
      </c>
      <c r="T132" s="207">
        <v>424</v>
      </c>
      <c r="U132" s="207">
        <v>401</v>
      </c>
      <c r="V132" s="207">
        <v>6789</v>
      </c>
      <c r="W132" s="207">
        <v>1569</v>
      </c>
      <c r="X132" s="207">
        <v>734</v>
      </c>
      <c r="Y132" s="207">
        <v>276</v>
      </c>
      <c r="Z132" s="207">
        <v>17</v>
      </c>
      <c r="AA132" s="207">
        <v>1</v>
      </c>
      <c r="AB132" s="207">
        <v>11922</v>
      </c>
      <c r="AC132" s="207">
        <v>205</v>
      </c>
      <c r="AD132" s="207">
        <v>2579</v>
      </c>
      <c r="AE132" s="480">
        <v>1.1331034929852053</v>
      </c>
      <c r="AF132" s="207">
        <v>16211096.384475665</v>
      </c>
      <c r="AG132" s="175">
        <v>585</v>
      </c>
      <c r="AH132" s="175">
        <v>5685</v>
      </c>
      <c r="AI132" s="175">
        <v>1.0547502474244674</v>
      </c>
      <c r="AJ132" s="175">
        <v>205</v>
      </c>
      <c r="AK132" s="175">
        <v>0.0168793742280774</v>
      </c>
      <c r="AL132" s="175">
        <v>0.013598295117614404</v>
      </c>
      <c r="AM132" s="175">
        <v>0</v>
      </c>
      <c r="AN132" s="175">
        <v>17</v>
      </c>
      <c r="AO132" s="175">
        <v>1</v>
      </c>
      <c r="AP132" s="175">
        <v>3</v>
      </c>
      <c r="AQ132" s="175">
        <v>489</v>
      </c>
      <c r="AR132" s="175">
        <v>726.87</v>
      </c>
      <c r="AS132" s="175">
        <v>16.708627402424092</v>
      </c>
      <c r="AT132" s="175">
        <v>1.08629642063117</v>
      </c>
      <c r="AU132" s="175">
        <v>322</v>
      </c>
      <c r="AV132" s="175">
        <v>3816</v>
      </c>
      <c r="AW132" s="175">
        <v>0.08438155136268344</v>
      </c>
      <c r="AX132" s="175">
        <v>0.028920317633198432</v>
      </c>
      <c r="AY132" s="175">
        <v>0</v>
      </c>
      <c r="AZ132" s="207">
        <v>3255</v>
      </c>
      <c r="BA132" s="175">
        <v>5012</v>
      </c>
      <c r="BB132" s="175">
        <v>0.6494413407821229</v>
      </c>
      <c r="BC132" s="175">
        <v>0.25974649335841105</v>
      </c>
      <c r="BD132" s="175">
        <v>0</v>
      </c>
      <c r="BE132" s="175">
        <v>1</v>
      </c>
      <c r="BF132" s="207">
        <v>-76666.5</v>
      </c>
      <c r="BG132" s="207">
        <v>-93798</v>
      </c>
      <c r="BH132" s="207">
        <v>-49794.49999999999</v>
      </c>
      <c r="BI132" s="207">
        <v>-202905</v>
      </c>
      <c r="BJ132" s="207">
        <v>0</v>
      </c>
      <c r="BK132" s="207">
        <v>0</v>
      </c>
      <c r="BL132" s="207">
        <v>290281</v>
      </c>
      <c r="BM132" s="207">
        <v>-459009.9454392025</v>
      </c>
      <c r="BN132" s="207">
        <v>-516891.2</v>
      </c>
      <c r="BO132" s="207">
        <v>172946.06286363304</v>
      </c>
      <c r="BP132" s="207">
        <v>1003309</v>
      </c>
      <c r="BQ132" s="207">
        <v>306424</v>
      </c>
      <c r="BR132" s="207">
        <v>750447.3038160001</v>
      </c>
      <c r="BS132" s="207">
        <v>30134.69636581449</v>
      </c>
      <c r="BT132" s="207">
        <v>133757.863734118</v>
      </c>
      <c r="BU132" s="207">
        <v>345272.9908266246</v>
      </c>
      <c r="BV132" s="207">
        <v>626254.9905556756</v>
      </c>
      <c r="BW132" s="207">
        <v>1002006.8323394094</v>
      </c>
      <c r="BX132" s="207">
        <v>274048.85143614374</v>
      </c>
      <c r="BY132" s="207">
        <v>527260.1509002985</v>
      </c>
      <c r="BZ132" s="207">
        <v>1093.05</v>
      </c>
      <c r="CA132" s="207">
        <v>93145.61939131506</v>
      </c>
      <c r="CB132" s="207">
        <v>557465.7322549481</v>
      </c>
      <c r="CC132" s="207">
        <v>-1213965.1131842542</v>
      </c>
      <c r="CD132" s="207">
        <v>0</v>
      </c>
      <c r="CE132" s="207">
        <v>682821.2231143776</v>
      </c>
      <c r="CF132" s="207">
        <v>0</v>
      </c>
      <c r="CG132" s="207">
        <v>8878345.224242462</v>
      </c>
      <c r="CH132" s="207">
        <v>-2608181</v>
      </c>
      <c r="CI132" s="207">
        <v>49005.000100000005</v>
      </c>
      <c r="CJ132" s="207">
        <v>957409.5314960001</v>
      </c>
      <c r="CK132" s="207">
        <v>-908404.5313960002</v>
      </c>
      <c r="CL132" s="207">
        <v>21956779.406776905</v>
      </c>
      <c r="CM132" s="207">
        <v>26009392.244408477</v>
      </c>
      <c r="CN132" s="207">
        <v>12150</v>
      </c>
    </row>
    <row r="133" spans="1:92" ht="9.75">
      <c r="A133" s="207">
        <v>444</v>
      </c>
      <c r="B133" s="207" t="s">
        <v>190</v>
      </c>
      <c r="C133" s="207">
        <v>46296</v>
      </c>
      <c r="D133" s="207">
        <v>161758159.53000003</v>
      </c>
      <c r="E133" s="207">
        <v>54469548.53686354</v>
      </c>
      <c r="F133" s="207">
        <v>11144879.823321395</v>
      </c>
      <c r="G133" s="207">
        <v>227372587.89018497</v>
      </c>
      <c r="H133" s="207">
        <v>3654.72</v>
      </c>
      <c r="I133" s="207">
        <v>169198917.12</v>
      </c>
      <c r="J133" s="207">
        <v>58173670.770184964</v>
      </c>
      <c r="K133" s="207">
        <v>1261087.7655295378</v>
      </c>
      <c r="L133" s="207">
        <v>-7219705.522915296</v>
      </c>
      <c r="M133" s="207">
        <v>0</v>
      </c>
      <c r="N133" s="207">
        <v>52215053.0127992</v>
      </c>
      <c r="O133" s="207">
        <v>4866202.065363528</v>
      </c>
      <c r="P133" s="207">
        <v>57081255.07816273</v>
      </c>
      <c r="Q133" s="207">
        <v>2477</v>
      </c>
      <c r="R133" s="207">
        <v>530</v>
      </c>
      <c r="S133" s="207">
        <v>3489</v>
      </c>
      <c r="T133" s="207">
        <v>1742</v>
      </c>
      <c r="U133" s="207">
        <v>1732</v>
      </c>
      <c r="V133" s="207">
        <v>25536</v>
      </c>
      <c r="W133" s="207">
        <v>6374</v>
      </c>
      <c r="X133" s="207">
        <v>3268</v>
      </c>
      <c r="Y133" s="207">
        <v>1148</v>
      </c>
      <c r="Z133" s="207">
        <v>1617</v>
      </c>
      <c r="AA133" s="207">
        <v>5</v>
      </c>
      <c r="AB133" s="207">
        <v>42739</v>
      </c>
      <c r="AC133" s="207">
        <v>1935</v>
      </c>
      <c r="AD133" s="207">
        <v>10790</v>
      </c>
      <c r="AE133" s="480">
        <v>0.998768911982032</v>
      </c>
      <c r="AF133" s="207">
        <v>54469548.53686354</v>
      </c>
      <c r="AG133" s="175">
        <v>1893</v>
      </c>
      <c r="AH133" s="175">
        <v>22477</v>
      </c>
      <c r="AI133" s="175">
        <v>0.8632498414492558</v>
      </c>
      <c r="AJ133" s="175">
        <v>1935</v>
      </c>
      <c r="AK133" s="175">
        <v>0.041796267496111976</v>
      </c>
      <c r="AL133" s="175">
        <v>0.03851518838564898</v>
      </c>
      <c r="AM133" s="175">
        <v>1</v>
      </c>
      <c r="AN133" s="175">
        <v>1617</v>
      </c>
      <c r="AO133" s="175">
        <v>5</v>
      </c>
      <c r="AP133" s="175">
        <v>0</v>
      </c>
      <c r="AQ133" s="175">
        <v>0</v>
      </c>
      <c r="AR133" s="175">
        <v>939.16</v>
      </c>
      <c r="AS133" s="175">
        <v>49.295114783423486</v>
      </c>
      <c r="AT133" s="175">
        <v>0.3682012349632801</v>
      </c>
      <c r="AU133" s="175">
        <v>2274</v>
      </c>
      <c r="AV133" s="175">
        <v>14351</v>
      </c>
      <c r="AW133" s="175">
        <v>0.15845585673472232</v>
      </c>
      <c r="AX133" s="175">
        <v>0.10299462300523732</v>
      </c>
      <c r="AY133" s="175">
        <v>0</v>
      </c>
      <c r="AZ133" s="207">
        <v>15890</v>
      </c>
      <c r="BA133" s="175">
        <v>19719</v>
      </c>
      <c r="BB133" s="175">
        <v>0.8058217962371317</v>
      </c>
      <c r="BC133" s="175">
        <v>0.41612694881341983</v>
      </c>
      <c r="BD133" s="175">
        <v>0</v>
      </c>
      <c r="BE133" s="175">
        <v>5</v>
      </c>
      <c r="BF133" s="207">
        <v>-295213.35</v>
      </c>
      <c r="BG133" s="207">
        <v>-361180.2</v>
      </c>
      <c r="BH133" s="207">
        <v>-189813.59999999998</v>
      </c>
      <c r="BI133" s="207">
        <v>-781309.5</v>
      </c>
      <c r="BJ133" s="207">
        <v>0</v>
      </c>
      <c r="BK133" s="207">
        <v>0</v>
      </c>
      <c r="BL133" s="207">
        <v>-48294</v>
      </c>
      <c r="BM133" s="207">
        <v>-2984805.9446942164</v>
      </c>
      <c r="BN133" s="207">
        <v>-1970357.76</v>
      </c>
      <c r="BO133" s="207">
        <v>624884.9542209012</v>
      </c>
      <c r="BP133" s="207">
        <v>3336584</v>
      </c>
      <c r="BQ133" s="207">
        <v>1126591</v>
      </c>
      <c r="BR133" s="207">
        <v>2365028.4992995057</v>
      </c>
      <c r="BS133" s="207">
        <v>53694.91146672505</v>
      </c>
      <c r="BT133" s="207">
        <v>63083.83769646494</v>
      </c>
      <c r="BU133" s="207">
        <v>819845.1466709238</v>
      </c>
      <c r="BV133" s="207">
        <v>2276281.1469600773</v>
      </c>
      <c r="BW133" s="207">
        <v>3548105.724815218</v>
      </c>
      <c r="BX133" s="207">
        <v>1036342.8025234072</v>
      </c>
      <c r="BY133" s="207">
        <v>1798553.4888966852</v>
      </c>
      <c r="BZ133" s="207">
        <v>4166.639999999999</v>
      </c>
      <c r="CA133" s="207">
        <v>201652.59755801904</v>
      </c>
      <c r="CB133" s="207">
        <v>782410.1917789204</v>
      </c>
      <c r="CC133" s="207">
        <v>-7219705.522915296</v>
      </c>
      <c r="CD133" s="207">
        <v>0</v>
      </c>
      <c r="CE133" s="207">
        <v>2242191.810769207</v>
      </c>
      <c r="CF133" s="207">
        <v>0</v>
      </c>
      <c r="CG133" s="207">
        <v>4866202.065363528</v>
      </c>
      <c r="CH133" s="207">
        <v>-1695338</v>
      </c>
      <c r="CI133" s="207">
        <v>3647304.182200001</v>
      </c>
      <c r="CJ133" s="207">
        <v>1108518.9301399998</v>
      </c>
      <c r="CK133" s="207">
        <v>2538785.2520600013</v>
      </c>
      <c r="CL133" s="207">
        <v>55385917.07816273</v>
      </c>
      <c r="CM133" s="207">
        <v>66130730.73103589</v>
      </c>
      <c r="CN133" s="207">
        <v>46785</v>
      </c>
    </row>
    <row r="134" spans="1:92" ht="9.75">
      <c r="A134" s="207">
        <v>430</v>
      </c>
      <c r="B134" s="207" t="s">
        <v>191</v>
      </c>
      <c r="C134" s="207">
        <v>16032</v>
      </c>
      <c r="D134" s="207">
        <v>60235923.45999999</v>
      </c>
      <c r="E134" s="207">
        <v>21998721.985736787</v>
      </c>
      <c r="F134" s="207">
        <v>3376632.606082032</v>
      </c>
      <c r="G134" s="207">
        <v>85611278.05181882</v>
      </c>
      <c r="H134" s="207">
        <v>3654.72</v>
      </c>
      <c r="I134" s="207">
        <v>58592471.04</v>
      </c>
      <c r="J134" s="207">
        <v>27018807.01181882</v>
      </c>
      <c r="K134" s="207">
        <v>684764.887905631</v>
      </c>
      <c r="L134" s="207">
        <v>-2590454.6527266</v>
      </c>
      <c r="M134" s="207">
        <v>0</v>
      </c>
      <c r="N134" s="207">
        <v>25113117.24699785</v>
      </c>
      <c r="O134" s="207">
        <v>10778706.210320497</v>
      </c>
      <c r="P134" s="207">
        <v>35891823.45731834</v>
      </c>
      <c r="Q134" s="207">
        <v>775</v>
      </c>
      <c r="R134" s="207">
        <v>167</v>
      </c>
      <c r="S134" s="207">
        <v>983</v>
      </c>
      <c r="T134" s="207">
        <v>497</v>
      </c>
      <c r="U134" s="207">
        <v>542</v>
      </c>
      <c r="V134" s="207">
        <v>8358</v>
      </c>
      <c r="W134" s="207">
        <v>2580</v>
      </c>
      <c r="X134" s="207">
        <v>1388</v>
      </c>
      <c r="Y134" s="207">
        <v>742</v>
      </c>
      <c r="Z134" s="207">
        <v>32</v>
      </c>
      <c r="AA134" s="207">
        <v>0</v>
      </c>
      <c r="AB134" s="207">
        <v>15499</v>
      </c>
      <c r="AC134" s="207">
        <v>501</v>
      </c>
      <c r="AD134" s="207">
        <v>4710</v>
      </c>
      <c r="AE134" s="480">
        <v>1.164835121021581</v>
      </c>
      <c r="AF134" s="207">
        <v>21998721.985736787</v>
      </c>
      <c r="AG134" s="175">
        <v>585</v>
      </c>
      <c r="AH134" s="175">
        <v>7118</v>
      </c>
      <c r="AI134" s="175">
        <v>0.8424072993267909</v>
      </c>
      <c r="AJ134" s="175">
        <v>501</v>
      </c>
      <c r="AK134" s="175">
        <v>0.03125</v>
      </c>
      <c r="AL134" s="175">
        <v>0.027968920889537004</v>
      </c>
      <c r="AM134" s="175">
        <v>0</v>
      </c>
      <c r="AN134" s="175">
        <v>32</v>
      </c>
      <c r="AO134" s="175">
        <v>0</v>
      </c>
      <c r="AP134" s="175">
        <v>0</v>
      </c>
      <c r="AQ134" s="175">
        <v>0</v>
      </c>
      <c r="AR134" s="175">
        <v>848.13</v>
      </c>
      <c r="AS134" s="175">
        <v>18.902762548194264</v>
      </c>
      <c r="AT134" s="175">
        <v>0.9602047369868195</v>
      </c>
      <c r="AU134" s="175">
        <v>671</v>
      </c>
      <c r="AV134" s="175">
        <v>4369</v>
      </c>
      <c r="AW134" s="175">
        <v>0.1535820553902495</v>
      </c>
      <c r="AX134" s="175">
        <v>0.0981208216607645</v>
      </c>
      <c r="AY134" s="175">
        <v>0</v>
      </c>
      <c r="AZ134" s="207">
        <v>6546</v>
      </c>
      <c r="BA134" s="175">
        <v>6281</v>
      </c>
      <c r="BB134" s="175">
        <v>1.0421907339595606</v>
      </c>
      <c r="BC134" s="175">
        <v>0.6524958865358488</v>
      </c>
      <c r="BD134" s="175">
        <v>0</v>
      </c>
      <c r="BE134" s="175">
        <v>0</v>
      </c>
      <c r="BF134" s="207">
        <v>-101906.5</v>
      </c>
      <c r="BG134" s="207">
        <v>-124678</v>
      </c>
      <c r="BH134" s="207">
        <v>-65731.2</v>
      </c>
      <c r="BI134" s="207">
        <v>-269705</v>
      </c>
      <c r="BJ134" s="207">
        <v>0</v>
      </c>
      <c r="BK134" s="207">
        <v>0</v>
      </c>
      <c r="BL134" s="207">
        <v>-167155</v>
      </c>
      <c r="BM134" s="207">
        <v>-766690.2867618972</v>
      </c>
      <c r="BN134" s="207">
        <v>-682321.92</v>
      </c>
      <c r="BO134" s="207">
        <v>60458.416094228625</v>
      </c>
      <c r="BP134" s="207">
        <v>1444612</v>
      </c>
      <c r="BQ134" s="207">
        <v>489811</v>
      </c>
      <c r="BR134" s="207">
        <v>1178579.4314645445</v>
      </c>
      <c r="BS134" s="207">
        <v>63543.66375985808</v>
      </c>
      <c r="BT134" s="207">
        <v>133455.7818774727</v>
      </c>
      <c r="BU134" s="207">
        <v>556060.4030972832</v>
      </c>
      <c r="BV134" s="207">
        <v>920743.5664731952</v>
      </c>
      <c r="BW134" s="207">
        <v>1523583.406589063</v>
      </c>
      <c r="BX134" s="207">
        <v>452307.5974287652</v>
      </c>
      <c r="BY134" s="207">
        <v>755542.0088893796</v>
      </c>
      <c r="BZ134" s="207">
        <v>1442.8799999999999</v>
      </c>
      <c r="CA134" s="207">
        <v>17373.077941068477</v>
      </c>
      <c r="CB134" s="207">
        <v>-87880.6259647029</v>
      </c>
      <c r="CC134" s="207">
        <v>-2590454.6527266</v>
      </c>
      <c r="CD134" s="207">
        <v>0</v>
      </c>
      <c r="CE134" s="207">
        <v>1000468.9533967766</v>
      </c>
      <c r="CF134" s="207">
        <v>0</v>
      </c>
      <c r="CG134" s="207">
        <v>10778706.210320497</v>
      </c>
      <c r="CH134" s="207">
        <v>-2279955</v>
      </c>
      <c r="CI134" s="207">
        <v>1120182.2561000003</v>
      </c>
      <c r="CJ134" s="207">
        <v>369297.87454000005</v>
      </c>
      <c r="CK134" s="207">
        <v>750884.3815600004</v>
      </c>
      <c r="CL134" s="207">
        <v>33611868.45731834</v>
      </c>
      <c r="CM134" s="207">
        <v>39299256.090462536</v>
      </c>
      <c r="CN134" s="207">
        <v>16150</v>
      </c>
    </row>
    <row r="135" spans="1:92" ht="9.75">
      <c r="A135" s="207">
        <v>433</v>
      </c>
      <c r="B135" s="207" t="s">
        <v>192</v>
      </c>
      <c r="C135" s="207">
        <v>7861</v>
      </c>
      <c r="D135" s="207">
        <v>28736859.4</v>
      </c>
      <c r="E135" s="207">
        <v>8786362.541253624</v>
      </c>
      <c r="F135" s="207">
        <v>1347074.155702199</v>
      </c>
      <c r="G135" s="207">
        <v>38870296.09695582</v>
      </c>
      <c r="H135" s="207">
        <v>3654.72</v>
      </c>
      <c r="I135" s="207">
        <v>28729753.919999998</v>
      </c>
      <c r="J135" s="207">
        <v>10140542.176955823</v>
      </c>
      <c r="K135" s="207">
        <v>117631.17567050089</v>
      </c>
      <c r="L135" s="207">
        <v>-981219.5498065932</v>
      </c>
      <c r="M135" s="207">
        <v>0</v>
      </c>
      <c r="N135" s="207">
        <v>9276953.80281973</v>
      </c>
      <c r="O135" s="207">
        <v>4359601.30116865</v>
      </c>
      <c r="P135" s="207">
        <v>13636555.103988381</v>
      </c>
      <c r="Q135" s="207">
        <v>417</v>
      </c>
      <c r="R135" s="207">
        <v>91</v>
      </c>
      <c r="S135" s="207">
        <v>633</v>
      </c>
      <c r="T135" s="207">
        <v>355</v>
      </c>
      <c r="U135" s="207">
        <v>288</v>
      </c>
      <c r="V135" s="207">
        <v>4131</v>
      </c>
      <c r="W135" s="207">
        <v>1139</v>
      </c>
      <c r="X135" s="207">
        <v>611</v>
      </c>
      <c r="Y135" s="207">
        <v>196</v>
      </c>
      <c r="Z135" s="207">
        <v>37</v>
      </c>
      <c r="AA135" s="207">
        <v>0</v>
      </c>
      <c r="AB135" s="207">
        <v>7663</v>
      </c>
      <c r="AC135" s="207">
        <v>161</v>
      </c>
      <c r="AD135" s="207">
        <v>1946</v>
      </c>
      <c r="AE135" s="480">
        <v>0.9488248104160407</v>
      </c>
      <c r="AF135" s="207">
        <v>8786362.541253624</v>
      </c>
      <c r="AG135" s="175">
        <v>194</v>
      </c>
      <c r="AH135" s="175">
        <v>3659</v>
      </c>
      <c r="AI135" s="175">
        <v>0.5434549631196095</v>
      </c>
      <c r="AJ135" s="175">
        <v>161</v>
      </c>
      <c r="AK135" s="175">
        <v>0.020480854853072127</v>
      </c>
      <c r="AL135" s="175">
        <v>0.01719977574260913</v>
      </c>
      <c r="AM135" s="175">
        <v>0</v>
      </c>
      <c r="AN135" s="175">
        <v>37</v>
      </c>
      <c r="AO135" s="175">
        <v>0</v>
      </c>
      <c r="AP135" s="175">
        <v>0</v>
      </c>
      <c r="AQ135" s="175">
        <v>0</v>
      </c>
      <c r="AR135" s="175">
        <v>597.63</v>
      </c>
      <c r="AS135" s="175">
        <v>13.153623479410337</v>
      </c>
      <c r="AT135" s="175">
        <v>1.3798876157071545</v>
      </c>
      <c r="AU135" s="175">
        <v>333</v>
      </c>
      <c r="AV135" s="175">
        <v>2455</v>
      </c>
      <c r="AW135" s="175">
        <v>0.13564154786150712</v>
      </c>
      <c r="AX135" s="175">
        <v>0.08018031413202212</v>
      </c>
      <c r="AY135" s="175">
        <v>0</v>
      </c>
      <c r="AZ135" s="207">
        <v>2062</v>
      </c>
      <c r="BA135" s="175">
        <v>3335</v>
      </c>
      <c r="BB135" s="175">
        <v>0.6182908545727136</v>
      </c>
      <c r="BC135" s="175">
        <v>0.22859600714900175</v>
      </c>
      <c r="BD135" s="175">
        <v>0</v>
      </c>
      <c r="BE135" s="175">
        <v>0</v>
      </c>
      <c r="BF135" s="207">
        <v>-50656.68</v>
      </c>
      <c r="BG135" s="207">
        <v>-61976.159999999996</v>
      </c>
      <c r="BH135" s="207">
        <v>-32230.1</v>
      </c>
      <c r="BI135" s="207">
        <v>-134067.6</v>
      </c>
      <c r="BJ135" s="207">
        <v>0</v>
      </c>
      <c r="BK135" s="207">
        <v>0</v>
      </c>
      <c r="BL135" s="207">
        <v>-59608</v>
      </c>
      <c r="BM135" s="207">
        <v>-240430.74920628464</v>
      </c>
      <c r="BN135" s="207">
        <v>-334564.16000000003</v>
      </c>
      <c r="BO135" s="207">
        <v>177263.44181268103</v>
      </c>
      <c r="BP135" s="207">
        <v>727932</v>
      </c>
      <c r="BQ135" s="207">
        <v>226573</v>
      </c>
      <c r="BR135" s="207">
        <v>508996.28072444606</v>
      </c>
      <c r="BS135" s="207">
        <v>13819.042114133674</v>
      </c>
      <c r="BT135" s="207">
        <v>58262.31202182018</v>
      </c>
      <c r="BU135" s="207">
        <v>171978.04434284213</v>
      </c>
      <c r="BV135" s="207">
        <v>428050.0253107906</v>
      </c>
      <c r="BW135" s="207">
        <v>684417.2779968116</v>
      </c>
      <c r="BX135" s="207">
        <v>200257.29572065148</v>
      </c>
      <c r="BY135" s="207">
        <v>347559.862140443</v>
      </c>
      <c r="BZ135" s="207">
        <v>707.49</v>
      </c>
      <c r="CA135" s="207">
        <v>-4638.772412989594</v>
      </c>
      <c r="CB135" s="207">
        <v>113724.15939969145</v>
      </c>
      <c r="CC135" s="207">
        <v>-981219.5498065932</v>
      </c>
      <c r="CD135" s="207">
        <v>0</v>
      </c>
      <c r="CE135" s="207">
        <v>463012.0858446886</v>
      </c>
      <c r="CF135" s="207">
        <v>0</v>
      </c>
      <c r="CG135" s="207">
        <v>4359601.30116865</v>
      </c>
      <c r="CH135" s="207">
        <v>-853367</v>
      </c>
      <c r="CI135" s="207">
        <v>223071.3042</v>
      </c>
      <c r="CJ135" s="207">
        <v>288959.58034</v>
      </c>
      <c r="CK135" s="207">
        <v>-65888.27613999997</v>
      </c>
      <c r="CL135" s="207">
        <v>12783188.103988381</v>
      </c>
      <c r="CM135" s="207">
        <v>15723463.181584885</v>
      </c>
      <c r="CN135" s="207">
        <v>8028</v>
      </c>
    </row>
    <row r="136" spans="1:92" ht="9.75">
      <c r="A136" s="207">
        <v>434</v>
      </c>
      <c r="B136" s="207" t="s">
        <v>193</v>
      </c>
      <c r="C136" s="207">
        <v>14891</v>
      </c>
      <c r="D136" s="207">
        <v>52120168.81</v>
      </c>
      <c r="E136" s="207">
        <v>18773835.18745358</v>
      </c>
      <c r="F136" s="207">
        <v>5905379.520085645</v>
      </c>
      <c r="G136" s="207">
        <v>76799383.51753923</v>
      </c>
      <c r="H136" s="207">
        <v>3654.72</v>
      </c>
      <c r="I136" s="207">
        <v>54422435.519999996</v>
      </c>
      <c r="J136" s="207">
        <v>22376947.997539237</v>
      </c>
      <c r="K136" s="207">
        <v>408250.3511850807</v>
      </c>
      <c r="L136" s="207">
        <v>-2157826.184609301</v>
      </c>
      <c r="M136" s="207">
        <v>0</v>
      </c>
      <c r="N136" s="207">
        <v>20627372.164115015</v>
      </c>
      <c r="O136" s="207">
        <v>1236959.0323232084</v>
      </c>
      <c r="P136" s="207">
        <v>21864331.196438223</v>
      </c>
      <c r="Q136" s="207">
        <v>678</v>
      </c>
      <c r="R136" s="207">
        <v>163</v>
      </c>
      <c r="S136" s="207">
        <v>903</v>
      </c>
      <c r="T136" s="207">
        <v>459</v>
      </c>
      <c r="U136" s="207">
        <v>443</v>
      </c>
      <c r="V136" s="207">
        <v>8050</v>
      </c>
      <c r="W136" s="207">
        <v>2462</v>
      </c>
      <c r="X136" s="207">
        <v>1205</v>
      </c>
      <c r="Y136" s="207">
        <v>528</v>
      </c>
      <c r="Z136" s="207">
        <v>6052</v>
      </c>
      <c r="AA136" s="207">
        <v>0</v>
      </c>
      <c r="AB136" s="207">
        <v>8221</v>
      </c>
      <c r="AC136" s="207">
        <v>618</v>
      </c>
      <c r="AD136" s="207">
        <v>4195</v>
      </c>
      <c r="AE136" s="480">
        <v>1.0702465754518817</v>
      </c>
      <c r="AF136" s="207">
        <v>18773835.18745358</v>
      </c>
      <c r="AG136" s="175">
        <v>691</v>
      </c>
      <c r="AH136" s="175">
        <v>6862</v>
      </c>
      <c r="AI136" s="175">
        <v>1.0321708089431443</v>
      </c>
      <c r="AJ136" s="175">
        <v>618</v>
      </c>
      <c r="AK136" s="175">
        <v>0.04150157813444362</v>
      </c>
      <c r="AL136" s="175">
        <v>0.03822049902398062</v>
      </c>
      <c r="AM136" s="175">
        <v>1</v>
      </c>
      <c r="AN136" s="175">
        <v>6052</v>
      </c>
      <c r="AO136" s="175">
        <v>0</v>
      </c>
      <c r="AP136" s="175">
        <v>3</v>
      </c>
      <c r="AQ136" s="175">
        <v>735</v>
      </c>
      <c r="AR136" s="175">
        <v>819.76</v>
      </c>
      <c r="AS136" s="175">
        <v>18.16507270420611</v>
      </c>
      <c r="AT136" s="175">
        <v>0.9991989812796308</v>
      </c>
      <c r="AU136" s="175">
        <v>741</v>
      </c>
      <c r="AV136" s="175">
        <v>4385</v>
      </c>
      <c r="AW136" s="175">
        <v>0.16898517673888255</v>
      </c>
      <c r="AX136" s="175">
        <v>0.11352394300939755</v>
      </c>
      <c r="AY136" s="175">
        <v>0</v>
      </c>
      <c r="AZ136" s="207">
        <v>4881</v>
      </c>
      <c r="BA136" s="175">
        <v>6037</v>
      </c>
      <c r="BB136" s="175">
        <v>0.8085141626635747</v>
      </c>
      <c r="BC136" s="175">
        <v>0.4188193152398628</v>
      </c>
      <c r="BD136" s="175">
        <v>0</v>
      </c>
      <c r="BE136" s="175">
        <v>0</v>
      </c>
      <c r="BF136" s="207">
        <v>-95186.34999999999</v>
      </c>
      <c r="BG136" s="207">
        <v>-116456.2</v>
      </c>
      <c r="BH136" s="207">
        <v>-61053.09999999999</v>
      </c>
      <c r="BI136" s="207">
        <v>-251919.5</v>
      </c>
      <c r="BJ136" s="207">
        <v>0</v>
      </c>
      <c r="BK136" s="207">
        <v>0</v>
      </c>
      <c r="BL136" s="207">
        <v>195042</v>
      </c>
      <c r="BM136" s="207">
        <v>-842504.3541706363</v>
      </c>
      <c r="BN136" s="207">
        <v>-633760.9600000001</v>
      </c>
      <c r="BO136" s="207">
        <v>298338.15703547</v>
      </c>
      <c r="BP136" s="207">
        <v>1210696</v>
      </c>
      <c r="BQ136" s="207">
        <v>410614</v>
      </c>
      <c r="BR136" s="207">
        <v>925084.892934011</v>
      </c>
      <c r="BS136" s="207">
        <v>34547.96240556766</v>
      </c>
      <c r="BT136" s="207">
        <v>125012.20418803902</v>
      </c>
      <c r="BU136" s="207">
        <v>361109.1862352993</v>
      </c>
      <c r="BV136" s="207">
        <v>740508.550524073</v>
      </c>
      <c r="BW136" s="207">
        <v>1231942.1627163913</v>
      </c>
      <c r="BX136" s="207">
        <v>383704.22232368414</v>
      </c>
      <c r="BY136" s="207">
        <v>648453.9828344403</v>
      </c>
      <c r="BZ136" s="207">
        <v>1340.19</v>
      </c>
      <c r="CA136" s="207">
        <v>-195108.0074741348</v>
      </c>
      <c r="CB136" s="207">
        <v>299612.3395613352</v>
      </c>
      <c r="CC136" s="207">
        <v>-2157826.184609301</v>
      </c>
      <c r="CD136" s="207">
        <v>0</v>
      </c>
      <c r="CE136" s="207">
        <v>821010.1203586147</v>
      </c>
      <c r="CF136" s="207">
        <v>0</v>
      </c>
      <c r="CG136" s="207">
        <v>1236959.0323232084</v>
      </c>
      <c r="CH136" s="207">
        <v>-1025749</v>
      </c>
      <c r="CI136" s="207">
        <v>946455.7925</v>
      </c>
      <c r="CJ136" s="207">
        <v>330433.71496</v>
      </c>
      <c r="CK136" s="207">
        <v>616022.07754</v>
      </c>
      <c r="CL136" s="207">
        <v>20838582.196438223</v>
      </c>
      <c r="CM136" s="207">
        <v>24286695.417760834</v>
      </c>
      <c r="CN136" s="207">
        <v>15085</v>
      </c>
    </row>
    <row r="137" spans="1:92" ht="9.75">
      <c r="A137" s="207">
        <v>435</v>
      </c>
      <c r="B137" s="207" t="s">
        <v>194</v>
      </c>
      <c r="C137" s="207">
        <v>707</v>
      </c>
      <c r="D137" s="207">
        <v>2737396.08</v>
      </c>
      <c r="E137" s="207">
        <v>1279388.3975471724</v>
      </c>
      <c r="F137" s="207">
        <v>355235.5938178098</v>
      </c>
      <c r="G137" s="207">
        <v>4372020.071364982</v>
      </c>
      <c r="H137" s="207">
        <v>3654.72</v>
      </c>
      <c r="I137" s="207">
        <v>2583887.04</v>
      </c>
      <c r="J137" s="207">
        <v>1788133.031364982</v>
      </c>
      <c r="K137" s="207">
        <v>79881.56303071711</v>
      </c>
      <c r="L137" s="207">
        <v>127825.07779473157</v>
      </c>
      <c r="M137" s="207">
        <v>0</v>
      </c>
      <c r="N137" s="207">
        <v>1995839.6721904308</v>
      </c>
      <c r="O137" s="207">
        <v>524270.7816291197</v>
      </c>
      <c r="P137" s="207">
        <v>2520110.4538195506</v>
      </c>
      <c r="Q137" s="207">
        <v>22</v>
      </c>
      <c r="R137" s="207">
        <v>6</v>
      </c>
      <c r="S137" s="207">
        <v>28</v>
      </c>
      <c r="T137" s="207">
        <v>15</v>
      </c>
      <c r="U137" s="207">
        <v>17</v>
      </c>
      <c r="V137" s="207">
        <v>321</v>
      </c>
      <c r="W137" s="207">
        <v>157</v>
      </c>
      <c r="X137" s="207">
        <v>99</v>
      </c>
      <c r="Y137" s="207">
        <v>42</v>
      </c>
      <c r="Z137" s="207">
        <v>0</v>
      </c>
      <c r="AA137" s="207">
        <v>0</v>
      </c>
      <c r="AB137" s="207">
        <v>703</v>
      </c>
      <c r="AC137" s="207">
        <v>4</v>
      </c>
      <c r="AD137" s="207">
        <v>298</v>
      </c>
      <c r="AE137" s="480">
        <v>1.5361644260129392</v>
      </c>
      <c r="AF137" s="207">
        <v>1279388.3975471724</v>
      </c>
      <c r="AG137" s="175">
        <v>27</v>
      </c>
      <c r="AH137" s="175">
        <v>281</v>
      </c>
      <c r="AI137" s="175">
        <v>0.9848762918053268</v>
      </c>
      <c r="AJ137" s="175">
        <v>4</v>
      </c>
      <c r="AK137" s="175">
        <v>0.005657708628005658</v>
      </c>
      <c r="AL137" s="175">
        <v>0.0023766295175426614</v>
      </c>
      <c r="AM137" s="175">
        <v>0</v>
      </c>
      <c r="AN137" s="175">
        <v>0</v>
      </c>
      <c r="AO137" s="175">
        <v>0</v>
      </c>
      <c r="AP137" s="175">
        <v>3</v>
      </c>
      <c r="AQ137" s="175">
        <v>326</v>
      </c>
      <c r="AR137" s="175">
        <v>214.5</v>
      </c>
      <c r="AS137" s="175">
        <v>3.296037296037296</v>
      </c>
      <c r="AT137" s="175">
        <v>5.506770861705624</v>
      </c>
      <c r="AU137" s="175">
        <v>30</v>
      </c>
      <c r="AV137" s="175">
        <v>153</v>
      </c>
      <c r="AW137" s="175">
        <v>0.19607843137254902</v>
      </c>
      <c r="AX137" s="175">
        <v>0.14061719764306402</v>
      </c>
      <c r="AY137" s="175">
        <v>0.4291333333333333</v>
      </c>
      <c r="AZ137" s="207">
        <v>167</v>
      </c>
      <c r="BA137" s="175">
        <v>238</v>
      </c>
      <c r="BB137" s="175">
        <v>0.7016806722689075</v>
      </c>
      <c r="BC137" s="175">
        <v>0.31198582484519566</v>
      </c>
      <c r="BD137" s="175">
        <v>0</v>
      </c>
      <c r="BE137" s="175">
        <v>0</v>
      </c>
      <c r="BF137" s="207">
        <v>-4631.54</v>
      </c>
      <c r="BG137" s="207">
        <v>-5666.48</v>
      </c>
      <c r="BH137" s="207">
        <v>-2898.7</v>
      </c>
      <c r="BI137" s="207">
        <v>-12257.8</v>
      </c>
      <c r="BJ137" s="207">
        <v>0</v>
      </c>
      <c r="BK137" s="207">
        <v>0</v>
      </c>
      <c r="BL137" s="207">
        <v>-1935</v>
      </c>
      <c r="BM137" s="207">
        <v>-4407.639355879914</v>
      </c>
      <c r="BN137" s="207">
        <v>-30089.920000000002</v>
      </c>
      <c r="BO137" s="207">
        <v>215879.84020721586</v>
      </c>
      <c r="BP137" s="207">
        <v>102847</v>
      </c>
      <c r="BQ137" s="207">
        <v>28760</v>
      </c>
      <c r="BR137" s="207">
        <v>66423.33783439497</v>
      </c>
      <c r="BS137" s="207">
        <v>3815.7005838035793</v>
      </c>
      <c r="BT137" s="207">
        <v>10995.240063434358</v>
      </c>
      <c r="BU137" s="207">
        <v>27136.50793780879</v>
      </c>
      <c r="BV137" s="207">
        <v>33965.03785684048</v>
      </c>
      <c r="BW137" s="207">
        <v>51871.14596685789</v>
      </c>
      <c r="BX137" s="207">
        <v>18718.73228490653</v>
      </c>
      <c r="BY137" s="207">
        <v>34500.188558972826</v>
      </c>
      <c r="BZ137" s="207">
        <v>63.629999999999995</v>
      </c>
      <c r="CA137" s="207">
        <v>-4554.693056604385</v>
      </c>
      <c r="CB137" s="207">
        <v>209453.77715061148</v>
      </c>
      <c r="CC137" s="207">
        <v>127825.07779473157</v>
      </c>
      <c r="CD137" s="207">
        <v>0</v>
      </c>
      <c r="CE137" s="207">
        <v>48143.32354880414</v>
      </c>
      <c r="CF137" s="207">
        <v>76582.8310426264</v>
      </c>
      <c r="CG137" s="207">
        <v>524270.7816291197</v>
      </c>
      <c r="CH137" s="207">
        <v>-175171</v>
      </c>
      <c r="CI137" s="207">
        <v>103447.44820000001</v>
      </c>
      <c r="CJ137" s="207">
        <v>163123.44000000003</v>
      </c>
      <c r="CK137" s="207">
        <v>-59675.99180000002</v>
      </c>
      <c r="CL137" s="207">
        <v>2344939.4538195506</v>
      </c>
      <c r="CM137" s="207">
        <v>2847123.956556869</v>
      </c>
      <c r="CN137" s="207">
        <v>734</v>
      </c>
    </row>
    <row r="138" spans="1:92" ht="9.75">
      <c r="A138" s="207">
        <v>436</v>
      </c>
      <c r="B138" s="207" t="s">
        <v>195</v>
      </c>
      <c r="C138" s="207">
        <v>2052</v>
      </c>
      <c r="D138" s="207">
        <v>8859620.26</v>
      </c>
      <c r="E138" s="207">
        <v>2054248.549763215</v>
      </c>
      <c r="F138" s="207">
        <v>391037.94834528875</v>
      </c>
      <c r="G138" s="207">
        <v>11304906.758108504</v>
      </c>
      <c r="H138" s="207">
        <v>3654.72</v>
      </c>
      <c r="I138" s="207">
        <v>7499485.4399999995</v>
      </c>
      <c r="J138" s="207">
        <v>3805421.3181085046</v>
      </c>
      <c r="K138" s="207">
        <v>34303.558951783576</v>
      </c>
      <c r="L138" s="207">
        <v>-205755.69759170007</v>
      </c>
      <c r="M138" s="207">
        <v>0</v>
      </c>
      <c r="N138" s="207">
        <v>3633969.179468588</v>
      </c>
      <c r="O138" s="207">
        <v>2100755.980031377</v>
      </c>
      <c r="P138" s="207">
        <v>5734725.159499966</v>
      </c>
      <c r="Q138" s="207">
        <v>194</v>
      </c>
      <c r="R138" s="207">
        <v>39</v>
      </c>
      <c r="S138" s="207">
        <v>268</v>
      </c>
      <c r="T138" s="207">
        <v>130</v>
      </c>
      <c r="U138" s="207">
        <v>91</v>
      </c>
      <c r="V138" s="207">
        <v>968</v>
      </c>
      <c r="W138" s="207">
        <v>215</v>
      </c>
      <c r="X138" s="207">
        <v>110</v>
      </c>
      <c r="Y138" s="207">
        <v>37</v>
      </c>
      <c r="Z138" s="207">
        <v>3</v>
      </c>
      <c r="AA138" s="207">
        <v>0</v>
      </c>
      <c r="AB138" s="207">
        <v>2031</v>
      </c>
      <c r="AC138" s="207">
        <v>18</v>
      </c>
      <c r="AD138" s="207">
        <v>362</v>
      </c>
      <c r="AE138" s="480">
        <v>0.8498266421774173</v>
      </c>
      <c r="AF138" s="207">
        <v>2054248.549763215</v>
      </c>
      <c r="AG138" s="175">
        <v>78</v>
      </c>
      <c r="AH138" s="175">
        <v>821</v>
      </c>
      <c r="AI138" s="175">
        <v>0.9738132613249043</v>
      </c>
      <c r="AJ138" s="175">
        <v>18</v>
      </c>
      <c r="AK138" s="175">
        <v>0.008771929824561403</v>
      </c>
      <c r="AL138" s="175">
        <v>0.0054908507140984065</v>
      </c>
      <c r="AM138" s="175">
        <v>0</v>
      </c>
      <c r="AN138" s="175">
        <v>3</v>
      </c>
      <c r="AO138" s="175">
        <v>0</v>
      </c>
      <c r="AP138" s="175">
        <v>0</v>
      </c>
      <c r="AQ138" s="175">
        <v>0</v>
      </c>
      <c r="AR138" s="175">
        <v>213.87</v>
      </c>
      <c r="AS138" s="175">
        <v>9.594613550287558</v>
      </c>
      <c r="AT138" s="175">
        <v>1.8917408237217839</v>
      </c>
      <c r="AU138" s="175">
        <v>51</v>
      </c>
      <c r="AV138" s="175">
        <v>550</v>
      </c>
      <c r="AW138" s="175">
        <v>0.09272727272727273</v>
      </c>
      <c r="AX138" s="175">
        <v>0.03726603899778772</v>
      </c>
      <c r="AY138" s="175">
        <v>0</v>
      </c>
      <c r="AZ138" s="207">
        <v>478</v>
      </c>
      <c r="BA138" s="175">
        <v>741</v>
      </c>
      <c r="BB138" s="175">
        <v>0.6450742240215924</v>
      </c>
      <c r="BC138" s="175">
        <v>0.25537937659788057</v>
      </c>
      <c r="BD138" s="175">
        <v>0</v>
      </c>
      <c r="BE138" s="175">
        <v>0</v>
      </c>
      <c r="BF138" s="207">
        <v>-13131.109999999999</v>
      </c>
      <c r="BG138" s="207">
        <v>-16065.32</v>
      </c>
      <c r="BH138" s="207">
        <v>-8413.199999999999</v>
      </c>
      <c r="BI138" s="207">
        <v>-34752.7</v>
      </c>
      <c r="BJ138" s="207">
        <v>0</v>
      </c>
      <c r="BK138" s="207">
        <v>0</v>
      </c>
      <c r="BL138" s="207">
        <v>27057</v>
      </c>
      <c r="BM138" s="207">
        <v>-17238.42060772748</v>
      </c>
      <c r="BN138" s="207">
        <v>-87333.12000000001</v>
      </c>
      <c r="BO138" s="207">
        <v>-8187.144025707617</v>
      </c>
      <c r="BP138" s="207">
        <v>152295</v>
      </c>
      <c r="BQ138" s="207">
        <v>45371</v>
      </c>
      <c r="BR138" s="207">
        <v>119780.92998940397</v>
      </c>
      <c r="BS138" s="207">
        <v>4609.6513827783165</v>
      </c>
      <c r="BT138" s="207">
        <v>6310.905657128428</v>
      </c>
      <c r="BU138" s="207">
        <v>59475.10213118984</v>
      </c>
      <c r="BV138" s="207">
        <v>96539.81285947633</v>
      </c>
      <c r="BW138" s="207">
        <v>158323.6257132645</v>
      </c>
      <c r="BX138" s="207">
        <v>36220.49153380224</v>
      </c>
      <c r="BY138" s="207">
        <v>79665.9346530349</v>
      </c>
      <c r="BZ138" s="207">
        <v>184.68</v>
      </c>
      <c r="CA138" s="207">
        <v>15037.957041734993</v>
      </c>
      <c r="CB138" s="207">
        <v>34092.49301602738</v>
      </c>
      <c r="CC138" s="207">
        <v>-205755.69759170007</v>
      </c>
      <c r="CD138" s="207">
        <v>0</v>
      </c>
      <c r="CE138" s="207">
        <v>107837.55725778629</v>
      </c>
      <c r="CF138" s="207">
        <v>0</v>
      </c>
      <c r="CG138" s="207">
        <v>2100755.980031377</v>
      </c>
      <c r="CH138" s="207">
        <v>-378965</v>
      </c>
      <c r="CI138" s="207">
        <v>31265.326</v>
      </c>
      <c r="CJ138" s="207">
        <v>148836.54538</v>
      </c>
      <c r="CK138" s="207">
        <v>-117571.21938</v>
      </c>
      <c r="CL138" s="207">
        <v>5355760.159499966</v>
      </c>
      <c r="CM138" s="207">
        <v>6048315.964198585</v>
      </c>
      <c r="CN138" s="207">
        <v>2081</v>
      </c>
    </row>
    <row r="139" spans="1:92" ht="9.75">
      <c r="A139" s="207">
        <v>440</v>
      </c>
      <c r="B139" s="207" t="s">
        <v>196</v>
      </c>
      <c r="C139" s="207">
        <v>5340</v>
      </c>
      <c r="D139" s="207">
        <v>22834885.690000005</v>
      </c>
      <c r="E139" s="207">
        <v>3885425.517569397</v>
      </c>
      <c r="F139" s="207">
        <v>2484104.860352945</v>
      </c>
      <c r="G139" s="207">
        <v>29204416.067922346</v>
      </c>
      <c r="H139" s="207">
        <v>3654.72</v>
      </c>
      <c r="I139" s="207">
        <v>19516204.8</v>
      </c>
      <c r="J139" s="207">
        <v>9688211.267922346</v>
      </c>
      <c r="K139" s="207">
        <v>31794.247761611674</v>
      </c>
      <c r="L139" s="207">
        <v>-658249.6501871622</v>
      </c>
      <c r="M139" s="207">
        <v>0</v>
      </c>
      <c r="N139" s="207">
        <v>9061755.865496794</v>
      </c>
      <c r="O139" s="207">
        <v>4323896.352725609</v>
      </c>
      <c r="P139" s="207">
        <v>13385652.218222402</v>
      </c>
      <c r="Q139" s="207">
        <v>643</v>
      </c>
      <c r="R139" s="207">
        <v>104</v>
      </c>
      <c r="S139" s="207">
        <v>623</v>
      </c>
      <c r="T139" s="207">
        <v>290</v>
      </c>
      <c r="U139" s="207">
        <v>258</v>
      </c>
      <c r="V139" s="207">
        <v>2652</v>
      </c>
      <c r="W139" s="207">
        <v>450</v>
      </c>
      <c r="X139" s="207">
        <v>215</v>
      </c>
      <c r="Y139" s="207">
        <v>105</v>
      </c>
      <c r="Z139" s="207">
        <v>4915</v>
      </c>
      <c r="AA139" s="207">
        <v>0</v>
      </c>
      <c r="AB139" s="207">
        <v>308</v>
      </c>
      <c r="AC139" s="207">
        <v>117</v>
      </c>
      <c r="AD139" s="207">
        <v>770</v>
      </c>
      <c r="AE139" s="480">
        <v>0.6176636458622494</v>
      </c>
      <c r="AF139" s="207">
        <v>3885425.517569397</v>
      </c>
      <c r="AG139" s="175">
        <v>61</v>
      </c>
      <c r="AH139" s="175">
        <v>2305</v>
      </c>
      <c r="AI139" s="175">
        <v>0.2712583677646839</v>
      </c>
      <c r="AJ139" s="175">
        <v>117</v>
      </c>
      <c r="AK139" s="175">
        <v>0.021910112359550562</v>
      </c>
      <c r="AL139" s="175">
        <v>0.018629033249087566</v>
      </c>
      <c r="AM139" s="175">
        <v>3</v>
      </c>
      <c r="AN139" s="175">
        <v>4915</v>
      </c>
      <c r="AO139" s="175">
        <v>0</v>
      </c>
      <c r="AP139" s="175">
        <v>3</v>
      </c>
      <c r="AQ139" s="175">
        <v>2061</v>
      </c>
      <c r="AR139" s="175">
        <v>142.45</v>
      </c>
      <c r="AS139" s="175">
        <v>37.48683748683749</v>
      </c>
      <c r="AT139" s="175">
        <v>0.4841838724668692</v>
      </c>
      <c r="AU139" s="175">
        <v>124</v>
      </c>
      <c r="AV139" s="175">
        <v>1413</v>
      </c>
      <c r="AW139" s="175">
        <v>0.08775654635527247</v>
      </c>
      <c r="AX139" s="175">
        <v>0.03229531262578746</v>
      </c>
      <c r="AY139" s="175">
        <v>0</v>
      </c>
      <c r="AZ139" s="207">
        <v>1093</v>
      </c>
      <c r="BA139" s="175">
        <v>2274</v>
      </c>
      <c r="BB139" s="175">
        <v>0.480650835532102</v>
      </c>
      <c r="BC139" s="175">
        <v>0.09095598810839017</v>
      </c>
      <c r="BD139" s="175">
        <v>0</v>
      </c>
      <c r="BE139" s="175">
        <v>0</v>
      </c>
      <c r="BF139" s="207">
        <v>-33215.84</v>
      </c>
      <c r="BG139" s="207">
        <v>-40638.08</v>
      </c>
      <c r="BH139" s="207">
        <v>-21893.999999999996</v>
      </c>
      <c r="BI139" s="207">
        <v>-87908.8</v>
      </c>
      <c r="BJ139" s="207">
        <v>0</v>
      </c>
      <c r="BK139" s="207">
        <v>0</v>
      </c>
      <c r="BL139" s="207">
        <v>-43352</v>
      </c>
      <c r="BM139" s="207">
        <v>-47124.56000826012</v>
      </c>
      <c r="BN139" s="207">
        <v>-227270.40000000002</v>
      </c>
      <c r="BO139" s="207">
        <v>14361.762467931956</v>
      </c>
      <c r="BP139" s="207">
        <v>333918</v>
      </c>
      <c r="BQ139" s="207">
        <v>115068</v>
      </c>
      <c r="BR139" s="207">
        <v>264249.4247212743</v>
      </c>
      <c r="BS139" s="207">
        <v>8620.971730934089</v>
      </c>
      <c r="BT139" s="207">
        <v>32415.934720927144</v>
      </c>
      <c r="BU139" s="207">
        <v>138524.35282339575</v>
      </c>
      <c r="BV139" s="207">
        <v>269394.57623006677</v>
      </c>
      <c r="BW139" s="207">
        <v>333512.1917080896</v>
      </c>
      <c r="BX139" s="207">
        <v>102423.60818471834</v>
      </c>
      <c r="BY139" s="207">
        <v>201379.02455617866</v>
      </c>
      <c r="BZ139" s="207">
        <v>480.59999999999997</v>
      </c>
      <c r="CA139" s="207">
        <v>-7963.932646833914</v>
      </c>
      <c r="CB139" s="207">
        <v>-36473.57017890196</v>
      </c>
      <c r="CC139" s="207">
        <v>-658249.6501871622</v>
      </c>
      <c r="CD139" s="207">
        <v>0</v>
      </c>
      <c r="CE139" s="207">
        <v>249972.51896339984</v>
      </c>
      <c r="CF139" s="207">
        <v>0</v>
      </c>
      <c r="CG139" s="207">
        <v>4323896.352725609</v>
      </c>
      <c r="CH139" s="207">
        <v>-1245789</v>
      </c>
      <c r="CI139" s="207">
        <v>32624.688000000002</v>
      </c>
      <c r="CJ139" s="207">
        <v>219129.1544</v>
      </c>
      <c r="CK139" s="207">
        <v>-186504.4664</v>
      </c>
      <c r="CL139" s="207">
        <v>12139863.218222402</v>
      </c>
      <c r="CM139" s="207">
        <v>12914917.305437827</v>
      </c>
      <c r="CN139" s="207">
        <v>5264</v>
      </c>
    </row>
    <row r="140" spans="1:92" ht="9.75">
      <c r="A140" s="207">
        <v>441</v>
      </c>
      <c r="B140" s="207" t="s">
        <v>197</v>
      </c>
      <c r="C140" s="207">
        <v>4662</v>
      </c>
      <c r="D140" s="207">
        <v>17494009.12</v>
      </c>
      <c r="E140" s="207">
        <v>6574850.899954112</v>
      </c>
      <c r="F140" s="207">
        <v>1362142.9824426214</v>
      </c>
      <c r="G140" s="207">
        <v>25431003.002396736</v>
      </c>
      <c r="H140" s="207">
        <v>3654.72</v>
      </c>
      <c r="I140" s="207">
        <v>17038304.64</v>
      </c>
      <c r="J140" s="207">
        <v>8392698.362396736</v>
      </c>
      <c r="K140" s="207">
        <v>399575.03053474973</v>
      </c>
      <c r="L140" s="207">
        <v>-564591.2377711077</v>
      </c>
      <c r="M140" s="207">
        <v>0</v>
      </c>
      <c r="N140" s="207">
        <v>8227682.155160378</v>
      </c>
      <c r="O140" s="207">
        <v>2549949.370924681</v>
      </c>
      <c r="P140" s="207">
        <v>10777631.526085058</v>
      </c>
      <c r="Q140" s="207">
        <v>180</v>
      </c>
      <c r="R140" s="207">
        <v>38</v>
      </c>
      <c r="S140" s="207">
        <v>273</v>
      </c>
      <c r="T140" s="207">
        <v>136</v>
      </c>
      <c r="U140" s="207">
        <v>146</v>
      </c>
      <c r="V140" s="207">
        <v>2331</v>
      </c>
      <c r="W140" s="207">
        <v>849</v>
      </c>
      <c r="X140" s="207">
        <v>485</v>
      </c>
      <c r="Y140" s="207">
        <v>224</v>
      </c>
      <c r="Z140" s="207">
        <v>16</v>
      </c>
      <c r="AA140" s="207">
        <v>0</v>
      </c>
      <c r="AB140" s="207">
        <v>4489</v>
      </c>
      <c r="AC140" s="207">
        <v>157</v>
      </c>
      <c r="AD140" s="207">
        <v>1558</v>
      </c>
      <c r="AE140" s="480">
        <v>1.1972045232148434</v>
      </c>
      <c r="AF140" s="207">
        <v>6574850.899954112</v>
      </c>
      <c r="AG140" s="175">
        <v>187</v>
      </c>
      <c r="AH140" s="175">
        <v>2059</v>
      </c>
      <c r="AI140" s="175">
        <v>0.9309138651537874</v>
      </c>
      <c r="AJ140" s="175">
        <v>157</v>
      </c>
      <c r="AK140" s="175">
        <v>0.03367653367653368</v>
      </c>
      <c r="AL140" s="175">
        <v>0.030395454566070682</v>
      </c>
      <c r="AM140" s="175">
        <v>0</v>
      </c>
      <c r="AN140" s="175">
        <v>16</v>
      </c>
      <c r="AO140" s="175">
        <v>0</v>
      </c>
      <c r="AP140" s="175">
        <v>0</v>
      </c>
      <c r="AQ140" s="175">
        <v>0</v>
      </c>
      <c r="AR140" s="175">
        <v>750.06</v>
      </c>
      <c r="AS140" s="175">
        <v>6.215502759779218</v>
      </c>
      <c r="AT140" s="175">
        <v>2.920201766841127</v>
      </c>
      <c r="AU140" s="175">
        <v>158</v>
      </c>
      <c r="AV140" s="175">
        <v>1214</v>
      </c>
      <c r="AW140" s="175">
        <v>0.1301482701812191</v>
      </c>
      <c r="AX140" s="175">
        <v>0.0746870364517341</v>
      </c>
      <c r="AY140" s="175">
        <v>0.2786</v>
      </c>
      <c r="AZ140" s="207">
        <v>1373</v>
      </c>
      <c r="BA140" s="175">
        <v>1758</v>
      </c>
      <c r="BB140" s="175">
        <v>0.7810011376564278</v>
      </c>
      <c r="BC140" s="175">
        <v>0.3913062902327159</v>
      </c>
      <c r="BD140" s="175">
        <v>0</v>
      </c>
      <c r="BE140" s="175">
        <v>0</v>
      </c>
      <c r="BF140" s="207">
        <v>-29953.57</v>
      </c>
      <c r="BG140" s="207">
        <v>-36646.84</v>
      </c>
      <c r="BH140" s="207">
        <v>-19114.199999999997</v>
      </c>
      <c r="BI140" s="207">
        <v>-79274.9</v>
      </c>
      <c r="BJ140" s="207">
        <v>0</v>
      </c>
      <c r="BK140" s="207">
        <v>0</v>
      </c>
      <c r="BL140" s="207">
        <v>97180</v>
      </c>
      <c r="BM140" s="207">
        <v>-150702.19715113463</v>
      </c>
      <c r="BN140" s="207">
        <v>-198414.72</v>
      </c>
      <c r="BO140" s="207">
        <v>-3537.7496837247163</v>
      </c>
      <c r="BP140" s="207">
        <v>440971</v>
      </c>
      <c r="BQ140" s="207">
        <v>142817</v>
      </c>
      <c r="BR140" s="207">
        <v>344336.52454953437</v>
      </c>
      <c r="BS140" s="207">
        <v>17832.943227524513</v>
      </c>
      <c r="BT140" s="207">
        <v>59729.45641819508</v>
      </c>
      <c r="BU140" s="207">
        <v>158241.6708336102</v>
      </c>
      <c r="BV140" s="207">
        <v>262569.6459401098</v>
      </c>
      <c r="BW140" s="207">
        <v>409634.62053091574</v>
      </c>
      <c r="BX140" s="207">
        <v>124770.503660501</v>
      </c>
      <c r="BY140" s="207">
        <v>219985.4825288346</v>
      </c>
      <c r="BZ140" s="207">
        <v>419.58</v>
      </c>
      <c r="CA140" s="207">
        <v>-1609.7209362484864</v>
      </c>
      <c r="CB140" s="207">
        <v>92452.1093800268</v>
      </c>
      <c r="CC140" s="207">
        <v>-564591.2377711077</v>
      </c>
      <c r="CD140" s="207">
        <v>0</v>
      </c>
      <c r="CE140" s="207">
        <v>302548.0451029629</v>
      </c>
      <c r="CF140" s="207">
        <v>0</v>
      </c>
      <c r="CG140" s="207">
        <v>2549949.370924681</v>
      </c>
      <c r="CH140" s="207">
        <v>-569371</v>
      </c>
      <c r="CI140" s="207">
        <v>13593.62</v>
      </c>
      <c r="CJ140" s="207">
        <v>143915.65493999998</v>
      </c>
      <c r="CK140" s="207">
        <v>-130322.03493999998</v>
      </c>
      <c r="CL140" s="207">
        <v>10208260.526085058</v>
      </c>
      <c r="CM140" s="207">
        <v>11764554.753040321</v>
      </c>
      <c r="CN140" s="207">
        <v>4747</v>
      </c>
    </row>
    <row r="141" spans="1:92" ht="9.75">
      <c r="A141" s="207">
        <v>475</v>
      </c>
      <c r="B141" s="207" t="s">
        <v>198</v>
      </c>
      <c r="C141" s="207">
        <v>5477</v>
      </c>
      <c r="D141" s="207">
        <v>20371374.459999997</v>
      </c>
      <c r="E141" s="207">
        <v>5987935.629781651</v>
      </c>
      <c r="F141" s="207">
        <v>4759868.1227529375</v>
      </c>
      <c r="G141" s="207">
        <v>31119178.212534588</v>
      </c>
      <c r="H141" s="207">
        <v>3654.72</v>
      </c>
      <c r="I141" s="207">
        <v>20016901.439999998</v>
      </c>
      <c r="J141" s="207">
        <v>11102276.77253459</v>
      </c>
      <c r="K141" s="207">
        <v>131726.23729691352</v>
      </c>
      <c r="L141" s="207">
        <v>-672006.2040927913</v>
      </c>
      <c r="M141" s="207">
        <v>0</v>
      </c>
      <c r="N141" s="207">
        <v>10561996.805738712</v>
      </c>
      <c r="O141" s="207">
        <v>3029867.843873159</v>
      </c>
      <c r="P141" s="207">
        <v>13591864.649611872</v>
      </c>
      <c r="Q141" s="207">
        <v>309</v>
      </c>
      <c r="R141" s="207">
        <v>50</v>
      </c>
      <c r="S141" s="207">
        <v>373</v>
      </c>
      <c r="T141" s="207">
        <v>142</v>
      </c>
      <c r="U141" s="207">
        <v>166</v>
      </c>
      <c r="V141" s="207">
        <v>2912</v>
      </c>
      <c r="W141" s="207">
        <v>788</v>
      </c>
      <c r="X141" s="207">
        <v>504</v>
      </c>
      <c r="Y141" s="207">
        <v>233</v>
      </c>
      <c r="Z141" s="207">
        <v>4669</v>
      </c>
      <c r="AA141" s="207">
        <v>0</v>
      </c>
      <c r="AB141" s="207">
        <v>534</v>
      </c>
      <c r="AC141" s="207">
        <v>274</v>
      </c>
      <c r="AD141" s="207">
        <v>1525</v>
      </c>
      <c r="AE141" s="480">
        <v>0.928087859584695</v>
      </c>
      <c r="AF141" s="207">
        <v>5987935.629781651</v>
      </c>
      <c r="AG141" s="175">
        <v>142</v>
      </c>
      <c r="AH141" s="175">
        <v>2599</v>
      </c>
      <c r="AI141" s="175">
        <v>0.5600235674064975</v>
      </c>
      <c r="AJ141" s="175">
        <v>274</v>
      </c>
      <c r="AK141" s="175">
        <v>0.050027387255796966</v>
      </c>
      <c r="AL141" s="175">
        <v>0.04674630814533397</v>
      </c>
      <c r="AM141" s="175">
        <v>3</v>
      </c>
      <c r="AN141" s="175">
        <v>4669</v>
      </c>
      <c r="AO141" s="175">
        <v>0</v>
      </c>
      <c r="AP141" s="175">
        <v>1</v>
      </c>
      <c r="AQ141" s="175">
        <v>0</v>
      </c>
      <c r="AR141" s="175">
        <v>521.75</v>
      </c>
      <c r="AS141" s="175">
        <v>10.497364638236704</v>
      </c>
      <c r="AT141" s="175">
        <v>1.7290551263504563</v>
      </c>
      <c r="AU141" s="175">
        <v>183</v>
      </c>
      <c r="AV141" s="175">
        <v>1589</v>
      </c>
      <c r="AW141" s="175">
        <v>0.11516677155443675</v>
      </c>
      <c r="AX141" s="175">
        <v>0.05970553782495174</v>
      </c>
      <c r="AY141" s="175">
        <v>0</v>
      </c>
      <c r="AZ141" s="207">
        <v>1811</v>
      </c>
      <c r="BA141" s="175">
        <v>2392</v>
      </c>
      <c r="BB141" s="175">
        <v>0.7571070234113713</v>
      </c>
      <c r="BC141" s="175">
        <v>0.3674121759876594</v>
      </c>
      <c r="BD141" s="175">
        <v>0</v>
      </c>
      <c r="BE141" s="175">
        <v>0</v>
      </c>
      <c r="BF141" s="207">
        <v>-34559.869999999995</v>
      </c>
      <c r="BG141" s="207">
        <v>-42282.439999999995</v>
      </c>
      <c r="BH141" s="207">
        <v>-22455.699999999997</v>
      </c>
      <c r="BI141" s="207">
        <v>-91465.9</v>
      </c>
      <c r="BJ141" s="207">
        <v>0</v>
      </c>
      <c r="BK141" s="207">
        <v>0</v>
      </c>
      <c r="BL141" s="207">
        <v>-140850</v>
      </c>
      <c r="BM141" s="207">
        <v>-24920.345668064954</v>
      </c>
      <c r="BN141" s="207">
        <v>-233101.12000000002</v>
      </c>
      <c r="BO141" s="207">
        <v>102448.75923616439</v>
      </c>
      <c r="BP141" s="207">
        <v>527887</v>
      </c>
      <c r="BQ141" s="207">
        <v>179692</v>
      </c>
      <c r="BR141" s="207">
        <v>440779.18001771974</v>
      </c>
      <c r="BS141" s="207">
        <v>19590.202182369918</v>
      </c>
      <c r="BT141" s="207">
        <v>73233.53154674625</v>
      </c>
      <c r="BU141" s="207">
        <v>172456.4755134179</v>
      </c>
      <c r="BV141" s="207">
        <v>309448.79501962755</v>
      </c>
      <c r="BW141" s="207">
        <v>542673.1834396141</v>
      </c>
      <c r="BX141" s="207">
        <v>163920.23664022674</v>
      </c>
      <c r="BY141" s="207">
        <v>270575.7109624512</v>
      </c>
      <c r="BZ141" s="207">
        <v>492.93</v>
      </c>
      <c r="CA141" s="207">
        <v>-17387.697660890735</v>
      </c>
      <c r="CB141" s="207">
        <v>-55296.008424726344</v>
      </c>
      <c r="CC141" s="207">
        <v>-672006.2040927913</v>
      </c>
      <c r="CD141" s="207">
        <v>0</v>
      </c>
      <c r="CE141" s="207">
        <v>364213.62055919674</v>
      </c>
      <c r="CF141" s="207">
        <v>0</v>
      </c>
      <c r="CG141" s="207">
        <v>3029867.843873159</v>
      </c>
      <c r="CH141" s="207">
        <v>-13122</v>
      </c>
      <c r="CI141" s="207">
        <v>624015.1261</v>
      </c>
      <c r="CJ141" s="207">
        <v>181855.44835999998</v>
      </c>
      <c r="CK141" s="207">
        <v>442159.67774</v>
      </c>
      <c r="CL141" s="207">
        <v>13578742.649611872</v>
      </c>
      <c r="CM141" s="207">
        <v>16515834.849587327</v>
      </c>
      <c r="CN141" s="207">
        <v>5477</v>
      </c>
    </row>
    <row r="142" spans="1:92" ht="9.75">
      <c r="A142" s="207">
        <v>480</v>
      </c>
      <c r="B142" s="207" t="s">
        <v>199</v>
      </c>
      <c r="C142" s="207">
        <v>2018</v>
      </c>
      <c r="D142" s="207">
        <v>7232208.48</v>
      </c>
      <c r="E142" s="207">
        <v>2401806.584194381</v>
      </c>
      <c r="F142" s="207">
        <v>448578.32714769914</v>
      </c>
      <c r="G142" s="207">
        <v>10082593.391342081</v>
      </c>
      <c r="H142" s="207">
        <v>3654.72</v>
      </c>
      <c r="I142" s="207">
        <v>7375224.96</v>
      </c>
      <c r="J142" s="207">
        <v>2707368.431342081</v>
      </c>
      <c r="K142" s="207">
        <v>34238.358647586814</v>
      </c>
      <c r="L142" s="207">
        <v>-292502.401005468</v>
      </c>
      <c r="M142" s="207">
        <v>0</v>
      </c>
      <c r="N142" s="207">
        <v>2449104.3889842</v>
      </c>
      <c r="O142" s="207">
        <v>1327374.3408874974</v>
      </c>
      <c r="P142" s="207">
        <v>3776478.7298716977</v>
      </c>
      <c r="Q142" s="207">
        <v>110</v>
      </c>
      <c r="R142" s="207">
        <v>38</v>
      </c>
      <c r="S142" s="207">
        <v>141</v>
      </c>
      <c r="T142" s="207">
        <v>54</v>
      </c>
      <c r="U142" s="207">
        <v>59</v>
      </c>
      <c r="V142" s="207">
        <v>1072</v>
      </c>
      <c r="W142" s="207">
        <v>313</v>
      </c>
      <c r="X142" s="207">
        <v>165</v>
      </c>
      <c r="Y142" s="207">
        <v>66</v>
      </c>
      <c r="Z142" s="207">
        <v>21</v>
      </c>
      <c r="AA142" s="207">
        <v>0</v>
      </c>
      <c r="AB142" s="207">
        <v>1947</v>
      </c>
      <c r="AC142" s="207">
        <v>50</v>
      </c>
      <c r="AD142" s="207">
        <v>544</v>
      </c>
      <c r="AE142" s="480">
        <v>1.0103493785953501</v>
      </c>
      <c r="AF142" s="207">
        <v>2401806.584194381</v>
      </c>
      <c r="AG142" s="175">
        <v>63</v>
      </c>
      <c r="AH142" s="175">
        <v>886</v>
      </c>
      <c r="AI142" s="175">
        <v>0.7288380985632347</v>
      </c>
      <c r="AJ142" s="175">
        <v>50</v>
      </c>
      <c r="AK142" s="175">
        <v>0.024777006937561942</v>
      </c>
      <c r="AL142" s="175">
        <v>0.021495927827098946</v>
      </c>
      <c r="AM142" s="175">
        <v>0</v>
      </c>
      <c r="AN142" s="175">
        <v>21</v>
      </c>
      <c r="AO142" s="175">
        <v>0</v>
      </c>
      <c r="AP142" s="175">
        <v>0</v>
      </c>
      <c r="AQ142" s="175">
        <v>0</v>
      </c>
      <c r="AR142" s="175">
        <v>195.31</v>
      </c>
      <c r="AS142" s="175">
        <v>10.332292253340842</v>
      </c>
      <c r="AT142" s="175">
        <v>1.7566791275231677</v>
      </c>
      <c r="AU142" s="175">
        <v>101</v>
      </c>
      <c r="AV142" s="175">
        <v>626</v>
      </c>
      <c r="AW142" s="175">
        <v>0.16134185303514376</v>
      </c>
      <c r="AX142" s="175">
        <v>0.10588061930565876</v>
      </c>
      <c r="AY142" s="175">
        <v>0</v>
      </c>
      <c r="AZ142" s="207">
        <v>523</v>
      </c>
      <c r="BA142" s="175">
        <v>806</v>
      </c>
      <c r="BB142" s="175">
        <v>0.6488833746898263</v>
      </c>
      <c r="BC142" s="175">
        <v>0.2591885272661144</v>
      </c>
      <c r="BD142" s="175">
        <v>0</v>
      </c>
      <c r="BE142" s="175">
        <v>0</v>
      </c>
      <c r="BF142" s="207">
        <v>-12544.279999999999</v>
      </c>
      <c r="BG142" s="207">
        <v>-15347.359999999999</v>
      </c>
      <c r="BH142" s="207">
        <v>-8273.8</v>
      </c>
      <c r="BI142" s="207">
        <v>-33199.6</v>
      </c>
      <c r="BJ142" s="207">
        <v>0</v>
      </c>
      <c r="BK142" s="207">
        <v>0</v>
      </c>
      <c r="BL142" s="207">
        <v>-23633</v>
      </c>
      <c r="BM142" s="207">
        <v>-57679.77228122514</v>
      </c>
      <c r="BN142" s="207">
        <v>-85886.08</v>
      </c>
      <c r="BO142" s="207">
        <v>-2801.1581095047295</v>
      </c>
      <c r="BP142" s="207">
        <v>189435</v>
      </c>
      <c r="BQ142" s="207">
        <v>64417</v>
      </c>
      <c r="BR142" s="207">
        <v>154742.8346528901</v>
      </c>
      <c r="BS142" s="207">
        <v>7161.85268333947</v>
      </c>
      <c r="BT142" s="207">
        <v>25643.29382656168</v>
      </c>
      <c r="BU142" s="207">
        <v>61135.430983444574</v>
      </c>
      <c r="BV142" s="207">
        <v>131032.9521289443</v>
      </c>
      <c r="BW142" s="207">
        <v>184634.59575103052</v>
      </c>
      <c r="BX142" s="207">
        <v>58231.54700398651</v>
      </c>
      <c r="BY142" s="207">
        <v>97282.76340994959</v>
      </c>
      <c r="BZ142" s="207">
        <v>181.62</v>
      </c>
      <c r="CA142" s="207">
        <v>8552.909385261857</v>
      </c>
      <c r="CB142" s="207">
        <v>-17699.628724242873</v>
      </c>
      <c r="CC142" s="207">
        <v>-292502.401005468</v>
      </c>
      <c r="CD142" s="207">
        <v>0</v>
      </c>
      <c r="CE142" s="207">
        <v>134846.85780025378</v>
      </c>
      <c r="CF142" s="207">
        <v>0</v>
      </c>
      <c r="CG142" s="207">
        <v>1327374.3408874974</v>
      </c>
      <c r="CH142" s="207">
        <v>-395898</v>
      </c>
      <c r="CI142" s="207">
        <v>27187.24</v>
      </c>
      <c r="CJ142" s="207">
        <v>628025.2440000002</v>
      </c>
      <c r="CK142" s="207">
        <v>-600838.0040000002</v>
      </c>
      <c r="CL142" s="207">
        <v>3380580.7298716977</v>
      </c>
      <c r="CM142" s="207">
        <v>4448394.151073288</v>
      </c>
      <c r="CN142" s="207">
        <v>1988</v>
      </c>
    </row>
    <row r="143" spans="1:92" ht="9.75">
      <c r="A143" s="207">
        <v>481</v>
      </c>
      <c r="B143" s="207" t="s">
        <v>200</v>
      </c>
      <c r="C143" s="207">
        <v>9554</v>
      </c>
      <c r="D143" s="207">
        <v>34409722.49999999</v>
      </c>
      <c r="E143" s="207">
        <v>7877696.264989298</v>
      </c>
      <c r="F143" s="207">
        <v>958957.3529277889</v>
      </c>
      <c r="G143" s="207">
        <v>43246376.117917076</v>
      </c>
      <c r="H143" s="207">
        <v>3654.72</v>
      </c>
      <c r="I143" s="207">
        <v>34917194.879999995</v>
      </c>
      <c r="J143" s="207">
        <v>8329181.2379170805</v>
      </c>
      <c r="K143" s="207">
        <v>78486.42565277315</v>
      </c>
      <c r="L143" s="207">
        <v>-1099234.5496192712</v>
      </c>
      <c r="M143" s="207">
        <v>0</v>
      </c>
      <c r="N143" s="207">
        <v>7308433.113950583</v>
      </c>
      <c r="O143" s="207">
        <v>-69596.19396520537</v>
      </c>
      <c r="P143" s="207">
        <v>7238836.919985378</v>
      </c>
      <c r="Q143" s="207">
        <v>668</v>
      </c>
      <c r="R143" s="207">
        <v>135</v>
      </c>
      <c r="S143" s="207">
        <v>878</v>
      </c>
      <c r="T143" s="207">
        <v>430</v>
      </c>
      <c r="U143" s="207">
        <v>401</v>
      </c>
      <c r="V143" s="207">
        <v>5314</v>
      </c>
      <c r="W143" s="207">
        <v>1067</v>
      </c>
      <c r="X143" s="207">
        <v>494</v>
      </c>
      <c r="Y143" s="207">
        <v>167</v>
      </c>
      <c r="Z143" s="207">
        <v>101</v>
      </c>
      <c r="AA143" s="207">
        <v>0</v>
      </c>
      <c r="AB143" s="207">
        <v>9295</v>
      </c>
      <c r="AC143" s="207">
        <v>158</v>
      </c>
      <c r="AD143" s="207">
        <v>1728</v>
      </c>
      <c r="AE143" s="480">
        <v>0.6999527184934761</v>
      </c>
      <c r="AF143" s="207">
        <v>7877696.264989298</v>
      </c>
      <c r="AG143" s="175">
        <v>250</v>
      </c>
      <c r="AH143" s="175">
        <v>4830</v>
      </c>
      <c r="AI143" s="175">
        <v>0.5305387585256055</v>
      </c>
      <c r="AJ143" s="175">
        <v>158</v>
      </c>
      <c r="AK143" s="175">
        <v>0.016537575884446307</v>
      </c>
      <c r="AL143" s="175">
        <v>0.013256496773983311</v>
      </c>
      <c r="AM143" s="175">
        <v>0</v>
      </c>
      <c r="AN143" s="175">
        <v>101</v>
      </c>
      <c r="AO143" s="175">
        <v>0</v>
      </c>
      <c r="AP143" s="175">
        <v>0</v>
      </c>
      <c r="AQ143" s="175">
        <v>0</v>
      </c>
      <c r="AR143" s="175">
        <v>174.75</v>
      </c>
      <c r="AS143" s="175">
        <v>54.67238912732475</v>
      </c>
      <c r="AT143" s="175">
        <v>0.3319869943609564</v>
      </c>
      <c r="AU143" s="175">
        <v>290</v>
      </c>
      <c r="AV143" s="175">
        <v>3381</v>
      </c>
      <c r="AW143" s="175">
        <v>0.0857734398107069</v>
      </c>
      <c r="AX143" s="175">
        <v>0.03031220608122189</v>
      </c>
      <c r="AY143" s="175">
        <v>0</v>
      </c>
      <c r="AZ143" s="207">
        <v>2323</v>
      </c>
      <c r="BA143" s="175">
        <v>4509</v>
      </c>
      <c r="BB143" s="175">
        <v>0.515191838545132</v>
      </c>
      <c r="BC143" s="175">
        <v>0.1254969911214201</v>
      </c>
      <c r="BD143" s="175">
        <v>0</v>
      </c>
      <c r="BE143" s="175">
        <v>0</v>
      </c>
      <c r="BF143" s="207">
        <v>-60929.35999999999</v>
      </c>
      <c r="BG143" s="207">
        <v>-74544.31999999999</v>
      </c>
      <c r="BH143" s="207">
        <v>-39171.399999999994</v>
      </c>
      <c r="BI143" s="207">
        <v>-161255.19999999998</v>
      </c>
      <c r="BJ143" s="207">
        <v>0</v>
      </c>
      <c r="BK143" s="207">
        <v>0</v>
      </c>
      <c r="BL143" s="207">
        <v>36413</v>
      </c>
      <c r="BM143" s="207">
        <v>-100980.67573100302</v>
      </c>
      <c r="BN143" s="207">
        <v>-406618.24000000005</v>
      </c>
      <c r="BO143" s="207">
        <v>32000.689960744232</v>
      </c>
      <c r="BP143" s="207">
        <v>621436</v>
      </c>
      <c r="BQ143" s="207">
        <v>207148</v>
      </c>
      <c r="BR143" s="207">
        <v>331328.82182197727</v>
      </c>
      <c r="BS143" s="207">
        <v>-3308.595417114833</v>
      </c>
      <c r="BT143" s="207">
        <v>-53204.678997454095</v>
      </c>
      <c r="BU143" s="207">
        <v>172834.1055396685</v>
      </c>
      <c r="BV143" s="207">
        <v>408529.98781932035</v>
      </c>
      <c r="BW143" s="207">
        <v>752960.6109749416</v>
      </c>
      <c r="BX143" s="207">
        <v>181718.37970835684</v>
      </c>
      <c r="BY143" s="207">
        <v>322529.81921711017</v>
      </c>
      <c r="BZ143" s="207">
        <v>859.86</v>
      </c>
      <c r="CA143" s="207">
        <v>-32083.263849012423</v>
      </c>
      <c r="CB143" s="207">
        <v>37190.28611173181</v>
      </c>
      <c r="CC143" s="207">
        <v>-1099234.5496192712</v>
      </c>
      <c r="CD143" s="207">
        <v>0</v>
      </c>
      <c r="CE143" s="207">
        <v>405730.0304792667</v>
      </c>
      <c r="CF143" s="207">
        <v>0</v>
      </c>
      <c r="CG143" s="207">
        <v>-69596.19396520537</v>
      </c>
      <c r="CH143" s="207">
        <v>-1809811</v>
      </c>
      <c r="CI143" s="207">
        <v>198466.85200000004</v>
      </c>
      <c r="CJ143" s="207">
        <v>515388.50867999997</v>
      </c>
      <c r="CK143" s="207">
        <v>-316921.6566799999</v>
      </c>
      <c r="CL143" s="207">
        <v>5429025.919985378</v>
      </c>
      <c r="CM143" s="207">
        <v>7062148.652323216</v>
      </c>
      <c r="CN143" s="207">
        <v>9656</v>
      </c>
    </row>
    <row r="144" spans="1:92" ht="9.75">
      <c r="A144" s="207">
        <v>483</v>
      </c>
      <c r="B144" s="207" t="s">
        <v>201</v>
      </c>
      <c r="C144" s="207">
        <v>1104</v>
      </c>
      <c r="D144" s="207">
        <v>4689854.62</v>
      </c>
      <c r="E144" s="207">
        <v>1295636.9160671644</v>
      </c>
      <c r="F144" s="207">
        <v>285875.0009161328</v>
      </c>
      <c r="G144" s="207">
        <v>6271366.536983297</v>
      </c>
      <c r="H144" s="207">
        <v>3654.72</v>
      </c>
      <c r="I144" s="207">
        <v>4034810.88</v>
      </c>
      <c r="J144" s="207">
        <v>2236555.6569832973</v>
      </c>
      <c r="K144" s="207">
        <v>19827.95761755878</v>
      </c>
      <c r="L144" s="207">
        <v>-143767.3275415417</v>
      </c>
      <c r="M144" s="207">
        <v>0</v>
      </c>
      <c r="N144" s="207">
        <v>2112616.2870593145</v>
      </c>
      <c r="O144" s="207">
        <v>1680049.2708713945</v>
      </c>
      <c r="P144" s="207">
        <v>3792665.557930709</v>
      </c>
      <c r="Q144" s="207">
        <v>124</v>
      </c>
      <c r="R144" s="207">
        <v>13</v>
      </c>
      <c r="S144" s="207">
        <v>94</v>
      </c>
      <c r="T144" s="207">
        <v>48</v>
      </c>
      <c r="U144" s="207">
        <v>50</v>
      </c>
      <c r="V144" s="207">
        <v>523</v>
      </c>
      <c r="W144" s="207">
        <v>147</v>
      </c>
      <c r="X144" s="207">
        <v>65</v>
      </c>
      <c r="Y144" s="207">
        <v>40</v>
      </c>
      <c r="Z144" s="207">
        <v>0</v>
      </c>
      <c r="AA144" s="207">
        <v>0</v>
      </c>
      <c r="AB144" s="207">
        <v>1098</v>
      </c>
      <c r="AC144" s="207">
        <v>6</v>
      </c>
      <c r="AD144" s="207">
        <v>252</v>
      </c>
      <c r="AE144" s="480">
        <v>0.996251411803324</v>
      </c>
      <c r="AF144" s="207">
        <v>1295636.9160671644</v>
      </c>
      <c r="AG144" s="175">
        <v>32</v>
      </c>
      <c r="AH144" s="175">
        <v>409</v>
      </c>
      <c r="AI144" s="175">
        <v>0.8019566798798785</v>
      </c>
      <c r="AJ144" s="175">
        <v>6</v>
      </c>
      <c r="AK144" s="175">
        <v>0.005434782608695652</v>
      </c>
      <c r="AL144" s="175">
        <v>0.0021537034982326555</v>
      </c>
      <c r="AM144" s="175">
        <v>0</v>
      </c>
      <c r="AN144" s="175">
        <v>0</v>
      </c>
      <c r="AO144" s="175">
        <v>0</v>
      </c>
      <c r="AP144" s="175">
        <v>0</v>
      </c>
      <c r="AQ144" s="175">
        <v>0</v>
      </c>
      <c r="AR144" s="175">
        <v>229.94</v>
      </c>
      <c r="AS144" s="175">
        <v>4.801252500652344</v>
      </c>
      <c r="AT144" s="175">
        <v>3.7803723379362095</v>
      </c>
      <c r="AU144" s="175">
        <v>31</v>
      </c>
      <c r="AV144" s="175">
        <v>237</v>
      </c>
      <c r="AW144" s="175">
        <v>0.1308016877637131</v>
      </c>
      <c r="AX144" s="175">
        <v>0.0753404540342281</v>
      </c>
      <c r="AY144" s="175">
        <v>0</v>
      </c>
      <c r="AZ144" s="207">
        <v>255</v>
      </c>
      <c r="BA144" s="175">
        <v>384</v>
      </c>
      <c r="BB144" s="175">
        <v>0.6640625</v>
      </c>
      <c r="BC144" s="175">
        <v>0.27436765257628815</v>
      </c>
      <c r="BD144" s="175">
        <v>0</v>
      </c>
      <c r="BE144" s="175">
        <v>0</v>
      </c>
      <c r="BF144" s="207">
        <v>-7060.889999999999</v>
      </c>
      <c r="BG144" s="207">
        <v>-8638.68</v>
      </c>
      <c r="BH144" s="207">
        <v>-4526.4</v>
      </c>
      <c r="BI144" s="207">
        <v>-18687.3</v>
      </c>
      <c r="BJ144" s="207">
        <v>0</v>
      </c>
      <c r="BK144" s="207">
        <v>0</v>
      </c>
      <c r="BL144" s="207">
        <v>-5108</v>
      </c>
      <c r="BM144" s="207">
        <v>-22349.0225369367</v>
      </c>
      <c r="BN144" s="207">
        <v>-46986.240000000005</v>
      </c>
      <c r="BO144" s="207">
        <v>-2330.2481867615134</v>
      </c>
      <c r="BP144" s="207">
        <v>112571</v>
      </c>
      <c r="BQ144" s="207">
        <v>33696</v>
      </c>
      <c r="BR144" s="207">
        <v>92424.51788242359</v>
      </c>
      <c r="BS144" s="207">
        <v>5507.555395064793</v>
      </c>
      <c r="BT144" s="207">
        <v>19154.82272696823</v>
      </c>
      <c r="BU144" s="207">
        <v>43544.673574117616</v>
      </c>
      <c r="BV144" s="207">
        <v>65777.08988297192</v>
      </c>
      <c r="BW144" s="207">
        <v>103253.28900229663</v>
      </c>
      <c r="BX144" s="207">
        <v>26737.41563920715</v>
      </c>
      <c r="BY144" s="207">
        <v>53503.323978154454</v>
      </c>
      <c r="BZ144" s="207">
        <v>99.36</v>
      </c>
      <c r="CA144" s="207">
        <v>5668.733182156559</v>
      </c>
      <c r="CB144" s="207">
        <v>-1670.1550046049542</v>
      </c>
      <c r="CC144" s="207">
        <v>-143767.3275415417</v>
      </c>
      <c r="CD144" s="207">
        <v>0</v>
      </c>
      <c r="CE144" s="207">
        <v>78290.57150029382</v>
      </c>
      <c r="CF144" s="207">
        <v>0</v>
      </c>
      <c r="CG144" s="207">
        <v>1680049.2708713945</v>
      </c>
      <c r="CH144" s="207">
        <v>-175000</v>
      </c>
      <c r="CI144" s="207">
        <v>72182.12220000001</v>
      </c>
      <c r="CJ144" s="207">
        <v>17671.706000000002</v>
      </c>
      <c r="CK144" s="207">
        <v>54510.41620000001</v>
      </c>
      <c r="CL144" s="207">
        <v>3617665.557930709</v>
      </c>
      <c r="CM144" s="207">
        <v>4141510.668259574</v>
      </c>
      <c r="CN144" s="207">
        <v>1119</v>
      </c>
    </row>
    <row r="145" spans="1:92" ht="9.75">
      <c r="A145" s="207">
        <v>484</v>
      </c>
      <c r="B145" s="207" t="s">
        <v>202</v>
      </c>
      <c r="C145" s="207">
        <v>3115</v>
      </c>
      <c r="D145" s="207">
        <v>12567517.74</v>
      </c>
      <c r="E145" s="207">
        <v>4476281.116052602</v>
      </c>
      <c r="F145" s="207">
        <v>873985.4212793957</v>
      </c>
      <c r="G145" s="207">
        <v>17917784.277332</v>
      </c>
      <c r="H145" s="207">
        <v>3654.72</v>
      </c>
      <c r="I145" s="207">
        <v>11384452.799999999</v>
      </c>
      <c r="J145" s="207">
        <v>6533331.477332002</v>
      </c>
      <c r="K145" s="207">
        <v>503827.7411681803</v>
      </c>
      <c r="L145" s="207">
        <v>-132354.49020226096</v>
      </c>
      <c r="M145" s="207">
        <v>0</v>
      </c>
      <c r="N145" s="207">
        <v>6904804.728297921</v>
      </c>
      <c r="O145" s="207">
        <v>2670215.627242542</v>
      </c>
      <c r="P145" s="207">
        <v>9575020.355540462</v>
      </c>
      <c r="Q145" s="207">
        <v>169</v>
      </c>
      <c r="R145" s="207">
        <v>34</v>
      </c>
      <c r="S145" s="207">
        <v>159</v>
      </c>
      <c r="T145" s="207">
        <v>98</v>
      </c>
      <c r="U145" s="207">
        <v>79</v>
      </c>
      <c r="V145" s="207">
        <v>1511</v>
      </c>
      <c r="W145" s="207">
        <v>556</v>
      </c>
      <c r="X145" s="207">
        <v>329</v>
      </c>
      <c r="Y145" s="207">
        <v>180</v>
      </c>
      <c r="Z145" s="207">
        <v>13</v>
      </c>
      <c r="AA145" s="207">
        <v>0</v>
      </c>
      <c r="AB145" s="207">
        <v>3059</v>
      </c>
      <c r="AC145" s="207">
        <v>43</v>
      </c>
      <c r="AD145" s="207">
        <v>1065</v>
      </c>
      <c r="AE145" s="480">
        <v>1.2198712936888985</v>
      </c>
      <c r="AF145" s="207">
        <v>4476281.116052602</v>
      </c>
      <c r="AG145" s="175">
        <v>138</v>
      </c>
      <c r="AH145" s="175">
        <v>1250</v>
      </c>
      <c r="AI145" s="175">
        <v>1.1316009731445025</v>
      </c>
      <c r="AJ145" s="175">
        <v>43</v>
      </c>
      <c r="AK145" s="175">
        <v>0.013804173354735152</v>
      </c>
      <c r="AL145" s="175">
        <v>0.010523094244272155</v>
      </c>
      <c r="AM145" s="175">
        <v>0</v>
      </c>
      <c r="AN145" s="175">
        <v>13</v>
      </c>
      <c r="AO145" s="175">
        <v>0</v>
      </c>
      <c r="AP145" s="175">
        <v>0</v>
      </c>
      <c r="AQ145" s="175">
        <v>0</v>
      </c>
      <c r="AR145" s="175">
        <v>446.12</v>
      </c>
      <c r="AS145" s="175">
        <v>6.982426253026092</v>
      </c>
      <c r="AT145" s="175">
        <v>2.5994577648488555</v>
      </c>
      <c r="AU145" s="175">
        <v>140</v>
      </c>
      <c r="AV145" s="175">
        <v>757</v>
      </c>
      <c r="AW145" s="175">
        <v>0.18494055482166447</v>
      </c>
      <c r="AX145" s="175">
        <v>0.12947932109217947</v>
      </c>
      <c r="AY145" s="175">
        <v>0.6078666666666667</v>
      </c>
      <c r="AZ145" s="207">
        <v>909</v>
      </c>
      <c r="BA145" s="175">
        <v>1060</v>
      </c>
      <c r="BB145" s="175">
        <v>0.8575471698113207</v>
      </c>
      <c r="BC145" s="175">
        <v>0.4678523223876089</v>
      </c>
      <c r="BD145" s="175">
        <v>0</v>
      </c>
      <c r="BE145" s="175">
        <v>0</v>
      </c>
      <c r="BF145" s="207">
        <v>-19914.36</v>
      </c>
      <c r="BG145" s="207">
        <v>-24364.32</v>
      </c>
      <c r="BH145" s="207">
        <v>-12771.499999999998</v>
      </c>
      <c r="BI145" s="207">
        <v>-52705.2</v>
      </c>
      <c r="BJ145" s="207">
        <v>0</v>
      </c>
      <c r="BK145" s="207">
        <v>0</v>
      </c>
      <c r="BL145" s="207">
        <v>80593</v>
      </c>
      <c r="BM145" s="207">
        <v>36286.97396274801</v>
      </c>
      <c r="BN145" s="207">
        <v>-132574.4</v>
      </c>
      <c r="BO145" s="207">
        <v>74367.37922729924</v>
      </c>
      <c r="BP145" s="207">
        <v>331324</v>
      </c>
      <c r="BQ145" s="207">
        <v>93113</v>
      </c>
      <c r="BR145" s="207">
        <v>256823.8610218016</v>
      </c>
      <c r="BS145" s="207">
        <v>13951.650723552873</v>
      </c>
      <c r="BT145" s="207">
        <v>22369.26415276425</v>
      </c>
      <c r="BU145" s="207">
        <v>113238.57277297978</v>
      </c>
      <c r="BV145" s="207">
        <v>151607.59694996048</v>
      </c>
      <c r="BW145" s="207">
        <v>266347.51058556547</v>
      </c>
      <c r="BX145" s="207">
        <v>74204.93166680018</v>
      </c>
      <c r="BY145" s="207">
        <v>134678.30637987037</v>
      </c>
      <c r="BZ145" s="207">
        <v>280.34999999999997</v>
      </c>
      <c r="CA145" s="207">
        <v>13953.486607691724</v>
      </c>
      <c r="CB145" s="207">
        <v>169194.21583499096</v>
      </c>
      <c r="CC145" s="207">
        <v>-132354.49020226096</v>
      </c>
      <c r="CD145" s="207">
        <v>0</v>
      </c>
      <c r="CE145" s="207">
        <v>195253.85175951576</v>
      </c>
      <c r="CF145" s="207">
        <v>692487.3924837912</v>
      </c>
      <c r="CG145" s="207">
        <v>2670215.627242542</v>
      </c>
      <c r="CH145" s="207">
        <v>266482</v>
      </c>
      <c r="CI145" s="207">
        <v>186232.594</v>
      </c>
      <c r="CJ145" s="207">
        <v>104670.87400000001</v>
      </c>
      <c r="CK145" s="207">
        <v>81561.72</v>
      </c>
      <c r="CL145" s="207">
        <v>9841502.355540462</v>
      </c>
      <c r="CM145" s="207">
        <v>11423472.746716244</v>
      </c>
      <c r="CN145" s="207">
        <v>3156</v>
      </c>
    </row>
    <row r="146" spans="1:92" ht="9.75">
      <c r="A146" s="207">
        <v>489</v>
      </c>
      <c r="B146" s="207" t="s">
        <v>203</v>
      </c>
      <c r="C146" s="207">
        <v>1940</v>
      </c>
      <c r="D146" s="207">
        <v>7215883.090000001</v>
      </c>
      <c r="E146" s="207">
        <v>4093075.778084577</v>
      </c>
      <c r="F146" s="207">
        <v>733326.6366795987</v>
      </c>
      <c r="G146" s="207">
        <v>12042285.504764177</v>
      </c>
      <c r="H146" s="207">
        <v>3654.72</v>
      </c>
      <c r="I146" s="207">
        <v>7090156.8</v>
      </c>
      <c r="J146" s="207">
        <v>4952128.704764177</v>
      </c>
      <c r="K146" s="207">
        <v>236502.12328008108</v>
      </c>
      <c r="L146" s="207">
        <v>-137304.7470968539</v>
      </c>
      <c r="M146" s="207">
        <v>0</v>
      </c>
      <c r="N146" s="207">
        <v>5051326.080947404</v>
      </c>
      <c r="O146" s="207">
        <v>1825213.1272827128</v>
      </c>
      <c r="P146" s="207">
        <v>6876539.208230116</v>
      </c>
      <c r="Q146" s="207">
        <v>55</v>
      </c>
      <c r="R146" s="207">
        <v>12</v>
      </c>
      <c r="S146" s="207">
        <v>96</v>
      </c>
      <c r="T146" s="207">
        <v>56</v>
      </c>
      <c r="U146" s="207">
        <v>62</v>
      </c>
      <c r="V146" s="207">
        <v>951</v>
      </c>
      <c r="W146" s="207">
        <v>379</v>
      </c>
      <c r="X146" s="207">
        <v>232</v>
      </c>
      <c r="Y146" s="207">
        <v>97</v>
      </c>
      <c r="Z146" s="207">
        <v>4</v>
      </c>
      <c r="AA146" s="207">
        <v>0</v>
      </c>
      <c r="AB146" s="207">
        <v>1844</v>
      </c>
      <c r="AC146" s="207">
        <v>92</v>
      </c>
      <c r="AD146" s="207">
        <v>708</v>
      </c>
      <c r="AE146" s="480">
        <v>1.7910296055189545</v>
      </c>
      <c r="AF146" s="207">
        <v>4093075.778084577</v>
      </c>
      <c r="AG146" s="175">
        <v>66</v>
      </c>
      <c r="AH146" s="175">
        <v>774</v>
      </c>
      <c r="AI146" s="175">
        <v>0.8740317593942765</v>
      </c>
      <c r="AJ146" s="175">
        <v>92</v>
      </c>
      <c r="AK146" s="175">
        <v>0.04742268041237113</v>
      </c>
      <c r="AL146" s="175">
        <v>0.04414160130190813</v>
      </c>
      <c r="AM146" s="175">
        <v>0</v>
      </c>
      <c r="AN146" s="175">
        <v>4</v>
      </c>
      <c r="AO146" s="175">
        <v>0</v>
      </c>
      <c r="AP146" s="175">
        <v>0</v>
      </c>
      <c r="AQ146" s="175">
        <v>0</v>
      </c>
      <c r="AR146" s="175">
        <v>422.47</v>
      </c>
      <c r="AS146" s="175">
        <v>4.592042038487939</v>
      </c>
      <c r="AT146" s="175">
        <v>3.952603654057521</v>
      </c>
      <c r="AU146" s="175">
        <v>98</v>
      </c>
      <c r="AV146" s="175">
        <v>527</v>
      </c>
      <c r="AW146" s="175">
        <v>0.1859582542694497</v>
      </c>
      <c r="AX146" s="175">
        <v>0.1304970205399647</v>
      </c>
      <c r="AY146" s="175">
        <v>0.4673333333333333</v>
      </c>
      <c r="AZ146" s="207">
        <v>465</v>
      </c>
      <c r="BA146" s="175">
        <v>653</v>
      </c>
      <c r="BB146" s="175">
        <v>0.7120980091883614</v>
      </c>
      <c r="BC146" s="175">
        <v>0.32240316176464956</v>
      </c>
      <c r="BD146" s="175">
        <v>0</v>
      </c>
      <c r="BE146" s="175">
        <v>0</v>
      </c>
      <c r="BF146" s="207">
        <v>-12569.519999999999</v>
      </c>
      <c r="BG146" s="207">
        <v>-15378.24</v>
      </c>
      <c r="BH146" s="207">
        <v>-7953.999999999999</v>
      </c>
      <c r="BI146" s="207">
        <v>-33266.4</v>
      </c>
      <c r="BJ146" s="207">
        <v>0</v>
      </c>
      <c r="BK146" s="207">
        <v>0</v>
      </c>
      <c r="BL146" s="207">
        <v>-49160</v>
      </c>
      <c r="BM146" s="207">
        <v>-1600.580639449763</v>
      </c>
      <c r="BN146" s="207">
        <v>-82566.40000000001</v>
      </c>
      <c r="BO146" s="207">
        <v>129195.3782286048</v>
      </c>
      <c r="BP146" s="207">
        <v>244042</v>
      </c>
      <c r="BQ146" s="207">
        <v>68380</v>
      </c>
      <c r="BR146" s="207">
        <v>194514.60255742777</v>
      </c>
      <c r="BS146" s="207">
        <v>9286.78962930894</v>
      </c>
      <c r="BT146" s="207">
        <v>31055.31105772127</v>
      </c>
      <c r="BU146" s="207">
        <v>85533.22699393757</v>
      </c>
      <c r="BV146" s="207">
        <v>101389.57729098982</v>
      </c>
      <c r="BW146" s="207">
        <v>167634.94692412065</v>
      </c>
      <c r="BX146" s="207">
        <v>52449.19624394667</v>
      </c>
      <c r="BY146" s="207">
        <v>93097.11665887535</v>
      </c>
      <c r="BZ146" s="207">
        <v>174.6</v>
      </c>
      <c r="CA146" s="207">
        <v>-4699.1846860089645</v>
      </c>
      <c r="CB146" s="207">
        <v>75510.79354259584</v>
      </c>
      <c r="CC146" s="207">
        <v>-137304.7470968539</v>
      </c>
      <c r="CD146" s="207">
        <v>0</v>
      </c>
      <c r="CE146" s="207">
        <v>136647.09226866692</v>
      </c>
      <c r="CF146" s="207">
        <v>0</v>
      </c>
      <c r="CG146" s="207">
        <v>1825213.1272827128</v>
      </c>
      <c r="CH146" s="207">
        <v>-380602</v>
      </c>
      <c r="CI146" s="207">
        <v>87067.1361</v>
      </c>
      <c r="CJ146" s="207">
        <v>1269644.108</v>
      </c>
      <c r="CK146" s="207">
        <v>-1182576.9719</v>
      </c>
      <c r="CL146" s="207">
        <v>6495937.208230116</v>
      </c>
      <c r="CM146" s="207">
        <v>7689726.514447197</v>
      </c>
      <c r="CN146" s="207">
        <v>1992</v>
      </c>
    </row>
    <row r="147" spans="1:92" ht="9.75">
      <c r="A147" s="207">
        <v>491</v>
      </c>
      <c r="B147" s="207" t="s">
        <v>204</v>
      </c>
      <c r="C147" s="207">
        <v>53818</v>
      </c>
      <c r="D147" s="207">
        <v>185139117.76000002</v>
      </c>
      <c r="E147" s="207">
        <v>79251245.25922419</v>
      </c>
      <c r="F147" s="207">
        <v>11970068.81830928</v>
      </c>
      <c r="G147" s="207">
        <v>276360431.83753353</v>
      </c>
      <c r="H147" s="207">
        <v>3654.72</v>
      </c>
      <c r="I147" s="207">
        <v>196689720.95999998</v>
      </c>
      <c r="J147" s="207">
        <v>79670710.87753356</v>
      </c>
      <c r="K147" s="207">
        <v>2272548.597910559</v>
      </c>
      <c r="L147" s="207">
        <v>-8483003.850351365</v>
      </c>
      <c r="M147" s="207">
        <v>0</v>
      </c>
      <c r="N147" s="207">
        <v>73460255.62509274</v>
      </c>
      <c r="O147" s="207">
        <v>21921431.615438856</v>
      </c>
      <c r="P147" s="207">
        <v>95381687.2405316</v>
      </c>
      <c r="Q147" s="207">
        <v>2792</v>
      </c>
      <c r="R147" s="207">
        <v>498</v>
      </c>
      <c r="S147" s="207">
        <v>3245</v>
      </c>
      <c r="T147" s="207">
        <v>1652</v>
      </c>
      <c r="U147" s="207">
        <v>1697</v>
      </c>
      <c r="V147" s="207">
        <v>30126</v>
      </c>
      <c r="W147" s="207">
        <v>7817</v>
      </c>
      <c r="X147" s="207">
        <v>4287</v>
      </c>
      <c r="Y147" s="207">
        <v>1704</v>
      </c>
      <c r="Z147" s="207">
        <v>82</v>
      </c>
      <c r="AA147" s="207">
        <v>2</v>
      </c>
      <c r="AB147" s="207">
        <v>51594</v>
      </c>
      <c r="AC147" s="207">
        <v>2140</v>
      </c>
      <c r="AD147" s="207">
        <v>13808</v>
      </c>
      <c r="AE147" s="480">
        <v>1.2500668835879696</v>
      </c>
      <c r="AF147" s="207">
        <v>79251245.25922419</v>
      </c>
      <c r="AG147" s="175">
        <v>2475</v>
      </c>
      <c r="AH147" s="175">
        <v>25133</v>
      </c>
      <c r="AI147" s="175">
        <v>1.0093809659180708</v>
      </c>
      <c r="AJ147" s="175">
        <v>2140</v>
      </c>
      <c r="AK147" s="175">
        <v>0.039763647850161656</v>
      </c>
      <c r="AL147" s="175">
        <v>0.036482568739698656</v>
      </c>
      <c r="AM147" s="175">
        <v>0</v>
      </c>
      <c r="AN147" s="175">
        <v>82</v>
      </c>
      <c r="AO147" s="175">
        <v>2</v>
      </c>
      <c r="AP147" s="175">
        <v>3</v>
      </c>
      <c r="AQ147" s="175">
        <v>318</v>
      </c>
      <c r="AR147" s="175">
        <v>2548.36</v>
      </c>
      <c r="AS147" s="175">
        <v>21.118680249258347</v>
      </c>
      <c r="AT147" s="175">
        <v>0.8594534282771098</v>
      </c>
      <c r="AU147" s="175">
        <v>1674</v>
      </c>
      <c r="AV147" s="175">
        <v>15344</v>
      </c>
      <c r="AW147" s="175">
        <v>0.10909801876955162</v>
      </c>
      <c r="AX147" s="175">
        <v>0.053636785040066616</v>
      </c>
      <c r="AY147" s="175">
        <v>0</v>
      </c>
      <c r="AZ147" s="207">
        <v>22440</v>
      </c>
      <c r="BA147" s="175">
        <v>21686</v>
      </c>
      <c r="BB147" s="175">
        <v>1.0347689753758185</v>
      </c>
      <c r="BC147" s="175">
        <v>0.6450741279521066</v>
      </c>
      <c r="BD147" s="175">
        <v>0</v>
      </c>
      <c r="BE147" s="175">
        <v>2</v>
      </c>
      <c r="BF147" s="207">
        <v>-342386.91</v>
      </c>
      <c r="BG147" s="207">
        <v>-418894.92</v>
      </c>
      <c r="BH147" s="207">
        <v>-220653.8</v>
      </c>
      <c r="BI147" s="207">
        <v>-906158.7</v>
      </c>
      <c r="BJ147" s="207">
        <v>0</v>
      </c>
      <c r="BK147" s="207">
        <v>0</v>
      </c>
      <c r="BL147" s="207">
        <v>692000</v>
      </c>
      <c r="BM147" s="207">
        <v>-3640124.203665289</v>
      </c>
      <c r="BN147" s="207">
        <v>-2290494.08</v>
      </c>
      <c r="BO147" s="207">
        <v>23894.41926728841</v>
      </c>
      <c r="BP147" s="207">
        <v>4322833</v>
      </c>
      <c r="BQ147" s="207">
        <v>1361978</v>
      </c>
      <c r="BR147" s="207">
        <v>3066998.8023660365</v>
      </c>
      <c r="BS147" s="207">
        <v>122168.39431532685</v>
      </c>
      <c r="BT147" s="207">
        <v>340435.90893708135</v>
      </c>
      <c r="BU147" s="207">
        <v>1609040.7155045995</v>
      </c>
      <c r="BV147" s="207">
        <v>2742251.6253696885</v>
      </c>
      <c r="BW147" s="207">
        <v>4236835.159566074</v>
      </c>
      <c r="BX147" s="207">
        <v>1338821.7239010881</v>
      </c>
      <c r="BY147" s="207">
        <v>2333577.0332820513</v>
      </c>
      <c r="BZ147" s="207">
        <v>4843.62</v>
      </c>
      <c r="CA147" s="207">
        <v>265030.60404663614</v>
      </c>
      <c r="CB147" s="207">
        <v>985768.6433139245</v>
      </c>
      <c r="CC147" s="207">
        <v>-8483003.850351365</v>
      </c>
      <c r="CD147" s="207">
        <v>0</v>
      </c>
      <c r="CE147" s="207">
        <v>3035028.0673102704</v>
      </c>
      <c r="CF147" s="207">
        <v>0</v>
      </c>
      <c r="CG147" s="207">
        <v>21921431.615438856</v>
      </c>
      <c r="CH147" s="207">
        <v>531687</v>
      </c>
      <c r="CI147" s="207">
        <v>855106.6660999999</v>
      </c>
      <c r="CJ147" s="207">
        <v>636929.0651</v>
      </c>
      <c r="CK147" s="207">
        <v>218177.6009999999</v>
      </c>
      <c r="CL147" s="207">
        <v>95913374.2405316</v>
      </c>
      <c r="CM147" s="207">
        <v>109164803.21211435</v>
      </c>
      <c r="CN147" s="207">
        <v>54261</v>
      </c>
    </row>
    <row r="148" spans="1:92" ht="9.75">
      <c r="A148" s="207">
        <v>494</v>
      </c>
      <c r="B148" s="207" t="s">
        <v>205</v>
      </c>
      <c r="C148" s="207">
        <v>8980</v>
      </c>
      <c r="D148" s="207">
        <v>36358042.7</v>
      </c>
      <c r="E148" s="207">
        <v>12364919.949136632</v>
      </c>
      <c r="F148" s="207">
        <v>1607258.2333910419</v>
      </c>
      <c r="G148" s="207">
        <v>50330220.88252767</v>
      </c>
      <c r="H148" s="207">
        <v>3654.72</v>
      </c>
      <c r="I148" s="207">
        <v>32819385.599999998</v>
      </c>
      <c r="J148" s="207">
        <v>17510835.282527674</v>
      </c>
      <c r="K148" s="207">
        <v>202438.377764873</v>
      </c>
      <c r="L148" s="207">
        <v>-1522418.3105155786</v>
      </c>
      <c r="M148" s="207">
        <v>0</v>
      </c>
      <c r="N148" s="207">
        <v>16190855.349776968</v>
      </c>
      <c r="O148" s="207">
        <v>7261058.06102244</v>
      </c>
      <c r="P148" s="207">
        <v>23451913.410799406</v>
      </c>
      <c r="Q148" s="207">
        <v>762</v>
      </c>
      <c r="R148" s="207">
        <v>153</v>
      </c>
      <c r="S148" s="207">
        <v>934</v>
      </c>
      <c r="T148" s="207">
        <v>480</v>
      </c>
      <c r="U148" s="207">
        <v>417</v>
      </c>
      <c r="V148" s="207">
        <v>4685</v>
      </c>
      <c r="W148" s="207">
        <v>867</v>
      </c>
      <c r="X148" s="207">
        <v>459</v>
      </c>
      <c r="Y148" s="207">
        <v>223</v>
      </c>
      <c r="Z148" s="207">
        <v>5</v>
      </c>
      <c r="AA148" s="207">
        <v>0</v>
      </c>
      <c r="AB148" s="207">
        <v>8858</v>
      </c>
      <c r="AC148" s="207">
        <v>117</v>
      </c>
      <c r="AD148" s="207">
        <v>1549</v>
      </c>
      <c r="AE148" s="480">
        <v>1.1688793384597949</v>
      </c>
      <c r="AF148" s="207">
        <v>12364919.949136632</v>
      </c>
      <c r="AG148" s="175">
        <v>350</v>
      </c>
      <c r="AH148" s="175">
        <v>3857</v>
      </c>
      <c r="AI148" s="175">
        <v>0.9301278416256531</v>
      </c>
      <c r="AJ148" s="175">
        <v>117</v>
      </c>
      <c r="AK148" s="175">
        <v>0.013028953229398664</v>
      </c>
      <c r="AL148" s="175">
        <v>0.009747874118935667</v>
      </c>
      <c r="AM148" s="175">
        <v>0</v>
      </c>
      <c r="AN148" s="175">
        <v>5</v>
      </c>
      <c r="AO148" s="175">
        <v>0</v>
      </c>
      <c r="AP148" s="175">
        <v>0</v>
      </c>
      <c r="AQ148" s="175">
        <v>0</v>
      </c>
      <c r="AR148" s="175">
        <v>783.74</v>
      </c>
      <c r="AS148" s="175">
        <v>11.45788144027356</v>
      </c>
      <c r="AT148" s="175">
        <v>1.5841080426190748</v>
      </c>
      <c r="AU148" s="175">
        <v>226</v>
      </c>
      <c r="AV148" s="175">
        <v>2708</v>
      </c>
      <c r="AW148" s="175">
        <v>0.08345642540620384</v>
      </c>
      <c r="AX148" s="175">
        <v>0.02799519167671883</v>
      </c>
      <c r="AY148" s="175">
        <v>0</v>
      </c>
      <c r="AZ148" s="207">
        <v>2501</v>
      </c>
      <c r="BA148" s="175">
        <v>3407</v>
      </c>
      <c r="BB148" s="175">
        <v>0.7340769004989727</v>
      </c>
      <c r="BC148" s="175">
        <v>0.3443820530752608</v>
      </c>
      <c r="BD148" s="175">
        <v>0</v>
      </c>
      <c r="BE148" s="175">
        <v>0</v>
      </c>
      <c r="BF148" s="207">
        <v>-56909.89</v>
      </c>
      <c r="BG148" s="207">
        <v>-69626.68</v>
      </c>
      <c r="BH148" s="207">
        <v>-36818</v>
      </c>
      <c r="BI148" s="207">
        <v>-150617.3</v>
      </c>
      <c r="BJ148" s="207">
        <v>0</v>
      </c>
      <c r="BK148" s="207">
        <v>0</v>
      </c>
      <c r="BL148" s="207">
        <v>-149101</v>
      </c>
      <c r="BM148" s="207">
        <v>-339561.2084474036</v>
      </c>
      <c r="BN148" s="207">
        <v>-382188.80000000005</v>
      </c>
      <c r="BO148" s="207">
        <v>-106345.7427293472</v>
      </c>
      <c r="BP148" s="207">
        <v>653139</v>
      </c>
      <c r="BQ148" s="207">
        <v>192506</v>
      </c>
      <c r="BR148" s="207">
        <v>447332.6942989805</v>
      </c>
      <c r="BS148" s="207">
        <v>11353.484939487833</v>
      </c>
      <c r="BT148" s="207">
        <v>31511.033225112184</v>
      </c>
      <c r="BU148" s="207">
        <v>234842.3314750822</v>
      </c>
      <c r="BV148" s="207">
        <v>426890.521875695</v>
      </c>
      <c r="BW148" s="207">
        <v>628463.0091237711</v>
      </c>
      <c r="BX148" s="207">
        <v>151492.253400503</v>
      </c>
      <c r="BY148" s="207">
        <v>335902.63491397357</v>
      </c>
      <c r="BZ148" s="207">
        <v>808.1999999999999</v>
      </c>
      <c r="CA148" s="207">
        <v>43268.91066117222</v>
      </c>
      <c r="CB148" s="207">
        <v>-211369.63206817495</v>
      </c>
      <c r="CC148" s="207">
        <v>-1522418.3105155786</v>
      </c>
      <c r="CD148" s="207">
        <v>0</v>
      </c>
      <c r="CE148" s="207">
        <v>447443.2922491736</v>
      </c>
      <c r="CF148" s="207">
        <v>0</v>
      </c>
      <c r="CG148" s="207">
        <v>7261058.06102244</v>
      </c>
      <c r="CH148" s="207">
        <v>-334954</v>
      </c>
      <c r="CI148" s="207">
        <v>187591.956</v>
      </c>
      <c r="CJ148" s="207">
        <v>110117.837534</v>
      </c>
      <c r="CK148" s="207">
        <v>77474.118466</v>
      </c>
      <c r="CL148" s="207">
        <v>23116959.410799406</v>
      </c>
      <c r="CM148" s="207">
        <v>24615132.819034997</v>
      </c>
      <c r="CN148" s="207">
        <v>9019</v>
      </c>
    </row>
    <row r="149" spans="1:92" ht="9.75">
      <c r="A149" s="207">
        <v>495</v>
      </c>
      <c r="B149" s="207" t="s">
        <v>206</v>
      </c>
      <c r="C149" s="207">
        <v>1584</v>
      </c>
      <c r="D149" s="207">
        <v>6579586.22</v>
      </c>
      <c r="E149" s="207">
        <v>2408097.8932120195</v>
      </c>
      <c r="F149" s="207">
        <v>726002.1765288267</v>
      </c>
      <c r="G149" s="207">
        <v>9713686.289740846</v>
      </c>
      <c r="H149" s="207">
        <v>3654.72</v>
      </c>
      <c r="I149" s="207">
        <v>5789076.4799999995</v>
      </c>
      <c r="J149" s="207">
        <v>3924609.809740846</v>
      </c>
      <c r="K149" s="207">
        <v>152336.24231764616</v>
      </c>
      <c r="L149" s="207">
        <v>-153305.87493050506</v>
      </c>
      <c r="M149" s="207">
        <v>0</v>
      </c>
      <c r="N149" s="207">
        <v>3923640.177127987</v>
      </c>
      <c r="O149" s="207">
        <v>1158602.8854122611</v>
      </c>
      <c r="P149" s="207">
        <v>5082243.062540248</v>
      </c>
      <c r="Q149" s="207">
        <v>66</v>
      </c>
      <c r="R149" s="207">
        <v>9</v>
      </c>
      <c r="S149" s="207">
        <v>102</v>
      </c>
      <c r="T149" s="207">
        <v>57</v>
      </c>
      <c r="U149" s="207">
        <v>49</v>
      </c>
      <c r="V149" s="207">
        <v>753</v>
      </c>
      <c r="W149" s="207">
        <v>281</v>
      </c>
      <c r="X149" s="207">
        <v>167</v>
      </c>
      <c r="Y149" s="207">
        <v>100</v>
      </c>
      <c r="Z149" s="207">
        <v>1</v>
      </c>
      <c r="AA149" s="207">
        <v>0</v>
      </c>
      <c r="AB149" s="207">
        <v>1566</v>
      </c>
      <c r="AC149" s="207">
        <v>17</v>
      </c>
      <c r="AD149" s="207">
        <v>548</v>
      </c>
      <c r="AE149" s="480">
        <v>1.2905465377523213</v>
      </c>
      <c r="AF149" s="207">
        <v>2408097.8932120195</v>
      </c>
      <c r="AG149" s="175">
        <v>55</v>
      </c>
      <c r="AH149" s="175">
        <v>634</v>
      </c>
      <c r="AI149" s="175">
        <v>0.8891963482796662</v>
      </c>
      <c r="AJ149" s="175">
        <v>17</v>
      </c>
      <c r="AK149" s="175">
        <v>0.010732323232323232</v>
      </c>
      <c r="AL149" s="175">
        <v>0.0074512441218602355</v>
      </c>
      <c r="AM149" s="175">
        <v>0</v>
      </c>
      <c r="AN149" s="175">
        <v>1</v>
      </c>
      <c r="AO149" s="175">
        <v>0</v>
      </c>
      <c r="AP149" s="175">
        <v>0</v>
      </c>
      <c r="AQ149" s="175">
        <v>0</v>
      </c>
      <c r="AR149" s="175">
        <v>733.24</v>
      </c>
      <c r="AS149" s="175">
        <v>2.1602749440837923</v>
      </c>
      <c r="AT149" s="175">
        <v>8.401950034471703</v>
      </c>
      <c r="AU149" s="175">
        <v>43</v>
      </c>
      <c r="AV149" s="175">
        <v>351</v>
      </c>
      <c r="AW149" s="175">
        <v>0.1225071225071225</v>
      </c>
      <c r="AX149" s="175">
        <v>0.06704588877763751</v>
      </c>
      <c r="AY149" s="175">
        <v>0.23113333333333333</v>
      </c>
      <c r="AZ149" s="207">
        <v>598</v>
      </c>
      <c r="BA149" s="175">
        <v>545</v>
      </c>
      <c r="BB149" s="175">
        <v>1.0972477064220183</v>
      </c>
      <c r="BC149" s="175">
        <v>0.7075528589983064</v>
      </c>
      <c r="BD149" s="175">
        <v>0</v>
      </c>
      <c r="BE149" s="175">
        <v>0</v>
      </c>
      <c r="BF149" s="207">
        <v>-10323.16</v>
      </c>
      <c r="BG149" s="207">
        <v>-12629.92</v>
      </c>
      <c r="BH149" s="207">
        <v>-6494.4</v>
      </c>
      <c r="BI149" s="207">
        <v>-27321.199999999997</v>
      </c>
      <c r="BJ149" s="207">
        <v>0</v>
      </c>
      <c r="BK149" s="207">
        <v>0</v>
      </c>
      <c r="BL149" s="207">
        <v>35851</v>
      </c>
      <c r="BM149" s="207">
        <v>-30485.82124384484</v>
      </c>
      <c r="BN149" s="207">
        <v>-67415.04000000001</v>
      </c>
      <c r="BO149" s="207">
        <v>30935.09080532845</v>
      </c>
      <c r="BP149" s="207">
        <v>201000</v>
      </c>
      <c r="BQ149" s="207">
        <v>58208</v>
      </c>
      <c r="BR149" s="207">
        <v>145030.28769449375</v>
      </c>
      <c r="BS149" s="207">
        <v>7608.706656098017</v>
      </c>
      <c r="BT149" s="207">
        <v>11383.485910040366</v>
      </c>
      <c r="BU149" s="207">
        <v>76181.8023706329</v>
      </c>
      <c r="BV149" s="207">
        <v>89379.49012113403</v>
      </c>
      <c r="BW149" s="207">
        <v>138868.57876536797</v>
      </c>
      <c r="BX149" s="207">
        <v>39101.05290441499</v>
      </c>
      <c r="BY149" s="207">
        <v>76872.69028395084</v>
      </c>
      <c r="BZ149" s="207">
        <v>142.56</v>
      </c>
      <c r="CA149" s="207">
        <v>-16999.544491988687</v>
      </c>
      <c r="CB149" s="207">
        <v>49929.10631333976</v>
      </c>
      <c r="CC149" s="207">
        <v>-153305.87493050506</v>
      </c>
      <c r="CD149" s="207">
        <v>0</v>
      </c>
      <c r="CE149" s="207">
        <v>107965.53201872055</v>
      </c>
      <c r="CF149" s="207">
        <v>0</v>
      </c>
      <c r="CG149" s="207">
        <v>1158602.8854122611</v>
      </c>
      <c r="CH149" s="207">
        <v>-524466</v>
      </c>
      <c r="CI149" s="207">
        <v>10874.896</v>
      </c>
      <c r="CJ149" s="207">
        <v>44451.1374</v>
      </c>
      <c r="CK149" s="207">
        <v>-33576.2414</v>
      </c>
      <c r="CL149" s="207">
        <v>4557777.062540248</v>
      </c>
      <c r="CM149" s="207">
        <v>5755046.711080588</v>
      </c>
      <c r="CN149" s="207">
        <v>1636</v>
      </c>
    </row>
    <row r="150" spans="1:92" ht="9.75">
      <c r="A150" s="207">
        <v>498</v>
      </c>
      <c r="B150" s="207" t="s">
        <v>207</v>
      </c>
      <c r="C150" s="207">
        <v>2299</v>
      </c>
      <c r="D150" s="207">
        <v>7979348.4399999995</v>
      </c>
      <c r="E150" s="207">
        <v>2725520.688897624</v>
      </c>
      <c r="F150" s="207">
        <v>1910223.4127053213</v>
      </c>
      <c r="G150" s="207">
        <v>12615092.541602945</v>
      </c>
      <c r="H150" s="207">
        <v>3654.72</v>
      </c>
      <c r="I150" s="207">
        <v>8402201.28</v>
      </c>
      <c r="J150" s="207">
        <v>4212891.261602946</v>
      </c>
      <c r="K150" s="207">
        <v>2728823.2341949604</v>
      </c>
      <c r="L150" s="207">
        <v>-29179.726051115023</v>
      </c>
      <c r="M150" s="207">
        <v>0</v>
      </c>
      <c r="N150" s="207">
        <v>6912534.769746791</v>
      </c>
      <c r="O150" s="207">
        <v>1264838.9680658286</v>
      </c>
      <c r="P150" s="207">
        <v>8177373.73781262</v>
      </c>
      <c r="Q150" s="207">
        <v>109</v>
      </c>
      <c r="R150" s="207">
        <v>29</v>
      </c>
      <c r="S150" s="207">
        <v>167</v>
      </c>
      <c r="T150" s="207">
        <v>72</v>
      </c>
      <c r="U150" s="207">
        <v>63</v>
      </c>
      <c r="V150" s="207">
        <v>1252</v>
      </c>
      <c r="W150" s="207">
        <v>335</v>
      </c>
      <c r="X150" s="207">
        <v>211</v>
      </c>
      <c r="Y150" s="207">
        <v>61</v>
      </c>
      <c r="Z150" s="207">
        <v>13</v>
      </c>
      <c r="AA150" s="207">
        <v>5</v>
      </c>
      <c r="AB150" s="207">
        <v>2195</v>
      </c>
      <c r="AC150" s="207">
        <v>86</v>
      </c>
      <c r="AD150" s="207">
        <v>607</v>
      </c>
      <c r="AE150" s="480">
        <v>1.006387470782537</v>
      </c>
      <c r="AF150" s="207">
        <v>2725520.688897624</v>
      </c>
      <c r="AG150" s="175">
        <v>150</v>
      </c>
      <c r="AH150" s="175">
        <v>1054</v>
      </c>
      <c r="AI150" s="175">
        <v>1.4587299072174615</v>
      </c>
      <c r="AJ150" s="175">
        <v>86</v>
      </c>
      <c r="AK150" s="175">
        <v>0.037407568508046975</v>
      </c>
      <c r="AL150" s="175">
        <v>0.034126489397583976</v>
      </c>
      <c r="AM150" s="175">
        <v>0</v>
      </c>
      <c r="AN150" s="175">
        <v>13</v>
      </c>
      <c r="AO150" s="175">
        <v>5</v>
      </c>
      <c r="AP150" s="175">
        <v>0</v>
      </c>
      <c r="AQ150" s="175">
        <v>0</v>
      </c>
      <c r="AR150" s="175">
        <v>1906</v>
      </c>
      <c r="AS150" s="175">
        <v>1.2061909758656872</v>
      </c>
      <c r="AT150" s="175">
        <v>15.047801305167688</v>
      </c>
      <c r="AU150" s="175">
        <v>84</v>
      </c>
      <c r="AV150" s="175">
        <v>652</v>
      </c>
      <c r="AW150" s="175">
        <v>0.12883435582822086</v>
      </c>
      <c r="AX150" s="175">
        <v>0.07337312209873587</v>
      </c>
      <c r="AY150" s="175">
        <v>1.7676</v>
      </c>
      <c r="AZ150" s="207">
        <v>1031</v>
      </c>
      <c r="BA150" s="175">
        <v>983</v>
      </c>
      <c r="BB150" s="175">
        <v>1.0488301119023398</v>
      </c>
      <c r="BC150" s="175">
        <v>0.6591352644786279</v>
      </c>
      <c r="BD150" s="175">
        <v>0</v>
      </c>
      <c r="BE150" s="175">
        <v>5</v>
      </c>
      <c r="BF150" s="207">
        <v>-14714.919999999998</v>
      </c>
      <c r="BG150" s="207">
        <v>-18003.04</v>
      </c>
      <c r="BH150" s="207">
        <v>-9425.9</v>
      </c>
      <c r="BI150" s="207">
        <v>-38944.4</v>
      </c>
      <c r="BJ150" s="207">
        <v>0</v>
      </c>
      <c r="BK150" s="207">
        <v>0</v>
      </c>
      <c r="BL150" s="207">
        <v>21632</v>
      </c>
      <c r="BM150" s="207">
        <v>-36593.86419882635</v>
      </c>
      <c r="BN150" s="207">
        <v>-97845.44</v>
      </c>
      <c r="BO150" s="207">
        <v>250073.0429299483</v>
      </c>
      <c r="BP150" s="207">
        <v>181502</v>
      </c>
      <c r="BQ150" s="207">
        <v>72651</v>
      </c>
      <c r="BR150" s="207">
        <v>189835.50121662323</v>
      </c>
      <c r="BS150" s="207">
        <v>9827.294284804399</v>
      </c>
      <c r="BT150" s="207">
        <v>18290.03388256738</v>
      </c>
      <c r="BU150" s="207">
        <v>66345.62201419225</v>
      </c>
      <c r="BV150" s="207">
        <v>141999.74252757968</v>
      </c>
      <c r="BW150" s="207">
        <v>202939.75100335455</v>
      </c>
      <c r="BX150" s="207">
        <v>74196.18839086179</v>
      </c>
      <c r="BY150" s="207">
        <v>119805.01513015835</v>
      </c>
      <c r="BZ150" s="207">
        <v>206.91</v>
      </c>
      <c r="CA150" s="207">
        <v>-15076.774782236955</v>
      </c>
      <c r="CB150" s="207">
        <v>256835.17814771133</v>
      </c>
      <c r="CC150" s="207">
        <v>-29179.726051115023</v>
      </c>
      <c r="CD150" s="207">
        <v>0</v>
      </c>
      <c r="CE150" s="207">
        <v>159470.2682767379</v>
      </c>
      <c r="CF150" s="207">
        <v>0</v>
      </c>
      <c r="CG150" s="207">
        <v>1264838.9680658286</v>
      </c>
      <c r="CH150" s="207">
        <v>148873</v>
      </c>
      <c r="CI150" s="207">
        <v>81561.72</v>
      </c>
      <c r="CJ150" s="207">
        <v>13593.62</v>
      </c>
      <c r="CK150" s="207">
        <v>67968.1</v>
      </c>
      <c r="CL150" s="207">
        <v>8326246.73781262</v>
      </c>
      <c r="CM150" s="207">
        <v>9080705.819636011</v>
      </c>
      <c r="CN150" s="207">
        <v>2332</v>
      </c>
    </row>
    <row r="151" spans="1:92" ht="9.75">
      <c r="A151" s="207">
        <v>499</v>
      </c>
      <c r="B151" s="207" t="s">
        <v>208</v>
      </c>
      <c r="C151" s="207">
        <v>19444</v>
      </c>
      <c r="D151" s="207">
        <v>74581734.63</v>
      </c>
      <c r="E151" s="207">
        <v>18656973.963220626</v>
      </c>
      <c r="F151" s="207">
        <v>7021478.4014812615</v>
      </c>
      <c r="G151" s="207">
        <v>100260186.99470188</v>
      </c>
      <c r="H151" s="207">
        <v>3654.72</v>
      </c>
      <c r="I151" s="207">
        <v>71062375.67999999</v>
      </c>
      <c r="J151" s="207">
        <v>29197811.314701885</v>
      </c>
      <c r="K151" s="207">
        <v>231147.4782027199</v>
      </c>
      <c r="L151" s="207">
        <v>-2394561.432147663</v>
      </c>
      <c r="M151" s="207">
        <v>0</v>
      </c>
      <c r="N151" s="207">
        <v>27034397.36075694</v>
      </c>
      <c r="O151" s="207">
        <v>3809364.975993872</v>
      </c>
      <c r="P151" s="207">
        <v>30843762.336750813</v>
      </c>
      <c r="Q151" s="207">
        <v>1480</v>
      </c>
      <c r="R151" s="207">
        <v>268</v>
      </c>
      <c r="S151" s="207">
        <v>1639</v>
      </c>
      <c r="T151" s="207">
        <v>769</v>
      </c>
      <c r="U151" s="207">
        <v>641</v>
      </c>
      <c r="V151" s="207">
        <v>10503</v>
      </c>
      <c r="W151" s="207">
        <v>2274</v>
      </c>
      <c r="X151" s="207">
        <v>1243</v>
      </c>
      <c r="Y151" s="207">
        <v>627</v>
      </c>
      <c r="Z151" s="207">
        <v>13350</v>
      </c>
      <c r="AA151" s="207">
        <v>1</v>
      </c>
      <c r="AB151" s="207">
        <v>5579</v>
      </c>
      <c r="AC151" s="207">
        <v>514</v>
      </c>
      <c r="AD151" s="207">
        <v>4144</v>
      </c>
      <c r="AE151" s="480">
        <v>0.8145360357156727</v>
      </c>
      <c r="AF151" s="207">
        <v>18656973.963220626</v>
      </c>
      <c r="AG151" s="175">
        <v>456</v>
      </c>
      <c r="AH151" s="175">
        <v>9462</v>
      </c>
      <c r="AI151" s="175">
        <v>0.49397632841998546</v>
      </c>
      <c r="AJ151" s="175">
        <v>514</v>
      </c>
      <c r="AK151" s="175">
        <v>0.026434889940341495</v>
      </c>
      <c r="AL151" s="175">
        <v>0.0231538108298785</v>
      </c>
      <c r="AM151" s="175">
        <v>3</v>
      </c>
      <c r="AN151" s="175">
        <v>13350</v>
      </c>
      <c r="AO151" s="175">
        <v>1</v>
      </c>
      <c r="AP151" s="175">
        <v>3</v>
      </c>
      <c r="AQ151" s="175">
        <v>2154</v>
      </c>
      <c r="AR151" s="175">
        <v>849.13</v>
      </c>
      <c r="AS151" s="175">
        <v>22.89873164297575</v>
      </c>
      <c r="AT151" s="175">
        <v>0.7926431220692042</v>
      </c>
      <c r="AU151" s="175">
        <v>468</v>
      </c>
      <c r="AV151" s="175">
        <v>6450</v>
      </c>
      <c r="AW151" s="175">
        <v>0.07255813953488371</v>
      </c>
      <c r="AX151" s="175">
        <v>0.01709690580539871</v>
      </c>
      <c r="AY151" s="175">
        <v>0</v>
      </c>
      <c r="AZ151" s="207">
        <v>5068</v>
      </c>
      <c r="BA151" s="175">
        <v>8871</v>
      </c>
      <c r="BB151" s="175">
        <v>0.5712997407282155</v>
      </c>
      <c r="BC151" s="175">
        <v>0.1816048933045037</v>
      </c>
      <c r="BD151" s="175">
        <v>0</v>
      </c>
      <c r="BE151" s="175">
        <v>1</v>
      </c>
      <c r="BF151" s="207">
        <v>-122313.04</v>
      </c>
      <c r="BG151" s="207">
        <v>-149644.47999999998</v>
      </c>
      <c r="BH151" s="207">
        <v>-79720.4</v>
      </c>
      <c r="BI151" s="207">
        <v>-323712.8</v>
      </c>
      <c r="BJ151" s="207">
        <v>0</v>
      </c>
      <c r="BK151" s="207">
        <v>0</v>
      </c>
      <c r="BL151" s="207">
        <v>-186509</v>
      </c>
      <c r="BM151" s="207">
        <v>-242908.72987772862</v>
      </c>
      <c r="BN151" s="207">
        <v>-827536.64</v>
      </c>
      <c r="BO151" s="207">
        <v>184900.8623964414</v>
      </c>
      <c r="BP151" s="207">
        <v>1354331</v>
      </c>
      <c r="BQ151" s="207">
        <v>457111</v>
      </c>
      <c r="BR151" s="207">
        <v>972889.3078533442</v>
      </c>
      <c r="BS151" s="207">
        <v>21636.19619890987</v>
      </c>
      <c r="BT151" s="207">
        <v>12412.837833004593</v>
      </c>
      <c r="BU151" s="207">
        <v>412351.04040340486</v>
      </c>
      <c r="BV151" s="207">
        <v>922743.1690326901</v>
      </c>
      <c r="BW151" s="207">
        <v>1507483.560543186</v>
      </c>
      <c r="BX151" s="207">
        <v>416792.2585272256</v>
      </c>
      <c r="BY151" s="207">
        <v>740084.8058070397</v>
      </c>
      <c r="BZ151" s="207">
        <v>1749.96</v>
      </c>
      <c r="CA151" s="207">
        <v>-52714.12466637585</v>
      </c>
      <c r="CB151" s="207">
        <v>-52572.30226993445</v>
      </c>
      <c r="CC151" s="207">
        <v>-2394561.432147663</v>
      </c>
      <c r="CD151" s="207">
        <v>0</v>
      </c>
      <c r="CE151" s="207">
        <v>972090.3473987605</v>
      </c>
      <c r="CF151" s="207">
        <v>0</v>
      </c>
      <c r="CG151" s="207">
        <v>3809364.975993872</v>
      </c>
      <c r="CH151" s="207">
        <v>-1943622</v>
      </c>
      <c r="CI151" s="207">
        <v>730045.3620999999</v>
      </c>
      <c r="CJ151" s="207">
        <v>706609.96122</v>
      </c>
      <c r="CK151" s="207">
        <v>23435.400879999856</v>
      </c>
      <c r="CL151" s="207">
        <v>28900140.336750813</v>
      </c>
      <c r="CM151" s="207">
        <v>32293973.228809908</v>
      </c>
      <c r="CN151" s="207">
        <v>19384</v>
      </c>
    </row>
    <row r="152" spans="1:92" ht="9.75">
      <c r="A152" s="207">
        <v>500</v>
      </c>
      <c r="B152" s="207" t="s">
        <v>209</v>
      </c>
      <c r="C152" s="207">
        <v>10170</v>
      </c>
      <c r="D152" s="207">
        <v>37112802.72</v>
      </c>
      <c r="E152" s="207">
        <v>10091814.371828454</v>
      </c>
      <c r="F152" s="207">
        <v>1040472.5494775755</v>
      </c>
      <c r="G152" s="207">
        <v>48245089.64130603</v>
      </c>
      <c r="H152" s="207">
        <v>3654.72</v>
      </c>
      <c r="I152" s="207">
        <v>37168502.4</v>
      </c>
      <c r="J152" s="207">
        <v>11076587.24130603</v>
      </c>
      <c r="K152" s="207">
        <v>172081.79400717418</v>
      </c>
      <c r="L152" s="207">
        <v>-1485027.2591416528</v>
      </c>
      <c r="M152" s="207">
        <v>0</v>
      </c>
      <c r="N152" s="207">
        <v>9763641.77617155</v>
      </c>
      <c r="O152" s="207">
        <v>253813.04590673783</v>
      </c>
      <c r="P152" s="207">
        <v>10017454.822078288</v>
      </c>
      <c r="Q152" s="207">
        <v>785</v>
      </c>
      <c r="R152" s="207">
        <v>158</v>
      </c>
      <c r="S152" s="207">
        <v>999</v>
      </c>
      <c r="T152" s="207">
        <v>450</v>
      </c>
      <c r="U152" s="207">
        <v>400</v>
      </c>
      <c r="V152" s="207">
        <v>5607</v>
      </c>
      <c r="W152" s="207">
        <v>1111</v>
      </c>
      <c r="X152" s="207">
        <v>497</v>
      </c>
      <c r="Y152" s="207">
        <v>163</v>
      </c>
      <c r="Z152" s="207">
        <v>13</v>
      </c>
      <c r="AA152" s="207">
        <v>0</v>
      </c>
      <c r="AB152" s="207">
        <v>10012</v>
      </c>
      <c r="AC152" s="207">
        <v>145</v>
      </c>
      <c r="AD152" s="207">
        <v>1771</v>
      </c>
      <c r="AE152" s="480">
        <v>0.8423702300140776</v>
      </c>
      <c r="AF152" s="207">
        <v>10091814.371828454</v>
      </c>
      <c r="AG152" s="175">
        <v>364</v>
      </c>
      <c r="AH152" s="175">
        <v>4859</v>
      </c>
      <c r="AI152" s="175">
        <v>0.7678541281243362</v>
      </c>
      <c r="AJ152" s="175">
        <v>145</v>
      </c>
      <c r="AK152" s="175">
        <v>0.014257620452310717</v>
      </c>
      <c r="AL152" s="175">
        <v>0.01097654134184772</v>
      </c>
      <c r="AM152" s="175">
        <v>0</v>
      </c>
      <c r="AN152" s="175">
        <v>13</v>
      </c>
      <c r="AO152" s="175">
        <v>0</v>
      </c>
      <c r="AP152" s="175">
        <v>0</v>
      </c>
      <c r="AQ152" s="175">
        <v>0</v>
      </c>
      <c r="AR152" s="175">
        <v>144.05</v>
      </c>
      <c r="AS152" s="175">
        <v>70.60048594238111</v>
      </c>
      <c r="AT152" s="175">
        <v>0.25708777919356374</v>
      </c>
      <c r="AU152" s="175">
        <v>196</v>
      </c>
      <c r="AV152" s="175">
        <v>3534</v>
      </c>
      <c r="AW152" s="175">
        <v>0.055461233729485006</v>
      </c>
      <c r="AX152" s="175">
        <v>0</v>
      </c>
      <c r="AY152" s="175">
        <v>0</v>
      </c>
      <c r="AZ152" s="207">
        <v>2887</v>
      </c>
      <c r="BA152" s="175">
        <v>4454</v>
      </c>
      <c r="BB152" s="175">
        <v>0.6481814099685675</v>
      </c>
      <c r="BC152" s="175">
        <v>0.2584865625448557</v>
      </c>
      <c r="BD152" s="175">
        <v>0</v>
      </c>
      <c r="BE152" s="175">
        <v>0</v>
      </c>
      <c r="BF152" s="207">
        <v>-63712.06999999999</v>
      </c>
      <c r="BG152" s="207">
        <v>-77948.84</v>
      </c>
      <c r="BH152" s="207">
        <v>-41697</v>
      </c>
      <c r="BI152" s="207">
        <v>-168619.9</v>
      </c>
      <c r="BJ152" s="207">
        <v>0</v>
      </c>
      <c r="BK152" s="207">
        <v>0</v>
      </c>
      <c r="BL152" s="207">
        <v>104302</v>
      </c>
      <c r="BM152" s="207">
        <v>-439384.7241628489</v>
      </c>
      <c r="BN152" s="207">
        <v>-432835.2</v>
      </c>
      <c r="BO152" s="207">
        <v>-63532.664028301835</v>
      </c>
      <c r="BP152" s="207">
        <v>581389</v>
      </c>
      <c r="BQ152" s="207">
        <v>183400</v>
      </c>
      <c r="BR152" s="207">
        <v>363140.8708062557</v>
      </c>
      <c r="BS152" s="207">
        <v>3914.9002659224384</v>
      </c>
      <c r="BT152" s="207">
        <v>-423439.1547483835</v>
      </c>
      <c r="BU152" s="207">
        <v>128225.02205424709</v>
      </c>
      <c r="BV152" s="207">
        <v>386549.5045330577</v>
      </c>
      <c r="BW152" s="207">
        <v>667376.9982023478</v>
      </c>
      <c r="BX152" s="207">
        <v>167680.14204433767</v>
      </c>
      <c r="BY152" s="207">
        <v>323116.8319311075</v>
      </c>
      <c r="BZ152" s="207">
        <v>915.3</v>
      </c>
      <c r="CA152" s="207">
        <v>9298.039049497762</v>
      </c>
      <c r="CB152" s="207">
        <v>50982.67502119593</v>
      </c>
      <c r="CC152" s="207">
        <v>-1485027.2591416528</v>
      </c>
      <c r="CD152" s="207">
        <v>0</v>
      </c>
      <c r="CE152" s="207">
        <v>379412.16862785514</v>
      </c>
      <c r="CF152" s="207">
        <v>0</v>
      </c>
      <c r="CG152" s="207">
        <v>253813.04590673783</v>
      </c>
      <c r="CH152" s="207">
        <v>-669433</v>
      </c>
      <c r="CI152" s="207">
        <v>149597.7881</v>
      </c>
      <c r="CJ152" s="207">
        <v>344435.14355999994</v>
      </c>
      <c r="CK152" s="207">
        <v>-194837.35545999993</v>
      </c>
      <c r="CL152" s="207">
        <v>9348021.822078288</v>
      </c>
      <c r="CM152" s="207">
        <v>10007921.469693525</v>
      </c>
      <c r="CN152" s="207">
        <v>10097</v>
      </c>
    </row>
    <row r="153" spans="1:92" ht="9.75">
      <c r="A153" s="207">
        <v>503</v>
      </c>
      <c r="B153" s="207" t="s">
        <v>210</v>
      </c>
      <c r="C153" s="207">
        <v>7766</v>
      </c>
      <c r="D153" s="207">
        <v>27912675.71</v>
      </c>
      <c r="E153" s="207">
        <v>8901211.984890934</v>
      </c>
      <c r="F153" s="207">
        <v>1329589.6281158782</v>
      </c>
      <c r="G153" s="207">
        <v>38143477.32300681</v>
      </c>
      <c r="H153" s="207">
        <v>3654.72</v>
      </c>
      <c r="I153" s="207">
        <v>28382555.52</v>
      </c>
      <c r="J153" s="207">
        <v>9760921.80300681</v>
      </c>
      <c r="K153" s="207">
        <v>102110.19242980727</v>
      </c>
      <c r="L153" s="207">
        <v>-1096027.7013170824</v>
      </c>
      <c r="M153" s="207">
        <v>0</v>
      </c>
      <c r="N153" s="207">
        <v>8767004.294119533</v>
      </c>
      <c r="O153" s="207">
        <v>4243076.734992568</v>
      </c>
      <c r="P153" s="207">
        <v>13010081.0291121</v>
      </c>
      <c r="Q153" s="207">
        <v>415</v>
      </c>
      <c r="R153" s="207">
        <v>81</v>
      </c>
      <c r="S153" s="207">
        <v>516</v>
      </c>
      <c r="T153" s="207">
        <v>266</v>
      </c>
      <c r="U153" s="207">
        <v>265</v>
      </c>
      <c r="V153" s="207">
        <v>4227</v>
      </c>
      <c r="W153" s="207">
        <v>1138</v>
      </c>
      <c r="X153" s="207">
        <v>587</v>
      </c>
      <c r="Y153" s="207">
        <v>271</v>
      </c>
      <c r="Z153" s="207">
        <v>56</v>
      </c>
      <c r="AA153" s="207">
        <v>0</v>
      </c>
      <c r="AB153" s="207">
        <v>7563</v>
      </c>
      <c r="AC153" s="207">
        <v>147</v>
      </c>
      <c r="AD153" s="207">
        <v>1996</v>
      </c>
      <c r="AE153" s="480">
        <v>0.9729857221097115</v>
      </c>
      <c r="AF153" s="207">
        <v>8901211.984890934</v>
      </c>
      <c r="AG153" s="175">
        <v>238</v>
      </c>
      <c r="AH153" s="175">
        <v>3635</v>
      </c>
      <c r="AI153" s="175">
        <v>0.6711147449524341</v>
      </c>
      <c r="AJ153" s="175">
        <v>147</v>
      </c>
      <c r="AK153" s="175">
        <v>0.018928663404584083</v>
      </c>
      <c r="AL153" s="175">
        <v>0.015647584294121088</v>
      </c>
      <c r="AM153" s="175">
        <v>0</v>
      </c>
      <c r="AN153" s="175">
        <v>56</v>
      </c>
      <c r="AO153" s="175">
        <v>0</v>
      </c>
      <c r="AP153" s="175">
        <v>0</v>
      </c>
      <c r="AQ153" s="175">
        <v>0</v>
      </c>
      <c r="AR153" s="175">
        <v>519.79</v>
      </c>
      <c r="AS153" s="175">
        <v>14.940649108293735</v>
      </c>
      <c r="AT153" s="175">
        <v>1.2148416048963764</v>
      </c>
      <c r="AU153" s="175">
        <v>307</v>
      </c>
      <c r="AV153" s="175">
        <v>2357</v>
      </c>
      <c r="AW153" s="175">
        <v>0.1302503182011031</v>
      </c>
      <c r="AX153" s="175">
        <v>0.07478908447161811</v>
      </c>
      <c r="AY153" s="175">
        <v>0</v>
      </c>
      <c r="AZ153" s="207">
        <v>1976</v>
      </c>
      <c r="BA153" s="175">
        <v>3346</v>
      </c>
      <c r="BB153" s="175">
        <v>0.5905558876270174</v>
      </c>
      <c r="BC153" s="175">
        <v>0.20086104020330553</v>
      </c>
      <c r="BD153" s="175">
        <v>0</v>
      </c>
      <c r="BE153" s="175">
        <v>0</v>
      </c>
      <c r="BF153" s="207">
        <v>-49457.78</v>
      </c>
      <c r="BG153" s="207">
        <v>-60509.36</v>
      </c>
      <c r="BH153" s="207">
        <v>-31840.6</v>
      </c>
      <c r="BI153" s="207">
        <v>-130894.59999999999</v>
      </c>
      <c r="BJ153" s="207">
        <v>0</v>
      </c>
      <c r="BK153" s="207">
        <v>0</v>
      </c>
      <c r="BL153" s="207">
        <v>-137561</v>
      </c>
      <c r="BM153" s="207">
        <v>-138392.60626906366</v>
      </c>
      <c r="BN153" s="207">
        <v>-330520.96</v>
      </c>
      <c r="BO153" s="207">
        <v>16050.776211857796</v>
      </c>
      <c r="BP153" s="207">
        <v>672555</v>
      </c>
      <c r="BQ153" s="207">
        <v>216780</v>
      </c>
      <c r="BR153" s="207">
        <v>474562.0938275964</v>
      </c>
      <c r="BS153" s="207">
        <v>15988.73824683974</v>
      </c>
      <c r="BT153" s="207">
        <v>78732.96706707103</v>
      </c>
      <c r="BU153" s="207">
        <v>195548.96349423224</v>
      </c>
      <c r="BV153" s="207">
        <v>430684.55735492456</v>
      </c>
      <c r="BW153" s="207">
        <v>726253.7460421171</v>
      </c>
      <c r="BX153" s="207">
        <v>200202.43590228446</v>
      </c>
      <c r="BY153" s="207">
        <v>347871.3990283382</v>
      </c>
      <c r="BZ153" s="207">
        <v>698.9399999999999</v>
      </c>
      <c r="CA153" s="207">
        <v>4505.048740123515</v>
      </c>
      <c r="CB153" s="207">
        <v>-116306.23504801869</v>
      </c>
      <c r="CC153" s="207">
        <v>-1096027.7013170824</v>
      </c>
      <c r="CD153" s="207">
        <v>0</v>
      </c>
      <c r="CE153" s="207">
        <v>460505.5633940815</v>
      </c>
      <c r="CF153" s="207">
        <v>0</v>
      </c>
      <c r="CG153" s="207">
        <v>4243076.734992568</v>
      </c>
      <c r="CH153" s="207">
        <v>-105319</v>
      </c>
      <c r="CI153" s="207">
        <v>304497.08800000005</v>
      </c>
      <c r="CJ153" s="207">
        <v>193872.20844000002</v>
      </c>
      <c r="CK153" s="207">
        <v>110624.87956000003</v>
      </c>
      <c r="CL153" s="207">
        <v>12904762.0291121</v>
      </c>
      <c r="CM153" s="207">
        <v>14851382.761720829</v>
      </c>
      <c r="CN153" s="207">
        <v>7838</v>
      </c>
    </row>
    <row r="154" spans="1:92" ht="9.75">
      <c r="A154" s="207">
        <v>504</v>
      </c>
      <c r="B154" s="207" t="s">
        <v>211</v>
      </c>
      <c r="C154" s="207">
        <v>1922</v>
      </c>
      <c r="D154" s="207">
        <v>7063277.9799999995</v>
      </c>
      <c r="E154" s="207">
        <v>2191590.9128401745</v>
      </c>
      <c r="F154" s="207">
        <v>656365.451515279</v>
      </c>
      <c r="G154" s="207">
        <v>9911234.344355453</v>
      </c>
      <c r="H154" s="207">
        <v>3654.72</v>
      </c>
      <c r="I154" s="207">
        <v>7024371.84</v>
      </c>
      <c r="J154" s="207">
        <v>2886862.504355453</v>
      </c>
      <c r="K154" s="207">
        <v>23385.309934589463</v>
      </c>
      <c r="L154" s="207">
        <v>-103518.65232435922</v>
      </c>
      <c r="M154" s="207">
        <v>0</v>
      </c>
      <c r="N154" s="207">
        <v>2806729.161965683</v>
      </c>
      <c r="O154" s="207">
        <v>1391287.7549060185</v>
      </c>
      <c r="P154" s="207">
        <v>4198016.916871701</v>
      </c>
      <c r="Q154" s="207">
        <v>96</v>
      </c>
      <c r="R154" s="207">
        <v>25</v>
      </c>
      <c r="S154" s="207">
        <v>142</v>
      </c>
      <c r="T154" s="207">
        <v>66</v>
      </c>
      <c r="U154" s="207">
        <v>43</v>
      </c>
      <c r="V154" s="207">
        <v>1019</v>
      </c>
      <c r="W154" s="207">
        <v>305</v>
      </c>
      <c r="X154" s="207">
        <v>155</v>
      </c>
      <c r="Y154" s="207">
        <v>71</v>
      </c>
      <c r="Z154" s="207">
        <v>176</v>
      </c>
      <c r="AA154" s="207">
        <v>0</v>
      </c>
      <c r="AB154" s="207">
        <v>1671</v>
      </c>
      <c r="AC154" s="207">
        <v>75</v>
      </c>
      <c r="AD154" s="207">
        <v>531</v>
      </c>
      <c r="AE154" s="480">
        <v>0.9679675921375824</v>
      </c>
      <c r="AF154" s="207">
        <v>2191590.9128401745</v>
      </c>
      <c r="AG154" s="175">
        <v>98</v>
      </c>
      <c r="AH154" s="175">
        <v>892</v>
      </c>
      <c r="AI154" s="175">
        <v>1.1261220446659645</v>
      </c>
      <c r="AJ154" s="175">
        <v>75</v>
      </c>
      <c r="AK154" s="175">
        <v>0.03902185223725286</v>
      </c>
      <c r="AL154" s="175">
        <v>0.03574077312678986</v>
      </c>
      <c r="AM154" s="175">
        <v>1</v>
      </c>
      <c r="AN154" s="175">
        <v>176</v>
      </c>
      <c r="AO154" s="175">
        <v>0</v>
      </c>
      <c r="AP154" s="175">
        <v>0</v>
      </c>
      <c r="AQ154" s="175">
        <v>0</v>
      </c>
      <c r="AR154" s="175">
        <v>200.36</v>
      </c>
      <c r="AS154" s="175">
        <v>9.59273308045518</v>
      </c>
      <c r="AT154" s="175">
        <v>1.8921116629309906</v>
      </c>
      <c r="AU154" s="175">
        <v>98</v>
      </c>
      <c r="AV154" s="175">
        <v>561</v>
      </c>
      <c r="AW154" s="175">
        <v>0.1746880570409982</v>
      </c>
      <c r="AX154" s="175">
        <v>0.11922682331151321</v>
      </c>
      <c r="AY154" s="175">
        <v>0</v>
      </c>
      <c r="AZ154" s="207">
        <v>457</v>
      </c>
      <c r="BA154" s="175">
        <v>794</v>
      </c>
      <c r="BB154" s="175">
        <v>0.575566750629723</v>
      </c>
      <c r="BC154" s="175">
        <v>0.1858719032060111</v>
      </c>
      <c r="BD154" s="175">
        <v>0</v>
      </c>
      <c r="BE154" s="175">
        <v>0</v>
      </c>
      <c r="BF154" s="207">
        <v>-12424.39</v>
      </c>
      <c r="BG154" s="207">
        <v>-15200.68</v>
      </c>
      <c r="BH154" s="207">
        <v>-7880.199999999999</v>
      </c>
      <c r="BI154" s="207">
        <v>-32882.299999999996</v>
      </c>
      <c r="BJ154" s="207">
        <v>0</v>
      </c>
      <c r="BK154" s="207">
        <v>0</v>
      </c>
      <c r="BL154" s="207">
        <v>-5293</v>
      </c>
      <c r="BM154" s="207">
        <v>-67944.079811722</v>
      </c>
      <c r="BN154" s="207">
        <v>-81800.32</v>
      </c>
      <c r="BO154" s="207">
        <v>166062.03001650702</v>
      </c>
      <c r="BP154" s="207">
        <v>195468</v>
      </c>
      <c r="BQ154" s="207">
        <v>62369</v>
      </c>
      <c r="BR154" s="207">
        <v>141372.8779053007</v>
      </c>
      <c r="BS154" s="207">
        <v>6568.424044971691</v>
      </c>
      <c r="BT154" s="207">
        <v>18572.25033574297</v>
      </c>
      <c r="BU154" s="207">
        <v>55129.76659964208</v>
      </c>
      <c r="BV154" s="207">
        <v>116165.3091711666</v>
      </c>
      <c r="BW154" s="207">
        <v>177216.08435129444</v>
      </c>
      <c r="BX154" s="207">
        <v>61755.48162109174</v>
      </c>
      <c r="BY154" s="207">
        <v>92708.74512305671</v>
      </c>
      <c r="BZ154" s="207">
        <v>172.98</v>
      </c>
      <c r="CA154" s="207">
        <v>12599.827470855751</v>
      </c>
      <c r="CB154" s="207">
        <v>173541.8374873628</v>
      </c>
      <c r="CC154" s="207">
        <v>-103518.65232435922</v>
      </c>
      <c r="CD154" s="207">
        <v>0</v>
      </c>
      <c r="CE154" s="207">
        <v>125473.27135620078</v>
      </c>
      <c r="CF154" s="207">
        <v>0</v>
      </c>
      <c r="CG154" s="207">
        <v>1391287.7549060185</v>
      </c>
      <c r="CH154" s="207">
        <v>-411778</v>
      </c>
      <c r="CI154" s="207">
        <v>13593.62</v>
      </c>
      <c r="CJ154" s="207">
        <v>822128.54398</v>
      </c>
      <c r="CK154" s="207">
        <v>-808534.92398</v>
      </c>
      <c r="CL154" s="207">
        <v>3786238.9168717014</v>
      </c>
      <c r="CM154" s="207">
        <v>4581603.737001607</v>
      </c>
      <c r="CN154" s="207">
        <v>1969</v>
      </c>
    </row>
    <row r="155" spans="1:92" ht="9.75">
      <c r="A155" s="207">
        <v>505</v>
      </c>
      <c r="B155" s="207" t="s">
        <v>212</v>
      </c>
      <c r="C155" s="207">
        <v>20686</v>
      </c>
      <c r="D155" s="207">
        <v>74129315.20000002</v>
      </c>
      <c r="E155" s="207">
        <v>22345721.92903637</v>
      </c>
      <c r="F155" s="207">
        <v>3428206.5514376434</v>
      </c>
      <c r="G155" s="207">
        <v>99903243.68047404</v>
      </c>
      <c r="H155" s="207">
        <v>3654.72</v>
      </c>
      <c r="I155" s="207">
        <v>75601537.92</v>
      </c>
      <c r="J155" s="207">
        <v>24301705.76047404</v>
      </c>
      <c r="K155" s="207">
        <v>371393.1060295297</v>
      </c>
      <c r="L155" s="207">
        <v>-3321445.9418651485</v>
      </c>
      <c r="M155" s="207">
        <v>0</v>
      </c>
      <c r="N155" s="207">
        <v>21351652.92463842</v>
      </c>
      <c r="O155" s="207">
        <v>5156981.747584984</v>
      </c>
      <c r="P155" s="207">
        <v>26508634.672223404</v>
      </c>
      <c r="Q155" s="207">
        <v>1398</v>
      </c>
      <c r="R155" s="207">
        <v>286</v>
      </c>
      <c r="S155" s="207">
        <v>1863</v>
      </c>
      <c r="T155" s="207">
        <v>891</v>
      </c>
      <c r="U155" s="207">
        <v>841</v>
      </c>
      <c r="V155" s="207">
        <v>11578</v>
      </c>
      <c r="W155" s="207">
        <v>2337</v>
      </c>
      <c r="X155" s="207">
        <v>1091</v>
      </c>
      <c r="Y155" s="207">
        <v>401</v>
      </c>
      <c r="Z155" s="207">
        <v>196</v>
      </c>
      <c r="AA155" s="207">
        <v>3</v>
      </c>
      <c r="AB155" s="207">
        <v>19824</v>
      </c>
      <c r="AC155" s="207">
        <v>663</v>
      </c>
      <c r="AD155" s="207">
        <v>3829</v>
      </c>
      <c r="AE155" s="480">
        <v>0.9170068488302978</v>
      </c>
      <c r="AF155" s="207">
        <v>22345721.92903637</v>
      </c>
      <c r="AG155" s="175">
        <v>567</v>
      </c>
      <c r="AH155" s="175">
        <v>10125</v>
      </c>
      <c r="AI155" s="175">
        <v>0.5740004936240231</v>
      </c>
      <c r="AJ155" s="175">
        <v>663</v>
      </c>
      <c r="AK155" s="175">
        <v>0.032050662283670116</v>
      </c>
      <c r="AL155" s="175">
        <v>0.02876958317320712</v>
      </c>
      <c r="AM155" s="175">
        <v>0</v>
      </c>
      <c r="AN155" s="175">
        <v>196</v>
      </c>
      <c r="AO155" s="175">
        <v>3</v>
      </c>
      <c r="AP155" s="175">
        <v>0</v>
      </c>
      <c r="AQ155" s="175">
        <v>0</v>
      </c>
      <c r="AR155" s="175">
        <v>580.82</v>
      </c>
      <c r="AS155" s="175">
        <v>35.61516476705347</v>
      </c>
      <c r="AT155" s="175">
        <v>0.5096290375077439</v>
      </c>
      <c r="AU155" s="175">
        <v>990</v>
      </c>
      <c r="AV155" s="175">
        <v>6882</v>
      </c>
      <c r="AW155" s="175">
        <v>0.14385353095030515</v>
      </c>
      <c r="AX155" s="175">
        <v>0.08839229722082015</v>
      </c>
      <c r="AY155" s="175">
        <v>0</v>
      </c>
      <c r="AZ155" s="207">
        <v>6230</v>
      </c>
      <c r="BA155" s="175">
        <v>9383</v>
      </c>
      <c r="BB155" s="175">
        <v>0.6639667483747203</v>
      </c>
      <c r="BC155" s="175">
        <v>0.2742719009510084</v>
      </c>
      <c r="BD155" s="175">
        <v>0</v>
      </c>
      <c r="BE155" s="175">
        <v>3</v>
      </c>
      <c r="BF155" s="207">
        <v>-131266.93</v>
      </c>
      <c r="BG155" s="207">
        <v>-160599.16</v>
      </c>
      <c r="BH155" s="207">
        <v>-84812.59999999999</v>
      </c>
      <c r="BI155" s="207">
        <v>-347410.1</v>
      </c>
      <c r="BJ155" s="207">
        <v>0</v>
      </c>
      <c r="BK155" s="207">
        <v>0</v>
      </c>
      <c r="BL155" s="207">
        <v>-224658</v>
      </c>
      <c r="BM155" s="207">
        <v>-927801.2633942254</v>
      </c>
      <c r="BN155" s="207">
        <v>-880396.16</v>
      </c>
      <c r="BO155" s="207">
        <v>80214.3359831199</v>
      </c>
      <c r="BP155" s="207">
        <v>1479734</v>
      </c>
      <c r="BQ155" s="207">
        <v>475013</v>
      </c>
      <c r="BR155" s="207">
        <v>989053.6281817912</v>
      </c>
      <c r="BS155" s="207">
        <v>9088.89205300404</v>
      </c>
      <c r="BT155" s="207">
        <v>13788.275486488605</v>
      </c>
      <c r="BU155" s="207">
        <v>313030.11754291435</v>
      </c>
      <c r="BV155" s="207">
        <v>1002537.4279780103</v>
      </c>
      <c r="BW155" s="207">
        <v>1537345.6575770497</v>
      </c>
      <c r="BX155" s="207">
        <v>427475.5058452923</v>
      </c>
      <c r="BY155" s="207">
        <v>779475.2186518909</v>
      </c>
      <c r="BZ155" s="207">
        <v>1861.74</v>
      </c>
      <c r="CA155" s="207">
        <v>-12345.044454043076</v>
      </c>
      <c r="CB155" s="207">
        <v>-154926.9684709232</v>
      </c>
      <c r="CC155" s="207">
        <v>-3321445.9418651485</v>
      </c>
      <c r="CD155" s="207">
        <v>0</v>
      </c>
      <c r="CE155" s="207">
        <v>1001701.6257097448</v>
      </c>
      <c r="CF155" s="207">
        <v>0</v>
      </c>
      <c r="CG155" s="207">
        <v>5156981.747584984</v>
      </c>
      <c r="CH155" s="207">
        <v>-2059394</v>
      </c>
      <c r="CI155" s="207">
        <v>834920.1404</v>
      </c>
      <c r="CJ155" s="207">
        <v>1875131.13004</v>
      </c>
      <c r="CK155" s="207">
        <v>-1040210.9896399999</v>
      </c>
      <c r="CL155" s="207">
        <v>24449240.672223404</v>
      </c>
      <c r="CM155" s="207">
        <v>28720030.99386033</v>
      </c>
      <c r="CN155" s="207">
        <v>20803</v>
      </c>
    </row>
    <row r="156" spans="1:92" ht="9.75">
      <c r="A156" s="207">
        <v>508</v>
      </c>
      <c r="B156" s="207" t="s">
        <v>213</v>
      </c>
      <c r="C156" s="207">
        <v>9983</v>
      </c>
      <c r="D156" s="207">
        <v>36519366.68</v>
      </c>
      <c r="E156" s="207">
        <v>16248024.332982559</v>
      </c>
      <c r="F156" s="207">
        <v>2066649.5779158203</v>
      </c>
      <c r="G156" s="207">
        <v>54834040.59089838</v>
      </c>
      <c r="H156" s="207">
        <v>3654.72</v>
      </c>
      <c r="I156" s="207">
        <v>36485069.76</v>
      </c>
      <c r="J156" s="207">
        <v>18348970.83089838</v>
      </c>
      <c r="K156" s="207">
        <v>437892.7646766773</v>
      </c>
      <c r="L156" s="207">
        <v>-1379161.9742158272</v>
      </c>
      <c r="M156" s="207">
        <v>0</v>
      </c>
      <c r="N156" s="207">
        <v>17407701.621359233</v>
      </c>
      <c r="O156" s="207">
        <v>4445113.904807456</v>
      </c>
      <c r="P156" s="207">
        <v>21852815.52616669</v>
      </c>
      <c r="Q156" s="207">
        <v>375</v>
      </c>
      <c r="R156" s="207">
        <v>83</v>
      </c>
      <c r="S156" s="207">
        <v>526</v>
      </c>
      <c r="T156" s="207">
        <v>276</v>
      </c>
      <c r="U156" s="207">
        <v>338</v>
      </c>
      <c r="V156" s="207">
        <v>5029</v>
      </c>
      <c r="W156" s="207">
        <v>1872</v>
      </c>
      <c r="X156" s="207">
        <v>1025</v>
      </c>
      <c r="Y156" s="207">
        <v>459</v>
      </c>
      <c r="Z156" s="207">
        <v>19</v>
      </c>
      <c r="AA156" s="207">
        <v>3</v>
      </c>
      <c r="AB156" s="207">
        <v>9705</v>
      </c>
      <c r="AC156" s="207">
        <v>256</v>
      </c>
      <c r="AD156" s="207">
        <v>3356</v>
      </c>
      <c r="AE156" s="480">
        <v>1.3816377768337378</v>
      </c>
      <c r="AF156" s="207">
        <v>16248024.332982559</v>
      </c>
      <c r="AG156" s="175">
        <v>416</v>
      </c>
      <c r="AH156" s="175">
        <v>4259</v>
      </c>
      <c r="AI156" s="175">
        <v>1.0011748454851641</v>
      </c>
      <c r="AJ156" s="175">
        <v>256</v>
      </c>
      <c r="AK156" s="175">
        <v>0.025643594109986977</v>
      </c>
      <c r="AL156" s="175">
        <v>0.02236251499952398</v>
      </c>
      <c r="AM156" s="175">
        <v>0</v>
      </c>
      <c r="AN156" s="175">
        <v>19</v>
      </c>
      <c r="AO156" s="175">
        <v>3</v>
      </c>
      <c r="AP156" s="175">
        <v>0</v>
      </c>
      <c r="AQ156" s="175">
        <v>0</v>
      </c>
      <c r="AR156" s="175">
        <v>534.85</v>
      </c>
      <c r="AS156" s="175">
        <v>18.665046274656444</v>
      </c>
      <c r="AT156" s="175">
        <v>0.9724338141908657</v>
      </c>
      <c r="AU156" s="175">
        <v>351</v>
      </c>
      <c r="AV156" s="175">
        <v>2599</v>
      </c>
      <c r="AW156" s="175">
        <v>0.13505194305502116</v>
      </c>
      <c r="AX156" s="175">
        <v>0.07959070932553616</v>
      </c>
      <c r="AY156" s="175">
        <v>0</v>
      </c>
      <c r="AZ156" s="207">
        <v>3776</v>
      </c>
      <c r="BA156" s="175">
        <v>3563</v>
      </c>
      <c r="BB156" s="175">
        <v>1.0597810833567218</v>
      </c>
      <c r="BC156" s="175">
        <v>0.67008623593301</v>
      </c>
      <c r="BD156" s="175">
        <v>0</v>
      </c>
      <c r="BE156" s="175">
        <v>3</v>
      </c>
      <c r="BF156" s="207">
        <v>-64715.35999999999</v>
      </c>
      <c r="BG156" s="207">
        <v>-79176.31999999999</v>
      </c>
      <c r="BH156" s="207">
        <v>-40930.299999999996</v>
      </c>
      <c r="BI156" s="207">
        <v>-171275.19999999998</v>
      </c>
      <c r="BJ156" s="207">
        <v>0</v>
      </c>
      <c r="BK156" s="207">
        <v>0</v>
      </c>
      <c r="BL156" s="207">
        <v>69280</v>
      </c>
      <c r="BM156" s="207">
        <v>-382677.46343989915</v>
      </c>
      <c r="BN156" s="207">
        <v>-424876.48000000004</v>
      </c>
      <c r="BO156" s="207">
        <v>12822.151121586561</v>
      </c>
      <c r="BP156" s="207">
        <v>803272</v>
      </c>
      <c r="BQ156" s="207">
        <v>260536</v>
      </c>
      <c r="BR156" s="207">
        <v>594607.0055709057</v>
      </c>
      <c r="BS156" s="207">
        <v>29984.572558197375</v>
      </c>
      <c r="BT156" s="207">
        <v>81713.79125779483</v>
      </c>
      <c r="BU156" s="207">
        <v>348205.48234426253</v>
      </c>
      <c r="BV156" s="207">
        <v>470837.27244409214</v>
      </c>
      <c r="BW156" s="207">
        <v>887671.2259239312</v>
      </c>
      <c r="BX156" s="207">
        <v>228034.70317835227</v>
      </c>
      <c r="BY156" s="207">
        <v>418329.02621177264</v>
      </c>
      <c r="BZ156" s="207">
        <v>898.4699999999999</v>
      </c>
      <c r="CA156" s="207">
        <v>7567.308102485476</v>
      </c>
      <c r="CB156" s="207">
        <v>90567.92922407204</v>
      </c>
      <c r="CC156" s="207">
        <v>-1379161.9742158272</v>
      </c>
      <c r="CD156" s="207">
        <v>0</v>
      </c>
      <c r="CE156" s="207">
        <v>534889.7192558051</v>
      </c>
      <c r="CF156" s="207">
        <v>0</v>
      </c>
      <c r="CG156" s="207">
        <v>4445113.904807456</v>
      </c>
      <c r="CH156" s="207">
        <v>-729530</v>
      </c>
      <c r="CI156" s="207">
        <v>276018.45410000003</v>
      </c>
      <c r="CJ156" s="207">
        <v>124612.71454000002</v>
      </c>
      <c r="CK156" s="207">
        <v>151405.73956000002</v>
      </c>
      <c r="CL156" s="207">
        <v>21123285.52616669</v>
      </c>
      <c r="CM156" s="207">
        <v>24030723.102820776</v>
      </c>
      <c r="CN156" s="207">
        <v>10256</v>
      </c>
    </row>
    <row r="157" spans="1:92" ht="9.75">
      <c r="A157" s="207">
        <v>507</v>
      </c>
      <c r="B157" s="207" t="s">
        <v>214</v>
      </c>
      <c r="C157" s="207">
        <v>5924</v>
      </c>
      <c r="D157" s="207">
        <v>21936948.09</v>
      </c>
      <c r="E157" s="207">
        <v>10929262.959966624</v>
      </c>
      <c r="F157" s="207">
        <v>1738434.5877910254</v>
      </c>
      <c r="G157" s="207">
        <v>34604645.63775765</v>
      </c>
      <c r="H157" s="207">
        <v>3654.72</v>
      </c>
      <c r="I157" s="207">
        <v>21650561.279999997</v>
      </c>
      <c r="J157" s="207">
        <v>12954084.357757654</v>
      </c>
      <c r="K157" s="207">
        <v>461873.56792262534</v>
      </c>
      <c r="L157" s="207">
        <v>-942719.2094190442</v>
      </c>
      <c r="M157" s="207">
        <v>0</v>
      </c>
      <c r="N157" s="207">
        <v>12473238.716261236</v>
      </c>
      <c r="O157" s="207">
        <v>3790480.507064283</v>
      </c>
      <c r="P157" s="207">
        <v>16263719.223325519</v>
      </c>
      <c r="Q157" s="207">
        <v>256</v>
      </c>
      <c r="R157" s="207">
        <v>41</v>
      </c>
      <c r="S157" s="207">
        <v>301</v>
      </c>
      <c r="T157" s="207">
        <v>180</v>
      </c>
      <c r="U157" s="207">
        <v>161</v>
      </c>
      <c r="V157" s="207">
        <v>2885</v>
      </c>
      <c r="W157" s="207">
        <v>1171</v>
      </c>
      <c r="X157" s="207">
        <v>671</v>
      </c>
      <c r="Y157" s="207">
        <v>258</v>
      </c>
      <c r="Z157" s="207">
        <v>12</v>
      </c>
      <c r="AA157" s="207">
        <v>0</v>
      </c>
      <c r="AB157" s="207">
        <v>5788</v>
      </c>
      <c r="AC157" s="207">
        <v>124</v>
      </c>
      <c r="AD157" s="207">
        <v>2100</v>
      </c>
      <c r="AE157" s="480">
        <v>1.5661398311788919</v>
      </c>
      <c r="AF157" s="207">
        <v>10929262.959966624</v>
      </c>
      <c r="AG157" s="175">
        <v>240</v>
      </c>
      <c r="AH157" s="175">
        <v>2451</v>
      </c>
      <c r="AI157" s="175">
        <v>1.0036728337541931</v>
      </c>
      <c r="AJ157" s="175">
        <v>124</v>
      </c>
      <c r="AK157" s="175">
        <v>0.020931802835921675</v>
      </c>
      <c r="AL157" s="175">
        <v>0.01765072372545868</v>
      </c>
      <c r="AM157" s="175">
        <v>0</v>
      </c>
      <c r="AN157" s="175">
        <v>12</v>
      </c>
      <c r="AO157" s="175">
        <v>0</v>
      </c>
      <c r="AP157" s="175">
        <v>0</v>
      </c>
      <c r="AQ157" s="175">
        <v>0</v>
      </c>
      <c r="AR157" s="175">
        <v>980.87</v>
      </c>
      <c r="AS157" s="175">
        <v>6.039536329992761</v>
      </c>
      <c r="AT157" s="175">
        <v>3.0052840398982963</v>
      </c>
      <c r="AU157" s="175">
        <v>239</v>
      </c>
      <c r="AV157" s="175">
        <v>1399</v>
      </c>
      <c r="AW157" s="175">
        <v>0.1708363116511794</v>
      </c>
      <c r="AX157" s="175">
        <v>0.11537507792169441</v>
      </c>
      <c r="AY157" s="175">
        <v>0.1996</v>
      </c>
      <c r="AZ157" s="207">
        <v>1931</v>
      </c>
      <c r="BA157" s="175">
        <v>2092</v>
      </c>
      <c r="BB157" s="175">
        <v>0.9230401529636711</v>
      </c>
      <c r="BC157" s="175">
        <v>0.5333453055399593</v>
      </c>
      <c r="BD157" s="175">
        <v>0</v>
      </c>
      <c r="BE157" s="175">
        <v>0</v>
      </c>
      <c r="BF157" s="207">
        <v>-38200.74</v>
      </c>
      <c r="BG157" s="207">
        <v>-46736.88</v>
      </c>
      <c r="BH157" s="207">
        <v>-24288.399999999998</v>
      </c>
      <c r="BI157" s="207">
        <v>-101101.8</v>
      </c>
      <c r="BJ157" s="207">
        <v>0</v>
      </c>
      <c r="BK157" s="207">
        <v>0</v>
      </c>
      <c r="BL157" s="207">
        <v>-181678</v>
      </c>
      <c r="BM157" s="207">
        <v>-200162.6745670475</v>
      </c>
      <c r="BN157" s="207">
        <v>-252125.44</v>
      </c>
      <c r="BO157" s="207">
        <v>122414.00437887199</v>
      </c>
      <c r="BP157" s="207">
        <v>612511</v>
      </c>
      <c r="BQ157" s="207">
        <v>180567</v>
      </c>
      <c r="BR157" s="207">
        <v>450385.43213346513</v>
      </c>
      <c r="BS157" s="207">
        <v>24541.28516919258</v>
      </c>
      <c r="BT157" s="207">
        <v>82977.25452723737</v>
      </c>
      <c r="BU157" s="207">
        <v>229492.8758543228</v>
      </c>
      <c r="BV157" s="207">
        <v>315091.644873337</v>
      </c>
      <c r="BW157" s="207">
        <v>509287.6136667533</v>
      </c>
      <c r="BX157" s="207">
        <v>144620.6813741098</v>
      </c>
      <c r="BY157" s="207">
        <v>270129.4987416424</v>
      </c>
      <c r="BZ157" s="207">
        <v>533.16</v>
      </c>
      <c r="CA157" s="207">
        <v>-39742.59923086878</v>
      </c>
      <c r="CB157" s="207">
        <v>-98473.43485199678</v>
      </c>
      <c r="CC157" s="207">
        <v>-942719.2094190442</v>
      </c>
      <c r="CD157" s="207">
        <v>0</v>
      </c>
      <c r="CE157" s="207">
        <v>366252.40444420127</v>
      </c>
      <c r="CF157" s="207">
        <v>0</v>
      </c>
      <c r="CG157" s="207">
        <v>3790480.507064283</v>
      </c>
      <c r="CH157" s="207">
        <v>-246054</v>
      </c>
      <c r="CI157" s="207">
        <v>265279.4943</v>
      </c>
      <c r="CJ157" s="207">
        <v>88358.53</v>
      </c>
      <c r="CK157" s="207">
        <v>176920.96430000002</v>
      </c>
      <c r="CL157" s="207">
        <v>16017665.223325519</v>
      </c>
      <c r="CM157" s="207">
        <v>17658681.854260948</v>
      </c>
      <c r="CN157" s="207">
        <v>6054</v>
      </c>
    </row>
    <row r="158" spans="1:92" ht="9.75">
      <c r="A158" s="207">
        <v>529</v>
      </c>
      <c r="B158" s="207" t="s">
        <v>215</v>
      </c>
      <c r="C158" s="207">
        <v>19245</v>
      </c>
      <c r="D158" s="207">
        <v>65966081.96999999</v>
      </c>
      <c r="E158" s="207">
        <v>19993149.512517944</v>
      </c>
      <c r="F158" s="207">
        <v>4014428.8544901893</v>
      </c>
      <c r="G158" s="207">
        <v>89973660.33700812</v>
      </c>
      <c r="H158" s="207">
        <v>3654.72</v>
      </c>
      <c r="I158" s="207">
        <v>70335086.39999999</v>
      </c>
      <c r="J158" s="207">
        <v>19638573.937008128</v>
      </c>
      <c r="K158" s="207">
        <v>388509.6593379648</v>
      </c>
      <c r="L158" s="207">
        <v>-3148538.919006414</v>
      </c>
      <c r="M158" s="207">
        <v>0</v>
      </c>
      <c r="N158" s="207">
        <v>16878544.677339677</v>
      </c>
      <c r="O158" s="207">
        <v>-4888917.2278111875</v>
      </c>
      <c r="P158" s="207">
        <v>11989627.44952849</v>
      </c>
      <c r="Q158" s="207">
        <v>991</v>
      </c>
      <c r="R158" s="207">
        <v>174</v>
      </c>
      <c r="S158" s="207">
        <v>1336</v>
      </c>
      <c r="T158" s="207">
        <v>694</v>
      </c>
      <c r="U158" s="207">
        <v>660</v>
      </c>
      <c r="V158" s="207">
        <v>10598</v>
      </c>
      <c r="W158" s="207">
        <v>2920</v>
      </c>
      <c r="X158" s="207">
        <v>1377</v>
      </c>
      <c r="Y158" s="207">
        <v>495</v>
      </c>
      <c r="Z158" s="207">
        <v>251</v>
      </c>
      <c r="AA158" s="207">
        <v>1</v>
      </c>
      <c r="AB158" s="207">
        <v>18512</v>
      </c>
      <c r="AC158" s="207">
        <v>481</v>
      </c>
      <c r="AD158" s="207">
        <v>4792</v>
      </c>
      <c r="AE158" s="480">
        <v>0.881897289597322</v>
      </c>
      <c r="AF158" s="207">
        <v>19993149.512517944</v>
      </c>
      <c r="AG158" s="175">
        <v>666</v>
      </c>
      <c r="AH158" s="175">
        <v>8950</v>
      </c>
      <c r="AI158" s="175">
        <v>0.7627380861005573</v>
      </c>
      <c r="AJ158" s="175">
        <v>481</v>
      </c>
      <c r="AK158" s="175">
        <v>0.02499350480644323</v>
      </c>
      <c r="AL158" s="175">
        <v>0.021712425695980236</v>
      </c>
      <c r="AM158" s="175">
        <v>0</v>
      </c>
      <c r="AN158" s="175">
        <v>251</v>
      </c>
      <c r="AO158" s="175">
        <v>1</v>
      </c>
      <c r="AP158" s="175">
        <v>3</v>
      </c>
      <c r="AQ158" s="175">
        <v>4288</v>
      </c>
      <c r="AR158" s="175">
        <v>312.45</v>
      </c>
      <c r="AS158" s="175">
        <v>61.59385501680269</v>
      </c>
      <c r="AT158" s="175">
        <v>0.2946807296923004</v>
      </c>
      <c r="AU158" s="175">
        <v>639</v>
      </c>
      <c r="AV158" s="175">
        <v>6004</v>
      </c>
      <c r="AW158" s="175">
        <v>0.10642904730179881</v>
      </c>
      <c r="AX158" s="175">
        <v>0.0509678135723138</v>
      </c>
      <c r="AY158" s="175">
        <v>0</v>
      </c>
      <c r="AZ158" s="207">
        <v>5739</v>
      </c>
      <c r="BA158" s="175">
        <v>8221</v>
      </c>
      <c r="BB158" s="175">
        <v>0.6980902566597738</v>
      </c>
      <c r="BC158" s="175">
        <v>0.3083954092360619</v>
      </c>
      <c r="BD158" s="175">
        <v>0</v>
      </c>
      <c r="BE158" s="175">
        <v>1</v>
      </c>
      <c r="BF158" s="207">
        <v>-120943.76999999999</v>
      </c>
      <c r="BG158" s="207">
        <v>-147969.24</v>
      </c>
      <c r="BH158" s="207">
        <v>-78904.5</v>
      </c>
      <c r="BI158" s="207">
        <v>-320088.89999999997</v>
      </c>
      <c r="BJ158" s="207">
        <v>0</v>
      </c>
      <c r="BK158" s="207">
        <v>0</v>
      </c>
      <c r="BL158" s="207">
        <v>-111370</v>
      </c>
      <c r="BM158" s="207">
        <v>-574948.1412307199</v>
      </c>
      <c r="BN158" s="207">
        <v>-819067.2000000001</v>
      </c>
      <c r="BO158" s="207">
        <v>-180401.39770806208</v>
      </c>
      <c r="BP158" s="207">
        <v>1126269</v>
      </c>
      <c r="BQ158" s="207">
        <v>399804</v>
      </c>
      <c r="BR158" s="207">
        <v>766201.2766296709</v>
      </c>
      <c r="BS158" s="207">
        <v>14389.925838253772</v>
      </c>
      <c r="BT158" s="207">
        <v>-431494.31892511674</v>
      </c>
      <c r="BU158" s="207">
        <v>292074.77072624414</v>
      </c>
      <c r="BV158" s="207">
        <v>716649.1748623804</v>
      </c>
      <c r="BW158" s="207">
        <v>1313253.560745515</v>
      </c>
      <c r="BX158" s="207">
        <v>386703.96748320304</v>
      </c>
      <c r="BY158" s="207">
        <v>671825.3355864485</v>
      </c>
      <c r="BZ158" s="207">
        <v>1732.05</v>
      </c>
      <c r="CA158" s="207">
        <v>-206526.12006763177</v>
      </c>
      <c r="CB158" s="207">
        <v>-496565.46777569386</v>
      </c>
      <c r="CC158" s="207">
        <v>-3148538.919006414</v>
      </c>
      <c r="CD158" s="207">
        <v>0</v>
      </c>
      <c r="CE158" s="207">
        <v>837054.1054922671</v>
      </c>
      <c r="CF158" s="207">
        <v>0</v>
      </c>
      <c r="CG158" s="207">
        <v>-4888917.2278111875</v>
      </c>
      <c r="CH158" s="207">
        <v>-1084563</v>
      </c>
      <c r="CI158" s="207">
        <v>511256.0482</v>
      </c>
      <c r="CJ158" s="207">
        <v>560895.870354</v>
      </c>
      <c r="CK158" s="207">
        <v>-49639.822153999994</v>
      </c>
      <c r="CL158" s="207">
        <v>10905064.44952849</v>
      </c>
      <c r="CM158" s="207">
        <v>14581967.83959551</v>
      </c>
      <c r="CN158" s="207">
        <v>19167</v>
      </c>
    </row>
    <row r="159" spans="1:92" ht="9.75">
      <c r="A159" s="207">
        <v>531</v>
      </c>
      <c r="B159" s="207" t="s">
        <v>216</v>
      </c>
      <c r="C159" s="207">
        <v>5437</v>
      </c>
      <c r="D159" s="207">
        <v>20070051.840000004</v>
      </c>
      <c r="E159" s="207">
        <v>6276928.926264425</v>
      </c>
      <c r="F159" s="207">
        <v>831920.5703914558</v>
      </c>
      <c r="G159" s="207">
        <v>27178901.336655885</v>
      </c>
      <c r="H159" s="207">
        <v>3654.72</v>
      </c>
      <c r="I159" s="207">
        <v>19870712.64</v>
      </c>
      <c r="J159" s="207">
        <v>7308188.696655884</v>
      </c>
      <c r="K159" s="207">
        <v>118480.43720974881</v>
      </c>
      <c r="L159" s="207">
        <v>-784278.2668570786</v>
      </c>
      <c r="M159" s="207">
        <v>0</v>
      </c>
      <c r="N159" s="207">
        <v>6642390.867008555</v>
      </c>
      <c r="O159" s="207">
        <v>3174336.2789338757</v>
      </c>
      <c r="P159" s="207">
        <v>9816727.145942431</v>
      </c>
      <c r="Q159" s="207">
        <v>277</v>
      </c>
      <c r="R159" s="207">
        <v>56</v>
      </c>
      <c r="S159" s="207">
        <v>379</v>
      </c>
      <c r="T159" s="207">
        <v>203</v>
      </c>
      <c r="U159" s="207">
        <v>198</v>
      </c>
      <c r="V159" s="207">
        <v>2833</v>
      </c>
      <c r="W159" s="207">
        <v>832</v>
      </c>
      <c r="X159" s="207">
        <v>471</v>
      </c>
      <c r="Y159" s="207">
        <v>188</v>
      </c>
      <c r="Z159" s="207">
        <v>27</v>
      </c>
      <c r="AA159" s="207">
        <v>0</v>
      </c>
      <c r="AB159" s="207">
        <v>5328</v>
      </c>
      <c r="AC159" s="207">
        <v>82</v>
      </c>
      <c r="AD159" s="207">
        <v>1491</v>
      </c>
      <c r="AE159" s="480">
        <v>0.9800372606148628</v>
      </c>
      <c r="AF159" s="207">
        <v>6276928.926264425</v>
      </c>
      <c r="AG159" s="175">
        <v>204</v>
      </c>
      <c r="AH159" s="175">
        <v>2398</v>
      </c>
      <c r="AI159" s="175">
        <v>0.8719773970816507</v>
      </c>
      <c r="AJ159" s="175">
        <v>82</v>
      </c>
      <c r="AK159" s="175">
        <v>0.015081846606584513</v>
      </c>
      <c r="AL159" s="175">
        <v>0.011800767496121516</v>
      </c>
      <c r="AM159" s="175">
        <v>0</v>
      </c>
      <c r="AN159" s="175">
        <v>27</v>
      </c>
      <c r="AO159" s="175">
        <v>0</v>
      </c>
      <c r="AP159" s="175">
        <v>0</v>
      </c>
      <c r="AQ159" s="175">
        <v>0</v>
      </c>
      <c r="AR159" s="175">
        <v>182.91</v>
      </c>
      <c r="AS159" s="175">
        <v>29.725001366792412</v>
      </c>
      <c r="AT159" s="175">
        <v>0.6106146780935128</v>
      </c>
      <c r="AU159" s="175">
        <v>188</v>
      </c>
      <c r="AV159" s="175">
        <v>1590</v>
      </c>
      <c r="AW159" s="175">
        <v>0.11823899371069183</v>
      </c>
      <c r="AX159" s="175">
        <v>0.06277775998120683</v>
      </c>
      <c r="AY159" s="175">
        <v>0</v>
      </c>
      <c r="AZ159" s="207">
        <v>1516</v>
      </c>
      <c r="BA159" s="175">
        <v>2098</v>
      </c>
      <c r="BB159" s="175">
        <v>0.7225929456625357</v>
      </c>
      <c r="BC159" s="175">
        <v>0.3328980982388239</v>
      </c>
      <c r="BD159" s="175">
        <v>0</v>
      </c>
      <c r="BE159" s="175">
        <v>0</v>
      </c>
      <c r="BF159" s="207">
        <v>-34837.509999999995</v>
      </c>
      <c r="BG159" s="207">
        <v>-42622.119999999995</v>
      </c>
      <c r="BH159" s="207">
        <v>-22291.699999999997</v>
      </c>
      <c r="BI159" s="207">
        <v>-92200.7</v>
      </c>
      <c r="BJ159" s="207">
        <v>0</v>
      </c>
      <c r="BK159" s="207">
        <v>0</v>
      </c>
      <c r="BL159" s="207">
        <v>-28716</v>
      </c>
      <c r="BM159" s="207">
        <v>-182293.1012573194</v>
      </c>
      <c r="BN159" s="207">
        <v>-231398.72</v>
      </c>
      <c r="BO159" s="207">
        <v>-12822.98214763403</v>
      </c>
      <c r="BP159" s="207">
        <v>438841</v>
      </c>
      <c r="BQ159" s="207">
        <v>144033</v>
      </c>
      <c r="BR159" s="207">
        <v>315657.2615734365</v>
      </c>
      <c r="BS159" s="207">
        <v>13267.612924917235</v>
      </c>
      <c r="BT159" s="207">
        <v>5784.877426108886</v>
      </c>
      <c r="BU159" s="207">
        <v>154824.90383729787</v>
      </c>
      <c r="BV159" s="207">
        <v>277279.57392231474</v>
      </c>
      <c r="BW159" s="207">
        <v>446750.8001192693</v>
      </c>
      <c r="BX159" s="207">
        <v>120873.6093740913</v>
      </c>
      <c r="BY159" s="207">
        <v>226991.36700585016</v>
      </c>
      <c r="BZ159" s="207">
        <v>489.33</v>
      </c>
      <c r="CA159" s="207">
        <v>29113.656547874874</v>
      </c>
      <c r="CB159" s="207">
        <v>-11935.995599759153</v>
      </c>
      <c r="CC159" s="207">
        <v>-784278.2668570786</v>
      </c>
      <c r="CD159" s="207">
        <v>0</v>
      </c>
      <c r="CE159" s="207">
        <v>295492.10994245997</v>
      </c>
      <c r="CF159" s="207">
        <v>0</v>
      </c>
      <c r="CG159" s="207">
        <v>3174336.2789338757</v>
      </c>
      <c r="CH159" s="207">
        <v>-428633</v>
      </c>
      <c r="CI159" s="207">
        <v>84280.444</v>
      </c>
      <c r="CJ159" s="207">
        <v>171062.11408</v>
      </c>
      <c r="CK159" s="207">
        <v>-86781.67008</v>
      </c>
      <c r="CL159" s="207">
        <v>9388094.145942431</v>
      </c>
      <c r="CM159" s="207">
        <v>10805814.007652357</v>
      </c>
      <c r="CN159" s="207">
        <v>5521</v>
      </c>
    </row>
    <row r="160" spans="1:92" ht="9.75">
      <c r="A160" s="207">
        <v>535</v>
      </c>
      <c r="B160" s="207" t="s">
        <v>217</v>
      </c>
      <c r="C160" s="207">
        <v>10737</v>
      </c>
      <c r="D160" s="207">
        <v>44288314.13</v>
      </c>
      <c r="E160" s="207">
        <v>18334134.186008345</v>
      </c>
      <c r="F160" s="207">
        <v>1514171.6204862199</v>
      </c>
      <c r="G160" s="207">
        <v>64136619.93649457</v>
      </c>
      <c r="H160" s="207">
        <v>3654.72</v>
      </c>
      <c r="I160" s="207">
        <v>39240728.64</v>
      </c>
      <c r="J160" s="207">
        <v>24895891.296494566</v>
      </c>
      <c r="K160" s="207">
        <v>355960.99891271506</v>
      </c>
      <c r="L160" s="207">
        <v>-1365286.7360957416</v>
      </c>
      <c r="M160" s="207">
        <v>0</v>
      </c>
      <c r="N160" s="207">
        <v>23886565.55931154</v>
      </c>
      <c r="O160" s="207">
        <v>11169440.009225179</v>
      </c>
      <c r="P160" s="207">
        <v>35056005.56853671</v>
      </c>
      <c r="Q160" s="207">
        <v>901</v>
      </c>
      <c r="R160" s="207">
        <v>181</v>
      </c>
      <c r="S160" s="207">
        <v>1078</v>
      </c>
      <c r="T160" s="207">
        <v>501</v>
      </c>
      <c r="U160" s="207">
        <v>483</v>
      </c>
      <c r="V160" s="207">
        <v>5266</v>
      </c>
      <c r="W160" s="207">
        <v>1293</v>
      </c>
      <c r="X160" s="207">
        <v>708</v>
      </c>
      <c r="Y160" s="207">
        <v>326</v>
      </c>
      <c r="Z160" s="207">
        <v>5</v>
      </c>
      <c r="AA160" s="207">
        <v>0</v>
      </c>
      <c r="AB160" s="207">
        <v>10636</v>
      </c>
      <c r="AC160" s="207">
        <v>96</v>
      </c>
      <c r="AD160" s="207">
        <v>2327</v>
      </c>
      <c r="AE160" s="480">
        <v>1.4495465346578826</v>
      </c>
      <c r="AF160" s="207">
        <v>18334134.186008345</v>
      </c>
      <c r="AG160" s="175">
        <v>357</v>
      </c>
      <c r="AH160" s="175">
        <v>4473</v>
      </c>
      <c r="AI160" s="175">
        <v>0.8180758208927223</v>
      </c>
      <c r="AJ160" s="175">
        <v>96</v>
      </c>
      <c r="AK160" s="175">
        <v>0.008941044984632579</v>
      </c>
      <c r="AL160" s="175">
        <v>0.0056599658741695825</v>
      </c>
      <c r="AM160" s="175">
        <v>0</v>
      </c>
      <c r="AN160" s="175">
        <v>5</v>
      </c>
      <c r="AO160" s="175">
        <v>0</v>
      </c>
      <c r="AP160" s="175">
        <v>0</v>
      </c>
      <c r="AQ160" s="175">
        <v>0</v>
      </c>
      <c r="AR160" s="175">
        <v>527.88</v>
      </c>
      <c r="AS160" s="175">
        <v>20.33984996590134</v>
      </c>
      <c r="AT160" s="175">
        <v>0.8923626364669133</v>
      </c>
      <c r="AU160" s="175">
        <v>294</v>
      </c>
      <c r="AV160" s="175">
        <v>2850</v>
      </c>
      <c r="AW160" s="175">
        <v>0.1031578947368421</v>
      </c>
      <c r="AX160" s="175">
        <v>0.047696661007357095</v>
      </c>
      <c r="AY160" s="175">
        <v>0</v>
      </c>
      <c r="AZ160" s="207">
        <v>3564</v>
      </c>
      <c r="BA160" s="175">
        <v>3977</v>
      </c>
      <c r="BB160" s="175">
        <v>0.8961528790545638</v>
      </c>
      <c r="BC160" s="175">
        <v>0.5064580316308519</v>
      </c>
      <c r="BD160" s="175">
        <v>0</v>
      </c>
      <c r="BE160" s="175">
        <v>0</v>
      </c>
      <c r="BF160" s="207">
        <v>-68242.65</v>
      </c>
      <c r="BG160" s="207">
        <v>-83491.8</v>
      </c>
      <c r="BH160" s="207">
        <v>-44021.7</v>
      </c>
      <c r="BI160" s="207">
        <v>-180610.5</v>
      </c>
      <c r="BJ160" s="207">
        <v>0</v>
      </c>
      <c r="BK160" s="207">
        <v>0</v>
      </c>
      <c r="BL160" s="207">
        <v>-75295</v>
      </c>
      <c r="BM160" s="207">
        <v>-219358.14596146083</v>
      </c>
      <c r="BN160" s="207">
        <v>-456966.72000000003</v>
      </c>
      <c r="BO160" s="207">
        <v>74965.71019779146</v>
      </c>
      <c r="BP160" s="207">
        <v>959779</v>
      </c>
      <c r="BQ160" s="207">
        <v>298038</v>
      </c>
      <c r="BR160" s="207">
        <v>742244.5716010841</v>
      </c>
      <c r="BS160" s="207">
        <v>31395.044960570765</v>
      </c>
      <c r="BT160" s="207">
        <v>86216.86642767818</v>
      </c>
      <c r="BU160" s="207">
        <v>384828.58999843674</v>
      </c>
      <c r="BV160" s="207">
        <v>586699.586095908</v>
      </c>
      <c r="BW160" s="207">
        <v>917056.1474282783</v>
      </c>
      <c r="BX160" s="207">
        <v>236083.63672031384</v>
      </c>
      <c r="BY160" s="207">
        <v>483486.1247853721</v>
      </c>
      <c r="BZ160" s="207">
        <v>966.3299999999999</v>
      </c>
      <c r="CA160" s="207">
        <v>15964.159667927612</v>
      </c>
      <c r="CB160" s="207">
        <v>16601.19986571907</v>
      </c>
      <c r="CC160" s="207">
        <v>-1365286.7360957416</v>
      </c>
      <c r="CD160" s="207">
        <v>0</v>
      </c>
      <c r="CE160" s="207">
        <v>655415.298039975</v>
      </c>
      <c r="CF160" s="207">
        <v>0</v>
      </c>
      <c r="CG160" s="207">
        <v>11169440.009225179</v>
      </c>
      <c r="CH160" s="207">
        <v>-1022375</v>
      </c>
      <c r="CI160" s="207">
        <v>243325.79800000007</v>
      </c>
      <c r="CJ160" s="207">
        <v>281659.8064</v>
      </c>
      <c r="CK160" s="207">
        <v>-38334.00839999993</v>
      </c>
      <c r="CL160" s="207">
        <v>34033630.56853671</v>
      </c>
      <c r="CM160" s="207">
        <v>36762887.673785985</v>
      </c>
      <c r="CN160" s="207">
        <v>10815</v>
      </c>
    </row>
    <row r="161" spans="1:92" ht="9.75">
      <c r="A161" s="207">
        <v>536</v>
      </c>
      <c r="B161" s="207" t="s">
        <v>218</v>
      </c>
      <c r="C161" s="207">
        <v>33527</v>
      </c>
      <c r="D161" s="207">
        <v>119635264.58</v>
      </c>
      <c r="E161" s="207">
        <v>33221327.445585378</v>
      </c>
      <c r="F161" s="207">
        <v>4724993.940353929</v>
      </c>
      <c r="G161" s="207">
        <v>157581585.9659393</v>
      </c>
      <c r="H161" s="207">
        <v>3654.72</v>
      </c>
      <c r="I161" s="207">
        <v>122531797.44</v>
      </c>
      <c r="J161" s="207">
        <v>35049788.525939316</v>
      </c>
      <c r="K161" s="207">
        <v>941870.1423086649</v>
      </c>
      <c r="L161" s="207">
        <v>-5285360.299384358</v>
      </c>
      <c r="M161" s="207">
        <v>0</v>
      </c>
      <c r="N161" s="207">
        <v>30706298.368863624</v>
      </c>
      <c r="O161" s="207">
        <v>1583270.8131626532</v>
      </c>
      <c r="P161" s="207">
        <v>32289569.18202628</v>
      </c>
      <c r="Q161" s="207">
        <v>2181</v>
      </c>
      <c r="R161" s="207">
        <v>474</v>
      </c>
      <c r="S161" s="207">
        <v>2862</v>
      </c>
      <c r="T161" s="207">
        <v>1316</v>
      </c>
      <c r="U161" s="207">
        <v>1146</v>
      </c>
      <c r="V161" s="207">
        <v>18830</v>
      </c>
      <c r="W161" s="207">
        <v>4011</v>
      </c>
      <c r="X161" s="207">
        <v>1932</v>
      </c>
      <c r="Y161" s="207">
        <v>775</v>
      </c>
      <c r="Z161" s="207">
        <v>107</v>
      </c>
      <c r="AA161" s="207">
        <v>3</v>
      </c>
      <c r="AB161" s="207">
        <v>32551</v>
      </c>
      <c r="AC161" s="207">
        <v>866</v>
      </c>
      <c r="AD161" s="207">
        <v>6718</v>
      </c>
      <c r="AE161" s="480">
        <v>0.8411568712499912</v>
      </c>
      <c r="AF161" s="207">
        <v>33221327.445585378</v>
      </c>
      <c r="AG161" s="175">
        <v>1266</v>
      </c>
      <c r="AH161" s="175">
        <v>15922</v>
      </c>
      <c r="AI161" s="175">
        <v>0.8150050973137047</v>
      </c>
      <c r="AJ161" s="175">
        <v>866</v>
      </c>
      <c r="AK161" s="175">
        <v>0.02582992811763653</v>
      </c>
      <c r="AL161" s="175">
        <v>0.022548849007173535</v>
      </c>
      <c r="AM161" s="175">
        <v>0</v>
      </c>
      <c r="AN161" s="175">
        <v>107</v>
      </c>
      <c r="AO161" s="175">
        <v>3</v>
      </c>
      <c r="AP161" s="175">
        <v>0</v>
      </c>
      <c r="AQ161" s="175">
        <v>0</v>
      </c>
      <c r="AR161" s="175">
        <v>288.27</v>
      </c>
      <c r="AS161" s="175">
        <v>116.3041592951053</v>
      </c>
      <c r="AT161" s="175">
        <v>0.1560608171790211</v>
      </c>
      <c r="AU161" s="175">
        <v>1073</v>
      </c>
      <c r="AV161" s="175">
        <v>11483</v>
      </c>
      <c r="AW161" s="175">
        <v>0.09344248018810415</v>
      </c>
      <c r="AX161" s="175">
        <v>0.037981246458619146</v>
      </c>
      <c r="AY161" s="175">
        <v>0</v>
      </c>
      <c r="AZ161" s="207">
        <v>11595</v>
      </c>
      <c r="BA161" s="175">
        <v>14160</v>
      </c>
      <c r="BB161" s="175">
        <v>0.8188559322033898</v>
      </c>
      <c r="BC161" s="175">
        <v>0.42916108477967796</v>
      </c>
      <c r="BD161" s="175">
        <v>0</v>
      </c>
      <c r="BE161" s="175">
        <v>3</v>
      </c>
      <c r="BF161" s="207">
        <v>-210261.81999999998</v>
      </c>
      <c r="BG161" s="207">
        <v>-257245.84</v>
      </c>
      <c r="BH161" s="207">
        <v>-137460.69999999998</v>
      </c>
      <c r="BI161" s="207">
        <v>-556477.4</v>
      </c>
      <c r="BJ161" s="207">
        <v>0</v>
      </c>
      <c r="BK161" s="207">
        <v>0</v>
      </c>
      <c r="BL161" s="207">
        <v>591491</v>
      </c>
      <c r="BM161" s="207">
        <v>-1660983.1603702672</v>
      </c>
      <c r="BN161" s="207">
        <v>-1426909.12</v>
      </c>
      <c r="BO161" s="207">
        <v>-794237.1566494778</v>
      </c>
      <c r="BP161" s="207">
        <v>2025008</v>
      </c>
      <c r="BQ161" s="207">
        <v>639058</v>
      </c>
      <c r="BR161" s="207">
        <v>1293658.0277316587</v>
      </c>
      <c r="BS161" s="207">
        <v>16113.233209466209</v>
      </c>
      <c r="BT161" s="207">
        <v>29726.065003372754</v>
      </c>
      <c r="BU161" s="207">
        <v>685453.0718300026</v>
      </c>
      <c r="BV161" s="207">
        <v>1344889.1313814824</v>
      </c>
      <c r="BW161" s="207">
        <v>2233952.074535946</v>
      </c>
      <c r="BX161" s="207">
        <v>578686.8977107815</v>
      </c>
      <c r="BY161" s="207">
        <v>1155887.2384274635</v>
      </c>
      <c r="BZ161" s="207">
        <v>3017.43</v>
      </c>
      <c r="CA161" s="207">
        <v>191644.28763538686</v>
      </c>
      <c r="CB161" s="207">
        <v>-8084.439014090924</v>
      </c>
      <c r="CC161" s="207">
        <v>-5285360.299384358</v>
      </c>
      <c r="CD161" s="207">
        <v>0</v>
      </c>
      <c r="CE161" s="207">
        <v>1444850.5615021733</v>
      </c>
      <c r="CF161" s="207">
        <v>0</v>
      </c>
      <c r="CG161" s="207">
        <v>1583270.8131626532</v>
      </c>
      <c r="CH161" s="207">
        <v>-2591292</v>
      </c>
      <c r="CI161" s="207">
        <v>682671.5963999999</v>
      </c>
      <c r="CJ161" s="207">
        <v>876848.3019280001</v>
      </c>
      <c r="CK161" s="207">
        <v>-194176.70552800014</v>
      </c>
      <c r="CL161" s="207">
        <v>29698277.18202628</v>
      </c>
      <c r="CM161" s="207">
        <v>37259222.18440507</v>
      </c>
      <c r="CN161" s="207">
        <v>33322</v>
      </c>
    </row>
    <row r="162" spans="1:92" ht="9.75">
      <c r="A162" s="207">
        <v>538</v>
      </c>
      <c r="B162" s="207" t="s">
        <v>219</v>
      </c>
      <c r="C162" s="207">
        <v>4733</v>
      </c>
      <c r="D162" s="207">
        <v>17474312.869999997</v>
      </c>
      <c r="E162" s="207">
        <v>4688671.410007218</v>
      </c>
      <c r="F162" s="207">
        <v>580886.1420243718</v>
      </c>
      <c r="G162" s="207">
        <v>22743870.422031585</v>
      </c>
      <c r="H162" s="207">
        <v>3654.72</v>
      </c>
      <c r="I162" s="207">
        <v>17297789.759999998</v>
      </c>
      <c r="J162" s="207">
        <v>5446080.662031587</v>
      </c>
      <c r="K162" s="207">
        <v>18207.655295731045</v>
      </c>
      <c r="L162" s="207">
        <v>-524933.3173574064</v>
      </c>
      <c r="M162" s="207">
        <v>0</v>
      </c>
      <c r="N162" s="207">
        <v>4939354.999969913</v>
      </c>
      <c r="O162" s="207">
        <v>2058727.4004781933</v>
      </c>
      <c r="P162" s="207">
        <v>6998082.400448106</v>
      </c>
      <c r="Q162" s="207">
        <v>329</v>
      </c>
      <c r="R162" s="207">
        <v>59</v>
      </c>
      <c r="S162" s="207">
        <v>413</v>
      </c>
      <c r="T162" s="207">
        <v>206</v>
      </c>
      <c r="U162" s="207">
        <v>181</v>
      </c>
      <c r="V162" s="207">
        <v>2628</v>
      </c>
      <c r="W162" s="207">
        <v>546</v>
      </c>
      <c r="X162" s="207">
        <v>247</v>
      </c>
      <c r="Y162" s="207">
        <v>124</v>
      </c>
      <c r="Z162" s="207">
        <v>39</v>
      </c>
      <c r="AA162" s="207">
        <v>1</v>
      </c>
      <c r="AB162" s="207">
        <v>4623</v>
      </c>
      <c r="AC162" s="207">
        <v>70</v>
      </c>
      <c r="AD162" s="207">
        <v>917</v>
      </c>
      <c r="AE162" s="480">
        <v>0.8409457940270582</v>
      </c>
      <c r="AF162" s="207">
        <v>4688671.410007218</v>
      </c>
      <c r="AG162" s="175">
        <v>133</v>
      </c>
      <c r="AH162" s="175">
        <v>2373</v>
      </c>
      <c r="AI162" s="175">
        <v>0.5744842698512662</v>
      </c>
      <c r="AJ162" s="175">
        <v>70</v>
      </c>
      <c r="AK162" s="175">
        <v>0.01478977392774139</v>
      </c>
      <c r="AL162" s="175">
        <v>0.011508694817278394</v>
      </c>
      <c r="AM162" s="175">
        <v>0</v>
      </c>
      <c r="AN162" s="175">
        <v>39</v>
      </c>
      <c r="AO162" s="175">
        <v>1</v>
      </c>
      <c r="AP162" s="175">
        <v>0</v>
      </c>
      <c r="AQ162" s="175">
        <v>0</v>
      </c>
      <c r="AR162" s="175">
        <v>198.99</v>
      </c>
      <c r="AS162" s="175">
        <v>23.785114829890947</v>
      </c>
      <c r="AT162" s="175">
        <v>0.7631042469512599</v>
      </c>
      <c r="AU162" s="175">
        <v>157</v>
      </c>
      <c r="AV162" s="175">
        <v>1616</v>
      </c>
      <c r="AW162" s="175">
        <v>0.09715346534653466</v>
      </c>
      <c r="AX162" s="175">
        <v>0.04169223161704965</v>
      </c>
      <c r="AY162" s="175">
        <v>0</v>
      </c>
      <c r="AZ162" s="207">
        <v>992</v>
      </c>
      <c r="BA162" s="175">
        <v>2212</v>
      </c>
      <c r="BB162" s="175">
        <v>0.4484629294755877</v>
      </c>
      <c r="BC162" s="175">
        <v>0.058768082051875836</v>
      </c>
      <c r="BD162" s="175">
        <v>0</v>
      </c>
      <c r="BE162" s="175">
        <v>1</v>
      </c>
      <c r="BF162" s="207">
        <v>-30370.03</v>
      </c>
      <c r="BG162" s="207">
        <v>-37156.36</v>
      </c>
      <c r="BH162" s="207">
        <v>-19405.3</v>
      </c>
      <c r="BI162" s="207">
        <v>-80377.09999999999</v>
      </c>
      <c r="BJ162" s="207">
        <v>0</v>
      </c>
      <c r="BK162" s="207">
        <v>0</v>
      </c>
      <c r="BL162" s="207">
        <v>-33501</v>
      </c>
      <c r="BM162" s="207">
        <v>-63167.57568925324</v>
      </c>
      <c r="BN162" s="207">
        <v>-201436.48</v>
      </c>
      <c r="BO162" s="207">
        <v>79742.1947365161</v>
      </c>
      <c r="BP162" s="207">
        <v>391270</v>
      </c>
      <c r="BQ162" s="207">
        <v>123013</v>
      </c>
      <c r="BR162" s="207">
        <v>242596.63038865852</v>
      </c>
      <c r="BS162" s="207">
        <v>3579.7945299190155</v>
      </c>
      <c r="BT162" s="207">
        <v>17659.404046923213</v>
      </c>
      <c r="BU162" s="207">
        <v>96120.12557031705</v>
      </c>
      <c r="BV162" s="207">
        <v>243463.35821764384</v>
      </c>
      <c r="BW162" s="207">
        <v>418804.3747541638</v>
      </c>
      <c r="BX162" s="207">
        <v>102384.76512897338</v>
      </c>
      <c r="BY162" s="207">
        <v>193340.9530611128</v>
      </c>
      <c r="BZ162" s="207">
        <v>425.96999999999997</v>
      </c>
      <c r="CA162" s="207">
        <v>5426.143595330752</v>
      </c>
      <c r="CB162" s="207">
        <v>52093.308331846856</v>
      </c>
      <c r="CC162" s="207">
        <v>-524933.3173574064</v>
      </c>
      <c r="CD162" s="207">
        <v>0</v>
      </c>
      <c r="CE162" s="207">
        <v>251378.99568681928</v>
      </c>
      <c r="CF162" s="207">
        <v>0</v>
      </c>
      <c r="CG162" s="207">
        <v>2058727.4004781933</v>
      </c>
      <c r="CH162" s="207">
        <v>681319</v>
      </c>
      <c r="CI162" s="207">
        <v>104738.84210000001</v>
      </c>
      <c r="CJ162" s="207">
        <v>136534.31928000003</v>
      </c>
      <c r="CK162" s="207">
        <v>-31795.477180000016</v>
      </c>
      <c r="CL162" s="207">
        <v>7679401.400448106</v>
      </c>
      <c r="CM162" s="207">
        <v>8575685.181969602</v>
      </c>
      <c r="CN162" s="207">
        <v>4813</v>
      </c>
    </row>
    <row r="163" spans="1:92" ht="9.75">
      <c r="A163" s="207">
        <v>541</v>
      </c>
      <c r="B163" s="207" t="s">
        <v>220</v>
      </c>
      <c r="C163" s="207">
        <v>9784</v>
      </c>
      <c r="D163" s="207">
        <v>36636244.12</v>
      </c>
      <c r="E163" s="207">
        <v>20986977.88639829</v>
      </c>
      <c r="F163" s="207">
        <v>3539922.8913914557</v>
      </c>
      <c r="G163" s="207">
        <v>61163144.89778975</v>
      </c>
      <c r="H163" s="207">
        <v>3654.72</v>
      </c>
      <c r="I163" s="207">
        <v>35757780.48</v>
      </c>
      <c r="J163" s="207">
        <v>25405364.41778975</v>
      </c>
      <c r="K163" s="207">
        <v>3618810.109475143</v>
      </c>
      <c r="L163" s="207">
        <v>-861296.931285654</v>
      </c>
      <c r="M163" s="207">
        <v>0</v>
      </c>
      <c r="N163" s="207">
        <v>28162877.59597924</v>
      </c>
      <c r="O163" s="207">
        <v>8236068.321209613</v>
      </c>
      <c r="P163" s="207">
        <v>36398945.91718885</v>
      </c>
      <c r="Q163" s="207">
        <v>414</v>
      </c>
      <c r="R163" s="207">
        <v>81</v>
      </c>
      <c r="S163" s="207">
        <v>494</v>
      </c>
      <c r="T163" s="207">
        <v>286</v>
      </c>
      <c r="U163" s="207">
        <v>274</v>
      </c>
      <c r="V163" s="207">
        <v>4897</v>
      </c>
      <c r="W163" s="207">
        <v>1837</v>
      </c>
      <c r="X163" s="207">
        <v>1021</v>
      </c>
      <c r="Y163" s="207">
        <v>480</v>
      </c>
      <c r="Z163" s="207">
        <v>7</v>
      </c>
      <c r="AA163" s="207">
        <v>0</v>
      </c>
      <c r="AB163" s="207">
        <v>9633</v>
      </c>
      <c r="AC163" s="207">
        <v>144</v>
      </c>
      <c r="AD163" s="207">
        <v>3338</v>
      </c>
      <c r="AE163" s="480">
        <v>1.8209086980301064</v>
      </c>
      <c r="AF163" s="207">
        <v>20986977.88639829</v>
      </c>
      <c r="AG163" s="175">
        <v>557</v>
      </c>
      <c r="AH163" s="175">
        <v>4096</v>
      </c>
      <c r="AI163" s="175">
        <v>1.3938610619619352</v>
      </c>
      <c r="AJ163" s="175">
        <v>144</v>
      </c>
      <c r="AK163" s="175">
        <v>0.014717906786590351</v>
      </c>
      <c r="AL163" s="175">
        <v>0.011436827676127356</v>
      </c>
      <c r="AM163" s="175">
        <v>0</v>
      </c>
      <c r="AN163" s="175">
        <v>7</v>
      </c>
      <c r="AO163" s="175">
        <v>0</v>
      </c>
      <c r="AP163" s="175">
        <v>0</v>
      </c>
      <c r="AQ163" s="175">
        <v>0</v>
      </c>
      <c r="AR163" s="175">
        <v>2401.36</v>
      </c>
      <c r="AS163" s="175">
        <v>4.074357863877136</v>
      </c>
      <c r="AT163" s="175">
        <v>4.4548178503989435</v>
      </c>
      <c r="AU163" s="175">
        <v>321</v>
      </c>
      <c r="AV163" s="175">
        <v>2307</v>
      </c>
      <c r="AW163" s="175">
        <v>0.13914174252275682</v>
      </c>
      <c r="AX163" s="175">
        <v>0.08368050879327182</v>
      </c>
      <c r="AY163" s="175">
        <v>1.0195666666666665</v>
      </c>
      <c r="AZ163" s="207">
        <v>3373</v>
      </c>
      <c r="BA163" s="175">
        <v>3371</v>
      </c>
      <c r="BB163" s="175">
        <v>1.0005932957579353</v>
      </c>
      <c r="BC163" s="175">
        <v>0.6108984483342235</v>
      </c>
      <c r="BD163" s="175">
        <v>0</v>
      </c>
      <c r="BE163" s="175">
        <v>0</v>
      </c>
      <c r="BF163" s="207">
        <v>-62992.729999999996</v>
      </c>
      <c r="BG163" s="207">
        <v>-77068.76</v>
      </c>
      <c r="BH163" s="207">
        <v>-40114.399999999994</v>
      </c>
      <c r="BI163" s="207">
        <v>-166716.1</v>
      </c>
      <c r="BJ163" s="207">
        <v>0</v>
      </c>
      <c r="BK163" s="207">
        <v>0</v>
      </c>
      <c r="BL163" s="207">
        <v>383597</v>
      </c>
      <c r="BM163" s="207">
        <v>-222386.675184855</v>
      </c>
      <c r="BN163" s="207">
        <v>-416407.04000000004</v>
      </c>
      <c r="BO163" s="207">
        <v>6571.232326386496</v>
      </c>
      <c r="BP163" s="207">
        <v>995247</v>
      </c>
      <c r="BQ163" s="207">
        <v>308034</v>
      </c>
      <c r="BR163" s="207">
        <v>838594.180571449</v>
      </c>
      <c r="BS163" s="207">
        <v>47545.38943216877</v>
      </c>
      <c r="BT163" s="207">
        <v>133720.40702885162</v>
      </c>
      <c r="BU163" s="207">
        <v>433982.7376795004</v>
      </c>
      <c r="BV163" s="207">
        <v>556119.8056431452</v>
      </c>
      <c r="BW163" s="207">
        <v>898885.2349585677</v>
      </c>
      <c r="BX163" s="207">
        <v>274897.1767368656</v>
      </c>
      <c r="BY163" s="207">
        <v>484578.3921871536</v>
      </c>
      <c r="BZ163" s="207">
        <v>880.56</v>
      </c>
      <c r="CA163" s="207">
        <v>33317.42157281474</v>
      </c>
      <c r="CB163" s="207">
        <v>424366.21389920125</v>
      </c>
      <c r="CC163" s="207">
        <v>-861296.931285654</v>
      </c>
      <c r="CD163" s="207">
        <v>0</v>
      </c>
      <c r="CE163" s="207">
        <v>656237.7374546616</v>
      </c>
      <c r="CF163" s="207">
        <v>0</v>
      </c>
      <c r="CG163" s="207">
        <v>8236068.321209613</v>
      </c>
      <c r="CH163" s="207">
        <v>-1089799</v>
      </c>
      <c r="CI163" s="207">
        <v>47781.5743</v>
      </c>
      <c r="CJ163" s="207">
        <v>98485.7769</v>
      </c>
      <c r="CK163" s="207">
        <v>-50704.2026</v>
      </c>
      <c r="CL163" s="207">
        <v>35309146.91718885</v>
      </c>
      <c r="CM163" s="207">
        <v>28779309.97582347</v>
      </c>
      <c r="CN163" s="207">
        <v>7765</v>
      </c>
    </row>
    <row r="164" spans="1:92" ht="9.75">
      <c r="A164" s="207">
        <v>543</v>
      </c>
      <c r="B164" s="207" t="s">
        <v>221</v>
      </c>
      <c r="C164" s="207">
        <v>42665</v>
      </c>
      <c r="D164" s="207">
        <v>151287571.26000002</v>
      </c>
      <c r="E164" s="207">
        <v>40612904.85592904</v>
      </c>
      <c r="F164" s="207">
        <v>7643767.344097487</v>
      </c>
      <c r="G164" s="207">
        <v>199544243.46002656</v>
      </c>
      <c r="H164" s="207">
        <v>3654.72</v>
      </c>
      <c r="I164" s="207">
        <v>155928628.79999998</v>
      </c>
      <c r="J164" s="207">
        <v>43615614.66002658</v>
      </c>
      <c r="K164" s="207">
        <v>644560.7531239695</v>
      </c>
      <c r="L164" s="207">
        <v>-6889698.173722135</v>
      </c>
      <c r="M164" s="207">
        <v>0</v>
      </c>
      <c r="N164" s="207">
        <v>37370477.239428416</v>
      </c>
      <c r="O164" s="207">
        <v>-6811973.009534316</v>
      </c>
      <c r="P164" s="207">
        <v>30558504.2298941</v>
      </c>
      <c r="Q164" s="207">
        <v>3017</v>
      </c>
      <c r="R164" s="207">
        <v>596</v>
      </c>
      <c r="S164" s="207">
        <v>3955</v>
      </c>
      <c r="T164" s="207">
        <v>1982</v>
      </c>
      <c r="U164" s="207">
        <v>1893</v>
      </c>
      <c r="V164" s="207">
        <v>24255</v>
      </c>
      <c r="W164" s="207">
        <v>4280</v>
      </c>
      <c r="X164" s="207">
        <v>2097</v>
      </c>
      <c r="Y164" s="207">
        <v>590</v>
      </c>
      <c r="Z164" s="207">
        <v>510</v>
      </c>
      <c r="AA164" s="207">
        <v>1</v>
      </c>
      <c r="AB164" s="207">
        <v>40178</v>
      </c>
      <c r="AC164" s="207">
        <v>1976</v>
      </c>
      <c r="AD164" s="207">
        <v>6967</v>
      </c>
      <c r="AE164" s="480">
        <v>0.8080663338185305</v>
      </c>
      <c r="AF164" s="207">
        <v>40612904.85592904</v>
      </c>
      <c r="AG164" s="175">
        <v>1226</v>
      </c>
      <c r="AH164" s="175">
        <v>21078</v>
      </c>
      <c r="AI164" s="175">
        <v>0.5961908533466277</v>
      </c>
      <c r="AJ164" s="175">
        <v>1976</v>
      </c>
      <c r="AK164" s="175">
        <v>0.04631430915270128</v>
      </c>
      <c r="AL164" s="175">
        <v>0.04303323004223828</v>
      </c>
      <c r="AM164" s="175">
        <v>0</v>
      </c>
      <c r="AN164" s="175">
        <v>510</v>
      </c>
      <c r="AO164" s="175">
        <v>1</v>
      </c>
      <c r="AP164" s="175">
        <v>0</v>
      </c>
      <c r="AQ164" s="175">
        <v>0</v>
      </c>
      <c r="AR164" s="175">
        <v>361.87</v>
      </c>
      <c r="AS164" s="175">
        <v>117.90145632409428</v>
      </c>
      <c r="AT164" s="175">
        <v>0.15394654745417205</v>
      </c>
      <c r="AU164" s="175">
        <v>2034</v>
      </c>
      <c r="AV164" s="175">
        <v>14825</v>
      </c>
      <c r="AW164" s="175">
        <v>0.1372006745362563</v>
      </c>
      <c r="AX164" s="175">
        <v>0.08173944080677131</v>
      </c>
      <c r="AY164" s="175">
        <v>0</v>
      </c>
      <c r="AZ164" s="207">
        <v>12195</v>
      </c>
      <c r="BA164" s="175">
        <v>19654</v>
      </c>
      <c r="BB164" s="175">
        <v>0.6204843797700214</v>
      </c>
      <c r="BC164" s="175">
        <v>0.2307895323463095</v>
      </c>
      <c r="BD164" s="175">
        <v>0</v>
      </c>
      <c r="BE164" s="175">
        <v>1</v>
      </c>
      <c r="BF164" s="207">
        <v>-266023.29</v>
      </c>
      <c r="BG164" s="207">
        <v>-325467.48</v>
      </c>
      <c r="BH164" s="207">
        <v>-174926.49999999997</v>
      </c>
      <c r="BI164" s="207">
        <v>-704055.2999999999</v>
      </c>
      <c r="BJ164" s="207">
        <v>0</v>
      </c>
      <c r="BK164" s="207">
        <v>0</v>
      </c>
      <c r="BL164" s="207">
        <v>244629</v>
      </c>
      <c r="BM164" s="207">
        <v>-1916082.3651548552</v>
      </c>
      <c r="BN164" s="207">
        <v>-1815822.4000000001</v>
      </c>
      <c r="BO164" s="207">
        <v>-528898.4591088146</v>
      </c>
      <c r="BP164" s="207">
        <v>2508951</v>
      </c>
      <c r="BQ164" s="207">
        <v>815872</v>
      </c>
      <c r="BR164" s="207">
        <v>1541302.5968424971</v>
      </c>
      <c r="BS164" s="207">
        <v>-2689.5568037836974</v>
      </c>
      <c r="BT164" s="207">
        <v>-252744.74866968312</v>
      </c>
      <c r="BU164" s="207">
        <v>461128.2963192452</v>
      </c>
      <c r="BV164" s="207">
        <v>1697250.0701201775</v>
      </c>
      <c r="BW164" s="207">
        <v>2641548.730693181</v>
      </c>
      <c r="BX164" s="207">
        <v>760307.2997173744</v>
      </c>
      <c r="BY164" s="207">
        <v>1322288.977590187</v>
      </c>
      <c r="BZ164" s="207">
        <v>3839.85</v>
      </c>
      <c r="CA164" s="207">
        <v>-98782.32945846539</v>
      </c>
      <c r="CB164" s="207">
        <v>-379211.93856728</v>
      </c>
      <c r="CC164" s="207">
        <v>-6889698.173722135</v>
      </c>
      <c r="CD164" s="207">
        <v>0</v>
      </c>
      <c r="CE164" s="207">
        <v>1636796.1764733593</v>
      </c>
      <c r="CF164" s="207">
        <v>0</v>
      </c>
      <c r="CG164" s="207">
        <v>-6811973.009534316</v>
      </c>
      <c r="CH164" s="207">
        <v>-6524910</v>
      </c>
      <c r="CI164" s="207">
        <v>441928.5862000001</v>
      </c>
      <c r="CJ164" s="207">
        <v>909867.204908</v>
      </c>
      <c r="CK164" s="207">
        <v>-467938.6187079999</v>
      </c>
      <c r="CL164" s="207">
        <v>24033594.2298941</v>
      </c>
      <c r="CM164" s="207">
        <v>30372939.793196484</v>
      </c>
      <c r="CN164" s="207">
        <v>42159</v>
      </c>
    </row>
    <row r="165" spans="1:92" ht="9.75">
      <c r="A165" s="207">
        <v>545</v>
      </c>
      <c r="B165" s="207" t="s">
        <v>222</v>
      </c>
      <c r="C165" s="207">
        <v>9471</v>
      </c>
      <c r="D165" s="207">
        <v>37317879.87</v>
      </c>
      <c r="E165" s="207">
        <v>10606790.405942934</v>
      </c>
      <c r="F165" s="207">
        <v>6472968.555282278</v>
      </c>
      <c r="G165" s="207">
        <v>54397638.83122521</v>
      </c>
      <c r="H165" s="207">
        <v>3654.72</v>
      </c>
      <c r="I165" s="207">
        <v>34613853.12</v>
      </c>
      <c r="J165" s="207">
        <v>19783785.71122521</v>
      </c>
      <c r="K165" s="207">
        <v>739141.1334999308</v>
      </c>
      <c r="L165" s="207">
        <v>-1176600.1784624427</v>
      </c>
      <c r="M165" s="207">
        <v>0</v>
      </c>
      <c r="N165" s="207">
        <v>19346326.6662627</v>
      </c>
      <c r="O165" s="207">
        <v>7065265.758396182</v>
      </c>
      <c r="P165" s="207">
        <v>26411592.424658883</v>
      </c>
      <c r="Q165" s="207">
        <v>597</v>
      </c>
      <c r="R165" s="207">
        <v>98</v>
      </c>
      <c r="S165" s="207">
        <v>585</v>
      </c>
      <c r="T165" s="207">
        <v>244</v>
      </c>
      <c r="U165" s="207">
        <v>266</v>
      </c>
      <c r="V165" s="207">
        <v>4958</v>
      </c>
      <c r="W165" s="207">
        <v>1361</v>
      </c>
      <c r="X165" s="207">
        <v>843</v>
      </c>
      <c r="Y165" s="207">
        <v>519</v>
      </c>
      <c r="Z165" s="207">
        <v>7553</v>
      </c>
      <c r="AA165" s="207">
        <v>0</v>
      </c>
      <c r="AB165" s="207">
        <v>515</v>
      </c>
      <c r="AC165" s="207">
        <v>1403</v>
      </c>
      <c r="AD165" s="207">
        <v>2723</v>
      </c>
      <c r="AE165" s="480">
        <v>0.95069861245121</v>
      </c>
      <c r="AF165" s="207">
        <v>10606790.405942934</v>
      </c>
      <c r="AG165" s="175">
        <v>135</v>
      </c>
      <c r="AH165" s="175">
        <v>4404</v>
      </c>
      <c r="AI165" s="175">
        <v>0.3142032674810364</v>
      </c>
      <c r="AJ165" s="175">
        <v>1403</v>
      </c>
      <c r="AK165" s="175">
        <v>0.14813641642909936</v>
      </c>
      <c r="AL165" s="175">
        <v>0.14485533731863637</v>
      </c>
      <c r="AM165" s="175">
        <v>3</v>
      </c>
      <c r="AN165" s="175">
        <v>7553</v>
      </c>
      <c r="AO165" s="175">
        <v>0</v>
      </c>
      <c r="AP165" s="175">
        <v>3</v>
      </c>
      <c r="AQ165" s="175">
        <v>94</v>
      </c>
      <c r="AR165" s="175">
        <v>977.71</v>
      </c>
      <c r="AS165" s="175">
        <v>9.686921479784393</v>
      </c>
      <c r="AT165" s="175">
        <v>1.8737141803813981</v>
      </c>
      <c r="AU165" s="175">
        <v>559</v>
      </c>
      <c r="AV165" s="175">
        <v>2717</v>
      </c>
      <c r="AW165" s="175">
        <v>0.20574162679425836</v>
      </c>
      <c r="AX165" s="175">
        <v>0.15028039306477337</v>
      </c>
      <c r="AY165" s="175">
        <v>0.16253333333333334</v>
      </c>
      <c r="AZ165" s="207">
        <v>4448</v>
      </c>
      <c r="BA165" s="175">
        <v>4251</v>
      </c>
      <c r="BB165" s="175">
        <v>1.0463420371677252</v>
      </c>
      <c r="BC165" s="175">
        <v>0.6566471897440134</v>
      </c>
      <c r="BD165" s="175">
        <v>0</v>
      </c>
      <c r="BE165" s="175">
        <v>0</v>
      </c>
      <c r="BF165" s="207">
        <v>-59989.17</v>
      </c>
      <c r="BG165" s="207">
        <v>-73394.04</v>
      </c>
      <c r="BH165" s="207">
        <v>-38831.1</v>
      </c>
      <c r="BI165" s="207">
        <v>-158766.9</v>
      </c>
      <c r="BJ165" s="207">
        <v>0</v>
      </c>
      <c r="BK165" s="207">
        <v>0</v>
      </c>
      <c r="BL165" s="207">
        <v>-230722</v>
      </c>
      <c r="BM165" s="207">
        <v>-79954.53726832382</v>
      </c>
      <c r="BN165" s="207">
        <v>-403085.76</v>
      </c>
      <c r="BO165" s="207">
        <v>236161.79568575323</v>
      </c>
      <c r="BP165" s="207">
        <v>882100</v>
      </c>
      <c r="BQ165" s="207">
        <v>360351</v>
      </c>
      <c r="BR165" s="207">
        <v>862960.744308594</v>
      </c>
      <c r="BS165" s="207">
        <v>51821.1785332741</v>
      </c>
      <c r="BT165" s="207">
        <v>100620.96981149455</v>
      </c>
      <c r="BU165" s="207">
        <v>341477.81833302096</v>
      </c>
      <c r="BV165" s="207">
        <v>661809.1977842076</v>
      </c>
      <c r="BW165" s="207">
        <v>988815.4396264588</v>
      </c>
      <c r="BX165" s="207">
        <v>358380.75568269467</v>
      </c>
      <c r="BY165" s="207">
        <v>546498.5562518731</v>
      </c>
      <c r="BZ165" s="207">
        <v>852.39</v>
      </c>
      <c r="CA165" s="207">
        <v>-78489.99687987202</v>
      </c>
      <c r="CB165" s="207">
        <v>-72197.8111941188</v>
      </c>
      <c r="CC165" s="207">
        <v>-1176600.1784624427</v>
      </c>
      <c r="CD165" s="207">
        <v>0</v>
      </c>
      <c r="CE165" s="207">
        <v>744996.2807283667</v>
      </c>
      <c r="CF165" s="207">
        <v>0</v>
      </c>
      <c r="CG165" s="207">
        <v>7065265.758396182</v>
      </c>
      <c r="CH165" s="207">
        <v>327662</v>
      </c>
      <c r="CI165" s="207">
        <v>197107.49000000002</v>
      </c>
      <c r="CJ165" s="207">
        <v>157685.99200000003</v>
      </c>
      <c r="CK165" s="207">
        <v>39421.49799999999</v>
      </c>
      <c r="CL165" s="207">
        <v>26739254.424658883</v>
      </c>
      <c r="CM165" s="207">
        <v>29847638.582543507</v>
      </c>
      <c r="CN165" s="207">
        <v>9507</v>
      </c>
    </row>
    <row r="166" spans="1:92" ht="9.75">
      <c r="A166" s="207">
        <v>560</v>
      </c>
      <c r="B166" s="207" t="s">
        <v>223</v>
      </c>
      <c r="C166" s="207">
        <v>16091</v>
      </c>
      <c r="D166" s="207">
        <v>58448053.5</v>
      </c>
      <c r="E166" s="207">
        <v>18144418.905354347</v>
      </c>
      <c r="F166" s="207">
        <v>3547097.463199633</v>
      </c>
      <c r="G166" s="207">
        <v>80139569.86855398</v>
      </c>
      <c r="H166" s="207">
        <v>3654.72</v>
      </c>
      <c r="I166" s="207">
        <v>58808099.519999996</v>
      </c>
      <c r="J166" s="207">
        <v>21331470.348553985</v>
      </c>
      <c r="K166" s="207">
        <v>369150.7504036612</v>
      </c>
      <c r="L166" s="207">
        <v>-2355014.849735861</v>
      </c>
      <c r="M166" s="207">
        <v>0</v>
      </c>
      <c r="N166" s="207">
        <v>19345606.249221787</v>
      </c>
      <c r="O166" s="207">
        <v>9964756.806390831</v>
      </c>
      <c r="P166" s="207">
        <v>29310363.055612616</v>
      </c>
      <c r="Q166" s="207">
        <v>956</v>
      </c>
      <c r="R166" s="207">
        <v>201</v>
      </c>
      <c r="S166" s="207">
        <v>1177</v>
      </c>
      <c r="T166" s="207">
        <v>635</v>
      </c>
      <c r="U166" s="207">
        <v>506</v>
      </c>
      <c r="V166" s="207">
        <v>8666</v>
      </c>
      <c r="W166" s="207">
        <v>2337</v>
      </c>
      <c r="X166" s="207">
        <v>1136</v>
      </c>
      <c r="Y166" s="207">
        <v>477</v>
      </c>
      <c r="Z166" s="207">
        <v>103</v>
      </c>
      <c r="AA166" s="207">
        <v>3</v>
      </c>
      <c r="AB166" s="207">
        <v>15524</v>
      </c>
      <c r="AC166" s="207">
        <v>461</v>
      </c>
      <c r="AD166" s="207">
        <v>3950</v>
      </c>
      <c r="AE166" s="480">
        <v>0.9572265562910157</v>
      </c>
      <c r="AF166" s="207">
        <v>18144418.905354347</v>
      </c>
      <c r="AG166" s="175">
        <v>739</v>
      </c>
      <c r="AH166" s="175">
        <v>7475</v>
      </c>
      <c r="AI166" s="175">
        <v>1.0133453530533993</v>
      </c>
      <c r="AJ166" s="175">
        <v>461</v>
      </c>
      <c r="AK166" s="175">
        <v>0.028649555652227952</v>
      </c>
      <c r="AL166" s="175">
        <v>0.025368476541764957</v>
      </c>
      <c r="AM166" s="175">
        <v>0</v>
      </c>
      <c r="AN166" s="175">
        <v>103</v>
      </c>
      <c r="AO166" s="175">
        <v>3</v>
      </c>
      <c r="AP166" s="175">
        <v>0</v>
      </c>
      <c r="AQ166" s="175">
        <v>0</v>
      </c>
      <c r="AR166" s="175">
        <v>785.18</v>
      </c>
      <c r="AS166" s="175">
        <v>20.493390050689015</v>
      </c>
      <c r="AT166" s="175">
        <v>0.8856768985521226</v>
      </c>
      <c r="AU166" s="175">
        <v>795</v>
      </c>
      <c r="AV166" s="175">
        <v>4992</v>
      </c>
      <c r="AW166" s="175">
        <v>0.15925480769230768</v>
      </c>
      <c r="AX166" s="175">
        <v>0.10379357396282268</v>
      </c>
      <c r="AY166" s="175">
        <v>0</v>
      </c>
      <c r="AZ166" s="207">
        <v>4814</v>
      </c>
      <c r="BA166" s="175">
        <v>6504</v>
      </c>
      <c r="BB166" s="175">
        <v>0.740159901599016</v>
      </c>
      <c r="BC166" s="175">
        <v>0.35046505417530416</v>
      </c>
      <c r="BD166" s="175">
        <v>0</v>
      </c>
      <c r="BE166" s="175">
        <v>3</v>
      </c>
      <c r="BF166" s="207">
        <v>-102354.51</v>
      </c>
      <c r="BG166" s="207">
        <v>-125226.12</v>
      </c>
      <c r="BH166" s="207">
        <v>-65973.09999999999</v>
      </c>
      <c r="BI166" s="207">
        <v>-270890.7</v>
      </c>
      <c r="BJ166" s="207">
        <v>0</v>
      </c>
      <c r="BK166" s="207">
        <v>0</v>
      </c>
      <c r="BL166" s="207">
        <v>-142897</v>
      </c>
      <c r="BM166" s="207">
        <v>-735739.9972390155</v>
      </c>
      <c r="BN166" s="207">
        <v>-684832.9600000001</v>
      </c>
      <c r="BO166" s="207">
        <v>195649.91878824774</v>
      </c>
      <c r="BP166" s="207">
        <v>1347206</v>
      </c>
      <c r="BQ166" s="207">
        <v>448989</v>
      </c>
      <c r="BR166" s="207">
        <v>1044372.1029025062</v>
      </c>
      <c r="BS166" s="207">
        <v>40840.80575134025</v>
      </c>
      <c r="BT166" s="207">
        <v>25536.415548027293</v>
      </c>
      <c r="BU166" s="207">
        <v>410477.114387732</v>
      </c>
      <c r="BV166" s="207">
        <v>841468.4395644694</v>
      </c>
      <c r="BW166" s="207">
        <v>1345148.8386893263</v>
      </c>
      <c r="BX166" s="207">
        <v>396782.1098963483</v>
      </c>
      <c r="BY166" s="207">
        <v>698393.1445233382</v>
      </c>
      <c r="BZ166" s="207">
        <v>1448.19</v>
      </c>
      <c r="CA166" s="207">
        <v>69151.48871490645</v>
      </c>
      <c r="CB166" s="207">
        <v>123352.59750315419</v>
      </c>
      <c r="CC166" s="207">
        <v>-2355014.849735861</v>
      </c>
      <c r="CD166" s="207">
        <v>0</v>
      </c>
      <c r="CE166" s="207">
        <v>922060.5013715787</v>
      </c>
      <c r="CF166" s="207">
        <v>0</v>
      </c>
      <c r="CG166" s="207">
        <v>9964756.806390831</v>
      </c>
      <c r="CH166" s="207">
        <v>-2112987</v>
      </c>
      <c r="CI166" s="207">
        <v>1128542.3324</v>
      </c>
      <c r="CJ166" s="207">
        <v>608591.804848</v>
      </c>
      <c r="CK166" s="207">
        <v>519950.5275519999</v>
      </c>
      <c r="CL166" s="207">
        <v>27197376.055612616</v>
      </c>
      <c r="CM166" s="207">
        <v>31726446.55459325</v>
      </c>
      <c r="CN166" s="207">
        <v>16221</v>
      </c>
    </row>
    <row r="167" spans="1:92" ht="9.75">
      <c r="A167" s="207">
        <v>561</v>
      </c>
      <c r="B167" s="207" t="s">
        <v>224</v>
      </c>
      <c r="C167" s="207">
        <v>1364</v>
      </c>
      <c r="D167" s="207">
        <v>5633671.609999999</v>
      </c>
      <c r="E167" s="207">
        <v>1624762.8551589898</v>
      </c>
      <c r="F167" s="207">
        <v>402836.7738834691</v>
      </c>
      <c r="G167" s="207">
        <v>7661271.239042459</v>
      </c>
      <c r="H167" s="207">
        <v>3654.72</v>
      </c>
      <c r="I167" s="207">
        <v>4985038.08</v>
      </c>
      <c r="J167" s="207">
        <v>2676233.159042459</v>
      </c>
      <c r="K167" s="207">
        <v>38764.88883913516</v>
      </c>
      <c r="L167" s="207">
        <v>-102206.06879587693</v>
      </c>
      <c r="M167" s="207">
        <v>0</v>
      </c>
      <c r="N167" s="207">
        <v>2612791.979085717</v>
      </c>
      <c r="O167" s="207">
        <v>1042180.1688788005</v>
      </c>
      <c r="P167" s="207">
        <v>3654972.1479645176</v>
      </c>
      <c r="Q167" s="207">
        <v>74</v>
      </c>
      <c r="R167" s="207">
        <v>19</v>
      </c>
      <c r="S167" s="207">
        <v>102</v>
      </c>
      <c r="T167" s="207">
        <v>68</v>
      </c>
      <c r="U167" s="207">
        <v>49</v>
      </c>
      <c r="V167" s="207">
        <v>695</v>
      </c>
      <c r="W167" s="207">
        <v>186</v>
      </c>
      <c r="X167" s="207">
        <v>104</v>
      </c>
      <c r="Y167" s="207">
        <v>67</v>
      </c>
      <c r="Z167" s="207">
        <v>2</v>
      </c>
      <c r="AA167" s="207">
        <v>0</v>
      </c>
      <c r="AB167" s="207">
        <v>1269</v>
      </c>
      <c r="AC167" s="207">
        <v>93</v>
      </c>
      <c r="AD167" s="207">
        <v>357</v>
      </c>
      <c r="AE167" s="480">
        <v>1.0111843070907682</v>
      </c>
      <c r="AF167" s="207">
        <v>1624762.8551589898</v>
      </c>
      <c r="AG167" s="175">
        <v>38</v>
      </c>
      <c r="AH167" s="175">
        <v>597</v>
      </c>
      <c r="AI167" s="175">
        <v>0.6524293717908852</v>
      </c>
      <c r="AJ167" s="175">
        <v>93</v>
      </c>
      <c r="AK167" s="175">
        <v>0.06818181818181818</v>
      </c>
      <c r="AL167" s="175">
        <v>0.06490073907135518</v>
      </c>
      <c r="AM167" s="175">
        <v>0</v>
      </c>
      <c r="AN167" s="175">
        <v>2</v>
      </c>
      <c r="AO167" s="175">
        <v>0</v>
      </c>
      <c r="AP167" s="175">
        <v>0</v>
      </c>
      <c r="AQ167" s="175">
        <v>0</v>
      </c>
      <c r="AR167" s="175">
        <v>117.64</v>
      </c>
      <c r="AS167" s="175">
        <v>11.594695681740905</v>
      </c>
      <c r="AT167" s="175">
        <v>1.5654160004816904</v>
      </c>
      <c r="AU167" s="175">
        <v>62</v>
      </c>
      <c r="AV167" s="175">
        <v>375</v>
      </c>
      <c r="AW167" s="175">
        <v>0.16533333333333333</v>
      </c>
      <c r="AX167" s="175">
        <v>0.10987209960384833</v>
      </c>
      <c r="AY167" s="175">
        <v>0</v>
      </c>
      <c r="AZ167" s="207">
        <v>449</v>
      </c>
      <c r="BA167" s="175">
        <v>545</v>
      </c>
      <c r="BB167" s="175">
        <v>0.8238532110091743</v>
      </c>
      <c r="BC167" s="175">
        <v>0.43415836358546245</v>
      </c>
      <c r="BD167" s="175">
        <v>0</v>
      </c>
      <c r="BE167" s="175">
        <v>0</v>
      </c>
      <c r="BF167" s="207">
        <v>-8720.42</v>
      </c>
      <c r="BG167" s="207">
        <v>-10669.039999999999</v>
      </c>
      <c r="BH167" s="207">
        <v>-5592.4</v>
      </c>
      <c r="BI167" s="207">
        <v>-23079.399999999998</v>
      </c>
      <c r="BJ167" s="207">
        <v>0</v>
      </c>
      <c r="BK167" s="207">
        <v>0</v>
      </c>
      <c r="BL167" s="207">
        <v>-16189</v>
      </c>
      <c r="BM167" s="207">
        <v>-728.1931179552412</v>
      </c>
      <c r="BN167" s="207">
        <v>-58051.840000000004</v>
      </c>
      <c r="BO167" s="207">
        <v>69611.57795016142</v>
      </c>
      <c r="BP167" s="207">
        <v>125388</v>
      </c>
      <c r="BQ167" s="207">
        <v>47164</v>
      </c>
      <c r="BR167" s="207">
        <v>120705.51309423543</v>
      </c>
      <c r="BS167" s="207">
        <v>6912.047351031206</v>
      </c>
      <c r="BT167" s="207">
        <v>16468.420393850014</v>
      </c>
      <c r="BU167" s="207">
        <v>44923.49796783315</v>
      </c>
      <c r="BV167" s="207">
        <v>91105.93591017868</v>
      </c>
      <c r="BW167" s="207">
        <v>127322.0639238273</v>
      </c>
      <c r="BX167" s="207">
        <v>42722.48011413476</v>
      </c>
      <c r="BY167" s="207">
        <v>69442.99291967465</v>
      </c>
      <c r="BZ167" s="207">
        <v>122.75999999999999</v>
      </c>
      <c r="CA167" s="207">
        <v>-7089.873628083123</v>
      </c>
      <c r="CB167" s="207">
        <v>46455.4643220783</v>
      </c>
      <c r="CC167" s="207">
        <v>-102206.06879587693</v>
      </c>
      <c r="CD167" s="207">
        <v>0</v>
      </c>
      <c r="CE167" s="207">
        <v>95695.84486875714</v>
      </c>
      <c r="CF167" s="207">
        <v>0</v>
      </c>
      <c r="CG167" s="207">
        <v>1042180.1688788005</v>
      </c>
      <c r="CH167" s="207">
        <v>-319867</v>
      </c>
      <c r="CI167" s="207">
        <v>0</v>
      </c>
      <c r="CJ167" s="207">
        <v>755805.272</v>
      </c>
      <c r="CK167" s="207">
        <v>-755805.272</v>
      </c>
      <c r="CL167" s="207">
        <v>3335105.1479645176</v>
      </c>
      <c r="CM167" s="207">
        <v>3828969.842819769</v>
      </c>
      <c r="CN167" s="207">
        <v>1382</v>
      </c>
    </row>
    <row r="168" spans="1:92" ht="9.75">
      <c r="A168" s="207">
        <v>562</v>
      </c>
      <c r="B168" s="207" t="s">
        <v>225</v>
      </c>
      <c r="C168" s="207">
        <v>9221</v>
      </c>
      <c r="D168" s="207">
        <v>34435199.7</v>
      </c>
      <c r="E168" s="207">
        <v>12082861.435770761</v>
      </c>
      <c r="F168" s="207">
        <v>1740958.169391265</v>
      </c>
      <c r="G168" s="207">
        <v>48259019.305162035</v>
      </c>
      <c r="H168" s="207">
        <v>3654.72</v>
      </c>
      <c r="I168" s="207">
        <v>33700173.12</v>
      </c>
      <c r="J168" s="207">
        <v>14558846.185162038</v>
      </c>
      <c r="K168" s="207">
        <v>230317.90376184642</v>
      </c>
      <c r="L168" s="207">
        <v>-1067945.373964949</v>
      </c>
      <c r="M168" s="207">
        <v>0</v>
      </c>
      <c r="N168" s="207">
        <v>13721218.714958936</v>
      </c>
      <c r="O168" s="207">
        <v>5917069.481779002</v>
      </c>
      <c r="P168" s="207">
        <v>19638288.196737938</v>
      </c>
      <c r="Q168" s="207">
        <v>496</v>
      </c>
      <c r="R168" s="207">
        <v>88</v>
      </c>
      <c r="S168" s="207">
        <v>614</v>
      </c>
      <c r="T168" s="207">
        <v>305</v>
      </c>
      <c r="U168" s="207">
        <v>286</v>
      </c>
      <c r="V168" s="207">
        <v>4780</v>
      </c>
      <c r="W168" s="207">
        <v>1441</v>
      </c>
      <c r="X168" s="207">
        <v>848</v>
      </c>
      <c r="Y168" s="207">
        <v>363</v>
      </c>
      <c r="Z168" s="207">
        <v>12</v>
      </c>
      <c r="AA168" s="207">
        <v>1</v>
      </c>
      <c r="AB168" s="207">
        <v>9070</v>
      </c>
      <c r="AC168" s="207">
        <v>138</v>
      </c>
      <c r="AD168" s="207">
        <v>2652</v>
      </c>
      <c r="AE168" s="480">
        <v>1.1123628666103706</v>
      </c>
      <c r="AF168" s="207">
        <v>12082861.435770761</v>
      </c>
      <c r="AG168" s="175">
        <v>341</v>
      </c>
      <c r="AH168" s="175">
        <v>4039</v>
      </c>
      <c r="AI168" s="175">
        <v>0.8653758370432562</v>
      </c>
      <c r="AJ168" s="175">
        <v>138</v>
      </c>
      <c r="AK168" s="175">
        <v>0.014965838846112136</v>
      </c>
      <c r="AL168" s="175">
        <v>0.011684759735649138</v>
      </c>
      <c r="AM168" s="175">
        <v>0</v>
      </c>
      <c r="AN168" s="175">
        <v>12</v>
      </c>
      <c r="AO168" s="175">
        <v>1</v>
      </c>
      <c r="AP168" s="175">
        <v>0</v>
      </c>
      <c r="AQ168" s="175">
        <v>0</v>
      </c>
      <c r="AR168" s="175">
        <v>799.65</v>
      </c>
      <c r="AS168" s="175">
        <v>11.531294941536922</v>
      </c>
      <c r="AT168" s="175">
        <v>1.5740228858021061</v>
      </c>
      <c r="AU168" s="175">
        <v>297</v>
      </c>
      <c r="AV168" s="175">
        <v>2609</v>
      </c>
      <c r="AW168" s="175">
        <v>0.11383671904944423</v>
      </c>
      <c r="AX168" s="175">
        <v>0.058375485319959224</v>
      </c>
      <c r="AY168" s="175">
        <v>0</v>
      </c>
      <c r="AZ168" s="207">
        <v>2684</v>
      </c>
      <c r="BA168" s="175">
        <v>3480</v>
      </c>
      <c r="BB168" s="175">
        <v>0.771264367816092</v>
      </c>
      <c r="BC168" s="175">
        <v>0.3815695203923801</v>
      </c>
      <c r="BD168" s="175">
        <v>0</v>
      </c>
      <c r="BE168" s="175">
        <v>1</v>
      </c>
      <c r="BF168" s="207">
        <v>-58588.35</v>
      </c>
      <c r="BG168" s="207">
        <v>-71680.2</v>
      </c>
      <c r="BH168" s="207">
        <v>-37806.1</v>
      </c>
      <c r="BI168" s="207">
        <v>-155059.5</v>
      </c>
      <c r="BJ168" s="207">
        <v>0</v>
      </c>
      <c r="BK168" s="207">
        <v>0</v>
      </c>
      <c r="BL168" s="207">
        <v>126949</v>
      </c>
      <c r="BM168" s="207">
        <v>-230725.0871676149</v>
      </c>
      <c r="BN168" s="207">
        <v>-392445.76</v>
      </c>
      <c r="BO168" s="207">
        <v>-13207.785282626748</v>
      </c>
      <c r="BP168" s="207">
        <v>830958</v>
      </c>
      <c r="BQ168" s="207">
        <v>272171</v>
      </c>
      <c r="BR168" s="207">
        <v>596253.0285823218</v>
      </c>
      <c r="BS168" s="207">
        <v>27439.14402939919</v>
      </c>
      <c r="BT168" s="207">
        <v>84570.05489581006</v>
      </c>
      <c r="BU168" s="207">
        <v>269120.68028650165</v>
      </c>
      <c r="BV168" s="207">
        <v>520355.84063226765</v>
      </c>
      <c r="BW168" s="207">
        <v>820429.6655784594</v>
      </c>
      <c r="BX168" s="207">
        <v>233185.05735749073</v>
      </c>
      <c r="BY168" s="207">
        <v>414341.8690886583</v>
      </c>
      <c r="BZ168" s="207">
        <v>829.89</v>
      </c>
      <c r="CA168" s="207">
        <v>46504.37848529253</v>
      </c>
      <c r="CB168" s="207">
        <v>161075.48320266578</v>
      </c>
      <c r="CC168" s="207">
        <v>-1067945.373964949</v>
      </c>
      <c r="CD168" s="207">
        <v>0</v>
      </c>
      <c r="CE168" s="207">
        <v>553388.6692253909</v>
      </c>
      <c r="CF168" s="207">
        <v>0</v>
      </c>
      <c r="CG168" s="207">
        <v>5917069.481779002</v>
      </c>
      <c r="CH168" s="207">
        <v>-485789</v>
      </c>
      <c r="CI168" s="207">
        <v>273367.69820000004</v>
      </c>
      <c r="CJ168" s="207">
        <v>296096.23084</v>
      </c>
      <c r="CK168" s="207">
        <v>-22728.532639999932</v>
      </c>
      <c r="CL168" s="207">
        <v>19152499.196737938</v>
      </c>
      <c r="CM168" s="207">
        <v>21870040.817913275</v>
      </c>
      <c r="CN168" s="207">
        <v>9285</v>
      </c>
    </row>
    <row r="169" spans="1:92" ht="9.75">
      <c r="A169" s="207">
        <v>563</v>
      </c>
      <c r="B169" s="207" t="s">
        <v>226</v>
      </c>
      <c r="C169" s="207">
        <v>7430</v>
      </c>
      <c r="D169" s="207">
        <v>29431241.54</v>
      </c>
      <c r="E169" s="207">
        <v>14215992.393273987</v>
      </c>
      <c r="F169" s="207">
        <v>1410984.027461279</v>
      </c>
      <c r="G169" s="207">
        <v>45058217.96073526</v>
      </c>
      <c r="H169" s="207">
        <v>3654.72</v>
      </c>
      <c r="I169" s="207">
        <v>27154569.599999998</v>
      </c>
      <c r="J169" s="207">
        <v>17903648.360735264</v>
      </c>
      <c r="K169" s="207">
        <v>331673.376331038</v>
      </c>
      <c r="L169" s="207">
        <v>-1168781.4036554021</v>
      </c>
      <c r="M169" s="207">
        <v>0</v>
      </c>
      <c r="N169" s="207">
        <v>17066540.3334109</v>
      </c>
      <c r="O169" s="207">
        <v>5931468.461231697</v>
      </c>
      <c r="P169" s="207">
        <v>22998008.794642597</v>
      </c>
      <c r="Q169" s="207">
        <v>462</v>
      </c>
      <c r="R169" s="207">
        <v>99</v>
      </c>
      <c r="S169" s="207">
        <v>598</v>
      </c>
      <c r="T169" s="207">
        <v>294</v>
      </c>
      <c r="U169" s="207">
        <v>319</v>
      </c>
      <c r="V169" s="207">
        <v>3778</v>
      </c>
      <c r="W169" s="207">
        <v>1011</v>
      </c>
      <c r="X169" s="207">
        <v>569</v>
      </c>
      <c r="Y169" s="207">
        <v>300</v>
      </c>
      <c r="Z169" s="207">
        <v>12</v>
      </c>
      <c r="AA169" s="207">
        <v>0</v>
      </c>
      <c r="AB169" s="207">
        <v>7313</v>
      </c>
      <c r="AC169" s="207">
        <v>105</v>
      </c>
      <c r="AD169" s="207">
        <v>1880</v>
      </c>
      <c r="AE169" s="480">
        <v>1.6242133590105257</v>
      </c>
      <c r="AF169" s="207">
        <v>14215992.393273987</v>
      </c>
      <c r="AG169" s="175">
        <v>306</v>
      </c>
      <c r="AH169" s="175">
        <v>3121</v>
      </c>
      <c r="AI169" s="175">
        <v>1.0049672211799736</v>
      </c>
      <c r="AJ169" s="175">
        <v>105</v>
      </c>
      <c r="AK169" s="175">
        <v>0.014131897711978465</v>
      </c>
      <c r="AL169" s="175">
        <v>0.010850818601515468</v>
      </c>
      <c r="AM169" s="175">
        <v>0</v>
      </c>
      <c r="AN169" s="175">
        <v>12</v>
      </c>
      <c r="AO169" s="175">
        <v>0</v>
      </c>
      <c r="AP169" s="175">
        <v>0</v>
      </c>
      <c r="AQ169" s="175">
        <v>0</v>
      </c>
      <c r="AR169" s="175">
        <v>587.8</v>
      </c>
      <c r="AS169" s="175">
        <v>12.640353861857776</v>
      </c>
      <c r="AT169" s="175">
        <v>1.4359188310132924</v>
      </c>
      <c r="AU169" s="175">
        <v>199</v>
      </c>
      <c r="AV169" s="175">
        <v>1938</v>
      </c>
      <c r="AW169" s="175">
        <v>0.10268317853457172</v>
      </c>
      <c r="AX169" s="175">
        <v>0.047221944805086714</v>
      </c>
      <c r="AY169" s="175">
        <v>0</v>
      </c>
      <c r="AZ169" s="207">
        <v>2977</v>
      </c>
      <c r="BA169" s="175">
        <v>2778</v>
      </c>
      <c r="BB169" s="175">
        <v>1.0716342692584593</v>
      </c>
      <c r="BC169" s="175">
        <v>0.6819394218347474</v>
      </c>
      <c r="BD169" s="175">
        <v>0</v>
      </c>
      <c r="BE169" s="175">
        <v>0</v>
      </c>
      <c r="BF169" s="207">
        <v>-47148.32</v>
      </c>
      <c r="BG169" s="207">
        <v>-57683.84</v>
      </c>
      <c r="BH169" s="207">
        <v>-30462.999999999996</v>
      </c>
      <c r="BI169" s="207">
        <v>-124782.4</v>
      </c>
      <c r="BJ169" s="207">
        <v>0</v>
      </c>
      <c r="BK169" s="207">
        <v>0</v>
      </c>
      <c r="BL169" s="207">
        <v>-80932</v>
      </c>
      <c r="BM169" s="207">
        <v>-211063.15737009884</v>
      </c>
      <c r="BN169" s="207">
        <v>-316220.8</v>
      </c>
      <c r="BO169" s="207">
        <v>-140909.5184260942</v>
      </c>
      <c r="BP169" s="207">
        <v>671353</v>
      </c>
      <c r="BQ169" s="207">
        <v>207901</v>
      </c>
      <c r="BR169" s="207">
        <v>489424.8735210157</v>
      </c>
      <c r="BS169" s="207">
        <v>20115.51790016979</v>
      </c>
      <c r="BT169" s="207">
        <v>47737.777973836666</v>
      </c>
      <c r="BU169" s="207">
        <v>243027.83338420675</v>
      </c>
      <c r="BV169" s="207">
        <v>383364.1612117319</v>
      </c>
      <c r="BW169" s="207">
        <v>631795.7651160285</v>
      </c>
      <c r="BX169" s="207">
        <v>164118.53861002752</v>
      </c>
      <c r="BY169" s="207">
        <v>320445.3298210681</v>
      </c>
      <c r="BZ169" s="207">
        <v>668.6999999999999</v>
      </c>
      <c r="CA169" s="207">
        <v>67556.73214079102</v>
      </c>
      <c r="CB169" s="207">
        <v>-153616.08628530317</v>
      </c>
      <c r="CC169" s="207">
        <v>-1168781.4036554021</v>
      </c>
      <c r="CD169" s="207">
        <v>0</v>
      </c>
      <c r="CE169" s="207">
        <v>424993.62145444023</v>
      </c>
      <c r="CF169" s="207">
        <v>0</v>
      </c>
      <c r="CG169" s="207">
        <v>5931468.461231697</v>
      </c>
      <c r="CH169" s="207">
        <v>-375814</v>
      </c>
      <c r="CI169" s="207">
        <v>293690.16010000004</v>
      </c>
      <c r="CJ169" s="207">
        <v>114784.52728</v>
      </c>
      <c r="CK169" s="207">
        <v>178905.63282000006</v>
      </c>
      <c r="CL169" s="207">
        <v>22622194.794642597</v>
      </c>
      <c r="CM169" s="207">
        <v>23677406.09167267</v>
      </c>
      <c r="CN169" s="207">
        <v>7472</v>
      </c>
    </row>
    <row r="170" spans="1:92" ht="9.75">
      <c r="A170" s="207">
        <v>564</v>
      </c>
      <c r="B170" s="207" t="s">
        <v>227</v>
      </c>
      <c r="C170" s="207">
        <v>203567</v>
      </c>
      <c r="D170" s="207">
        <v>675730508.48</v>
      </c>
      <c r="E170" s="207">
        <v>232697686.08003533</v>
      </c>
      <c r="F170" s="207">
        <v>43271116.572849914</v>
      </c>
      <c r="G170" s="207">
        <v>951699311.1328852</v>
      </c>
      <c r="H170" s="207">
        <v>3654.72</v>
      </c>
      <c r="I170" s="207">
        <v>743980386.24</v>
      </c>
      <c r="J170" s="207">
        <v>207718924.8928852</v>
      </c>
      <c r="K170" s="207">
        <v>8735977.09730933</v>
      </c>
      <c r="L170" s="207">
        <v>-32895517.72254978</v>
      </c>
      <c r="M170" s="207">
        <v>0</v>
      </c>
      <c r="N170" s="207">
        <v>183559384.26764476</v>
      </c>
      <c r="O170" s="207">
        <v>36183438.054564394</v>
      </c>
      <c r="P170" s="207">
        <v>219742822.32220915</v>
      </c>
      <c r="Q170" s="207">
        <v>13951</v>
      </c>
      <c r="R170" s="207">
        <v>2669</v>
      </c>
      <c r="S170" s="207">
        <v>15782</v>
      </c>
      <c r="T170" s="207">
        <v>7408</v>
      </c>
      <c r="U170" s="207">
        <v>7130</v>
      </c>
      <c r="V170" s="207">
        <v>124547</v>
      </c>
      <c r="W170" s="207">
        <v>19010</v>
      </c>
      <c r="X170" s="207">
        <v>9565</v>
      </c>
      <c r="Y170" s="207">
        <v>3505</v>
      </c>
      <c r="Z170" s="207">
        <v>468</v>
      </c>
      <c r="AA170" s="207">
        <v>142</v>
      </c>
      <c r="AB170" s="207">
        <v>194461</v>
      </c>
      <c r="AC170" s="207">
        <v>8496</v>
      </c>
      <c r="AD170" s="207">
        <v>32080</v>
      </c>
      <c r="AE170" s="480">
        <v>0.9703745502028842</v>
      </c>
      <c r="AF170" s="207">
        <v>232697686.08003533</v>
      </c>
      <c r="AG170" s="175">
        <v>11966</v>
      </c>
      <c r="AH170" s="175">
        <v>97832</v>
      </c>
      <c r="AI170" s="175">
        <v>1.2536961881273618</v>
      </c>
      <c r="AJ170" s="175">
        <v>8496</v>
      </c>
      <c r="AK170" s="175">
        <v>0.0417356447754302</v>
      </c>
      <c r="AL170" s="175">
        <v>0.0384545656649672</v>
      </c>
      <c r="AM170" s="175">
        <v>0</v>
      </c>
      <c r="AN170" s="175">
        <v>468</v>
      </c>
      <c r="AO170" s="175">
        <v>142</v>
      </c>
      <c r="AP170" s="175">
        <v>0</v>
      </c>
      <c r="AQ170" s="175">
        <v>0</v>
      </c>
      <c r="AR170" s="175">
        <v>2971.96</v>
      </c>
      <c r="AS170" s="175">
        <v>68.49587477624193</v>
      </c>
      <c r="AT170" s="175">
        <v>0.2649870842617336</v>
      </c>
      <c r="AU170" s="175">
        <v>5384</v>
      </c>
      <c r="AV170" s="175">
        <v>65202</v>
      </c>
      <c r="AW170" s="175">
        <v>0.08257415416705009</v>
      </c>
      <c r="AX170" s="175">
        <v>0.027112920437565087</v>
      </c>
      <c r="AY170" s="175">
        <v>0</v>
      </c>
      <c r="AZ170" s="207">
        <v>87979</v>
      </c>
      <c r="BA170" s="175">
        <v>84168</v>
      </c>
      <c r="BB170" s="175">
        <v>1.0452784906377721</v>
      </c>
      <c r="BC170" s="175">
        <v>0.6555836432140603</v>
      </c>
      <c r="BD170" s="175">
        <v>0</v>
      </c>
      <c r="BE170" s="175">
        <v>142</v>
      </c>
      <c r="BF170" s="207">
        <v>-1273421.0999999999</v>
      </c>
      <c r="BG170" s="207">
        <v>-1557973.2</v>
      </c>
      <c r="BH170" s="207">
        <v>-834624.7</v>
      </c>
      <c r="BI170" s="207">
        <v>-3370227</v>
      </c>
      <c r="BJ170" s="207">
        <v>0</v>
      </c>
      <c r="BK170" s="207">
        <v>0</v>
      </c>
      <c r="BL170" s="207">
        <v>2164676</v>
      </c>
      <c r="BM170" s="207">
        <v>-13145795.114678552</v>
      </c>
      <c r="BN170" s="207">
        <v>-8663811.52</v>
      </c>
      <c r="BO170" s="207">
        <v>-1916537.577849215</v>
      </c>
      <c r="BP170" s="207">
        <v>11522544</v>
      </c>
      <c r="BQ170" s="207">
        <v>4098255</v>
      </c>
      <c r="BR170" s="207">
        <v>9979124.861138187</v>
      </c>
      <c r="BS170" s="207">
        <v>334871.9485142128</v>
      </c>
      <c r="BT170" s="207">
        <v>2477521.5332884975</v>
      </c>
      <c r="BU170" s="207">
        <v>4353592.101941553</v>
      </c>
      <c r="BV170" s="207">
        <v>9470918.065931553</v>
      </c>
      <c r="BW170" s="207">
        <v>12734337.278607612</v>
      </c>
      <c r="BX170" s="207">
        <v>4651088.988378025</v>
      </c>
      <c r="BY170" s="207">
        <v>8066328.4418830965</v>
      </c>
      <c r="BZ170" s="207">
        <v>18321.03</v>
      </c>
      <c r="CA170" s="207">
        <v>1925239.6799779816</v>
      </c>
      <c r="CB170" s="207">
        <v>2191699.1321287667</v>
      </c>
      <c r="CC170" s="207">
        <v>-32895517.72254978</v>
      </c>
      <c r="CD170" s="207">
        <v>0</v>
      </c>
      <c r="CE170" s="207">
        <v>10319905.827703983</v>
      </c>
      <c r="CF170" s="207">
        <v>0</v>
      </c>
      <c r="CG170" s="207">
        <v>36183438.054564394</v>
      </c>
      <c r="CH170" s="207">
        <v>-4445469</v>
      </c>
      <c r="CI170" s="207">
        <v>1067099.17</v>
      </c>
      <c r="CJ170" s="207">
        <v>12516778.282545999</v>
      </c>
      <c r="CK170" s="207">
        <v>-11449679.112545999</v>
      </c>
      <c r="CL170" s="207">
        <v>215297353.32220915</v>
      </c>
      <c r="CM170" s="207">
        <v>269990813.2667428</v>
      </c>
      <c r="CN170" s="207">
        <v>201810</v>
      </c>
    </row>
    <row r="171" spans="1:92" ht="9.75">
      <c r="A171" s="207">
        <v>309</v>
      </c>
      <c r="B171" s="207" t="s">
        <v>228</v>
      </c>
      <c r="C171" s="207">
        <v>6803</v>
      </c>
      <c r="D171" s="207">
        <v>24421278.63</v>
      </c>
      <c r="E171" s="207">
        <v>11316158.354720278</v>
      </c>
      <c r="F171" s="207">
        <v>1979741.4959252449</v>
      </c>
      <c r="G171" s="207">
        <v>37717178.48064552</v>
      </c>
      <c r="H171" s="207">
        <v>3654.72</v>
      </c>
      <c r="I171" s="207">
        <v>24863060.16</v>
      </c>
      <c r="J171" s="207">
        <v>12854118.320645522</v>
      </c>
      <c r="K171" s="207">
        <v>412324.04198038543</v>
      </c>
      <c r="L171" s="207">
        <v>-1344114.0999359484</v>
      </c>
      <c r="M171" s="207">
        <v>0</v>
      </c>
      <c r="N171" s="207">
        <v>11922328.26268996</v>
      </c>
      <c r="O171" s="207">
        <v>6605046.582466857</v>
      </c>
      <c r="P171" s="207">
        <v>18527374.845156815</v>
      </c>
      <c r="Q171" s="207">
        <v>330</v>
      </c>
      <c r="R171" s="207">
        <v>78</v>
      </c>
      <c r="S171" s="207">
        <v>437</v>
      </c>
      <c r="T171" s="207">
        <v>187</v>
      </c>
      <c r="U171" s="207">
        <v>214</v>
      </c>
      <c r="V171" s="207">
        <v>3490</v>
      </c>
      <c r="W171" s="207">
        <v>1199</v>
      </c>
      <c r="X171" s="207">
        <v>621</v>
      </c>
      <c r="Y171" s="207">
        <v>247</v>
      </c>
      <c r="Z171" s="207">
        <v>10</v>
      </c>
      <c r="AA171" s="207">
        <v>0</v>
      </c>
      <c r="AB171" s="207">
        <v>6554</v>
      </c>
      <c r="AC171" s="207">
        <v>239</v>
      </c>
      <c r="AD171" s="207">
        <v>2067</v>
      </c>
      <c r="AE171" s="480">
        <v>1.412060338245895</v>
      </c>
      <c r="AF171" s="207">
        <v>11316158.354720278</v>
      </c>
      <c r="AG171" s="175">
        <v>429</v>
      </c>
      <c r="AH171" s="175">
        <v>2721</v>
      </c>
      <c r="AI171" s="175">
        <v>1.616043286112681</v>
      </c>
      <c r="AJ171" s="175">
        <v>239</v>
      </c>
      <c r="AK171" s="175">
        <v>0.03513155960605615</v>
      </c>
      <c r="AL171" s="175">
        <v>0.03185048049559315</v>
      </c>
      <c r="AM171" s="175">
        <v>0</v>
      </c>
      <c r="AN171" s="175">
        <v>10</v>
      </c>
      <c r="AO171" s="175">
        <v>0</v>
      </c>
      <c r="AP171" s="175">
        <v>0</v>
      </c>
      <c r="AQ171" s="175">
        <v>0</v>
      </c>
      <c r="AR171" s="175">
        <v>445.82</v>
      </c>
      <c r="AS171" s="175">
        <v>15.259521780090619</v>
      </c>
      <c r="AT171" s="175">
        <v>1.1894555021111144</v>
      </c>
      <c r="AU171" s="175">
        <v>231</v>
      </c>
      <c r="AV171" s="175">
        <v>1703</v>
      </c>
      <c r="AW171" s="175">
        <v>0.13564298297122723</v>
      </c>
      <c r="AX171" s="175">
        <v>0.08018174924174223</v>
      </c>
      <c r="AY171" s="175">
        <v>0.0636</v>
      </c>
      <c r="AZ171" s="207">
        <v>2462</v>
      </c>
      <c r="BA171" s="175">
        <v>2226</v>
      </c>
      <c r="BB171" s="175">
        <v>1.106019766397125</v>
      </c>
      <c r="BC171" s="175">
        <v>0.7163249189734131</v>
      </c>
      <c r="BD171" s="175">
        <v>0</v>
      </c>
      <c r="BE171" s="175">
        <v>0</v>
      </c>
      <c r="BF171" s="207">
        <v>-44188.93</v>
      </c>
      <c r="BG171" s="207">
        <v>-54063.159999999996</v>
      </c>
      <c r="BH171" s="207">
        <v>-27892.3</v>
      </c>
      <c r="BI171" s="207">
        <v>-116950.09999999999</v>
      </c>
      <c r="BJ171" s="207">
        <v>0</v>
      </c>
      <c r="BK171" s="207">
        <v>0</v>
      </c>
      <c r="BL171" s="207">
        <v>-98614</v>
      </c>
      <c r="BM171" s="207">
        <v>-699759.8753680993</v>
      </c>
      <c r="BN171" s="207">
        <v>-289535.68</v>
      </c>
      <c r="BO171" s="207">
        <v>145432.3681433089</v>
      </c>
      <c r="BP171" s="207">
        <v>623638</v>
      </c>
      <c r="BQ171" s="207">
        <v>194928</v>
      </c>
      <c r="BR171" s="207">
        <v>495129.1066012289</v>
      </c>
      <c r="BS171" s="207">
        <v>27465.201518653055</v>
      </c>
      <c r="BT171" s="207">
        <v>76620.8839905472</v>
      </c>
      <c r="BU171" s="207">
        <v>277622.93648706295</v>
      </c>
      <c r="BV171" s="207">
        <v>355298.1467629101</v>
      </c>
      <c r="BW171" s="207">
        <v>580213.7405274005</v>
      </c>
      <c r="BX171" s="207">
        <v>153037.84529078787</v>
      </c>
      <c r="BY171" s="207">
        <v>309166.59218559414</v>
      </c>
      <c r="BZ171" s="207">
        <v>612.27</v>
      </c>
      <c r="CA171" s="207">
        <v>49425.28728884207</v>
      </c>
      <c r="CB171" s="207">
        <v>96855.92543215098</v>
      </c>
      <c r="CC171" s="207">
        <v>-1344114.0999359484</v>
      </c>
      <c r="CD171" s="207">
        <v>0</v>
      </c>
      <c r="CE171" s="207">
        <v>401612.80523659417</v>
      </c>
      <c r="CF171" s="207">
        <v>0</v>
      </c>
      <c r="CG171" s="207">
        <v>6605046.582466857</v>
      </c>
      <c r="CH171" s="207">
        <v>-609652</v>
      </c>
      <c r="CI171" s="207">
        <v>111603.6202</v>
      </c>
      <c r="CJ171" s="207">
        <v>139728.81997999997</v>
      </c>
      <c r="CK171" s="207">
        <v>-28125.199779999966</v>
      </c>
      <c r="CL171" s="207">
        <v>17917722.845156815</v>
      </c>
      <c r="CM171" s="207">
        <v>20392053.46924385</v>
      </c>
      <c r="CN171" s="207">
        <v>7003</v>
      </c>
    </row>
    <row r="172" spans="1:92" ht="9.75">
      <c r="A172" s="207">
        <v>576</v>
      </c>
      <c r="B172" s="207" t="s">
        <v>229</v>
      </c>
      <c r="C172" s="207">
        <v>2963</v>
      </c>
      <c r="D172" s="207">
        <v>11543860.3</v>
      </c>
      <c r="E172" s="207">
        <v>5009424.66219008</v>
      </c>
      <c r="F172" s="207">
        <v>877904.910605509</v>
      </c>
      <c r="G172" s="207">
        <v>17431189.87279559</v>
      </c>
      <c r="H172" s="207">
        <v>3654.72</v>
      </c>
      <c r="I172" s="207">
        <v>10828935.36</v>
      </c>
      <c r="J172" s="207">
        <v>6602254.51279559</v>
      </c>
      <c r="K172" s="207">
        <v>333252.7905378453</v>
      </c>
      <c r="L172" s="207">
        <v>-381721.5711945932</v>
      </c>
      <c r="M172" s="207">
        <v>0</v>
      </c>
      <c r="N172" s="207">
        <v>6553785.732138842</v>
      </c>
      <c r="O172" s="207">
        <v>2268164.0959533835</v>
      </c>
      <c r="P172" s="207">
        <v>8821949.828092225</v>
      </c>
      <c r="Q172" s="207">
        <v>92</v>
      </c>
      <c r="R172" s="207">
        <v>21</v>
      </c>
      <c r="S172" s="207">
        <v>145</v>
      </c>
      <c r="T172" s="207">
        <v>84</v>
      </c>
      <c r="U172" s="207">
        <v>67</v>
      </c>
      <c r="V172" s="207">
        <v>1398</v>
      </c>
      <c r="W172" s="207">
        <v>615</v>
      </c>
      <c r="X172" s="207">
        <v>368</v>
      </c>
      <c r="Y172" s="207">
        <v>173</v>
      </c>
      <c r="Z172" s="207">
        <v>11</v>
      </c>
      <c r="AA172" s="207">
        <v>0</v>
      </c>
      <c r="AB172" s="207">
        <v>2914</v>
      </c>
      <c r="AC172" s="207">
        <v>38</v>
      </c>
      <c r="AD172" s="207">
        <v>1156</v>
      </c>
      <c r="AE172" s="480">
        <v>1.4351949832283735</v>
      </c>
      <c r="AF172" s="207">
        <v>5009424.66219008</v>
      </c>
      <c r="AG172" s="175">
        <v>138</v>
      </c>
      <c r="AH172" s="175">
        <v>1173</v>
      </c>
      <c r="AI172" s="175">
        <v>1.205883389966435</v>
      </c>
      <c r="AJ172" s="175">
        <v>38</v>
      </c>
      <c r="AK172" s="175">
        <v>0.01282483968950388</v>
      </c>
      <c r="AL172" s="175">
        <v>0.009543760579040883</v>
      </c>
      <c r="AM172" s="175">
        <v>0</v>
      </c>
      <c r="AN172" s="175">
        <v>11</v>
      </c>
      <c r="AO172" s="175">
        <v>0</v>
      </c>
      <c r="AP172" s="175">
        <v>0</v>
      </c>
      <c r="AQ172" s="175">
        <v>0</v>
      </c>
      <c r="AR172" s="175">
        <v>523.12</v>
      </c>
      <c r="AS172" s="175">
        <v>5.664092368863741</v>
      </c>
      <c r="AT172" s="175">
        <v>3.204489079431151</v>
      </c>
      <c r="AU172" s="175">
        <v>100</v>
      </c>
      <c r="AV172" s="175">
        <v>657</v>
      </c>
      <c r="AW172" s="175">
        <v>0.15220700152207</v>
      </c>
      <c r="AX172" s="175">
        <v>0.09674576779258501</v>
      </c>
      <c r="AY172" s="175">
        <v>0.4125333333333333</v>
      </c>
      <c r="AZ172" s="207">
        <v>753</v>
      </c>
      <c r="BA172" s="175">
        <v>1006</v>
      </c>
      <c r="BB172" s="175">
        <v>0.7485089463220675</v>
      </c>
      <c r="BC172" s="175">
        <v>0.3588140988983557</v>
      </c>
      <c r="BD172" s="175">
        <v>0</v>
      </c>
      <c r="BE172" s="175">
        <v>0</v>
      </c>
      <c r="BF172" s="207">
        <v>-19100.37</v>
      </c>
      <c r="BG172" s="207">
        <v>-23368.44</v>
      </c>
      <c r="BH172" s="207">
        <v>-12148.3</v>
      </c>
      <c r="BI172" s="207">
        <v>-50550.9</v>
      </c>
      <c r="BJ172" s="207">
        <v>0</v>
      </c>
      <c r="BK172" s="207">
        <v>0</v>
      </c>
      <c r="BL172" s="207">
        <v>39631</v>
      </c>
      <c r="BM172" s="207">
        <v>-107004.92057979363</v>
      </c>
      <c r="BN172" s="207">
        <v>-126105.28000000001</v>
      </c>
      <c r="BO172" s="207">
        <v>31367.59674635902</v>
      </c>
      <c r="BP172" s="207">
        <v>333500</v>
      </c>
      <c r="BQ172" s="207">
        <v>98579</v>
      </c>
      <c r="BR172" s="207">
        <v>244053.0007171452</v>
      </c>
      <c r="BS172" s="207">
        <v>13893.435066114844</v>
      </c>
      <c r="BT172" s="207">
        <v>51242.601931801124</v>
      </c>
      <c r="BU172" s="207">
        <v>118125.36311008477</v>
      </c>
      <c r="BV172" s="207">
        <v>174574.08487837674</v>
      </c>
      <c r="BW172" s="207">
        <v>280874.32813366747</v>
      </c>
      <c r="BX172" s="207">
        <v>88419.75061236676</v>
      </c>
      <c r="BY172" s="207">
        <v>148608.44923375346</v>
      </c>
      <c r="BZ172" s="207">
        <v>266.67</v>
      </c>
      <c r="CA172" s="207">
        <v>-23863.047361158522</v>
      </c>
      <c r="CB172" s="207">
        <v>47402.2193852005</v>
      </c>
      <c r="CC172" s="207">
        <v>-381721.5711945932</v>
      </c>
      <c r="CD172" s="207">
        <v>0</v>
      </c>
      <c r="CE172" s="207">
        <v>203233.21949617603</v>
      </c>
      <c r="CF172" s="207">
        <v>0</v>
      </c>
      <c r="CG172" s="207">
        <v>2268164.0959533835</v>
      </c>
      <c r="CH172" s="207">
        <v>-295128</v>
      </c>
      <c r="CI172" s="207">
        <v>39421.49800000001</v>
      </c>
      <c r="CJ172" s="207">
        <v>83274.51612</v>
      </c>
      <c r="CK172" s="207">
        <v>-43853.01811999999</v>
      </c>
      <c r="CL172" s="207">
        <v>8526821.828092225</v>
      </c>
      <c r="CM172" s="207">
        <v>9425687.06255323</v>
      </c>
      <c r="CN172" s="207">
        <v>3027</v>
      </c>
    </row>
    <row r="173" spans="1:92" ht="9.75">
      <c r="A173" s="207">
        <v>577</v>
      </c>
      <c r="B173" s="207" t="s">
        <v>230</v>
      </c>
      <c r="C173" s="207">
        <v>10832</v>
      </c>
      <c r="D173" s="207">
        <v>39296313.75</v>
      </c>
      <c r="E173" s="207">
        <v>10530780.172769828</v>
      </c>
      <c r="F173" s="207">
        <v>1278947.9619049362</v>
      </c>
      <c r="G173" s="207">
        <v>51106041.884674765</v>
      </c>
      <c r="H173" s="207">
        <v>3654.72</v>
      </c>
      <c r="I173" s="207">
        <v>39587927.04</v>
      </c>
      <c r="J173" s="207">
        <v>11518114.844674766</v>
      </c>
      <c r="K173" s="207">
        <v>199508.25595831103</v>
      </c>
      <c r="L173" s="207">
        <v>-1764717.9336975631</v>
      </c>
      <c r="M173" s="207">
        <v>0</v>
      </c>
      <c r="N173" s="207">
        <v>9952905.166935515</v>
      </c>
      <c r="O173" s="207">
        <v>1864254.0392445251</v>
      </c>
      <c r="P173" s="207">
        <v>11817159.20618004</v>
      </c>
      <c r="Q173" s="207">
        <v>798</v>
      </c>
      <c r="R173" s="207">
        <v>152</v>
      </c>
      <c r="S173" s="207">
        <v>858</v>
      </c>
      <c r="T173" s="207">
        <v>405</v>
      </c>
      <c r="U173" s="207">
        <v>347</v>
      </c>
      <c r="V173" s="207">
        <v>5964</v>
      </c>
      <c r="W173" s="207">
        <v>1401</v>
      </c>
      <c r="X173" s="207">
        <v>624</v>
      </c>
      <c r="Y173" s="207">
        <v>283</v>
      </c>
      <c r="Z173" s="207">
        <v>103</v>
      </c>
      <c r="AA173" s="207">
        <v>1</v>
      </c>
      <c r="AB173" s="207">
        <v>10449</v>
      </c>
      <c r="AC173" s="207">
        <v>279</v>
      </c>
      <c r="AD173" s="207">
        <v>2308</v>
      </c>
      <c r="AE173" s="480">
        <v>0.825290042705778</v>
      </c>
      <c r="AF173" s="207">
        <v>10530780.172769828</v>
      </c>
      <c r="AG173" s="175">
        <v>221</v>
      </c>
      <c r="AH173" s="175">
        <v>5163</v>
      </c>
      <c r="AI173" s="175">
        <v>0.4387472299151556</v>
      </c>
      <c r="AJ173" s="175">
        <v>279</v>
      </c>
      <c r="AK173" s="175">
        <v>0.02575701624815362</v>
      </c>
      <c r="AL173" s="175">
        <v>0.022475937137690624</v>
      </c>
      <c r="AM173" s="175">
        <v>0</v>
      </c>
      <c r="AN173" s="175">
        <v>103</v>
      </c>
      <c r="AO173" s="175">
        <v>1</v>
      </c>
      <c r="AP173" s="175">
        <v>0</v>
      </c>
      <c r="AQ173" s="175">
        <v>0</v>
      </c>
      <c r="AR173" s="175">
        <v>238.4</v>
      </c>
      <c r="AS173" s="175">
        <v>45.43624161073826</v>
      </c>
      <c r="AT173" s="175">
        <v>0.39947234844845836</v>
      </c>
      <c r="AU173" s="175">
        <v>354</v>
      </c>
      <c r="AV173" s="175">
        <v>3596</v>
      </c>
      <c r="AW173" s="175">
        <v>0.09844271412680757</v>
      </c>
      <c r="AX173" s="175">
        <v>0.04298148039732256</v>
      </c>
      <c r="AY173" s="175">
        <v>0</v>
      </c>
      <c r="AZ173" s="207">
        <v>3154</v>
      </c>
      <c r="BA173" s="175">
        <v>4700</v>
      </c>
      <c r="BB173" s="175">
        <v>0.671063829787234</v>
      </c>
      <c r="BC173" s="175">
        <v>0.28136898236352215</v>
      </c>
      <c r="BD173" s="175">
        <v>0</v>
      </c>
      <c r="BE173" s="175">
        <v>1</v>
      </c>
      <c r="BF173" s="207">
        <v>-67706.3</v>
      </c>
      <c r="BG173" s="207">
        <v>-82835.59999999999</v>
      </c>
      <c r="BH173" s="207">
        <v>-44411.2</v>
      </c>
      <c r="BI173" s="207">
        <v>-179191</v>
      </c>
      <c r="BJ173" s="207">
        <v>0</v>
      </c>
      <c r="BK173" s="207">
        <v>0</v>
      </c>
      <c r="BL173" s="207">
        <v>-100689</v>
      </c>
      <c r="BM173" s="207">
        <v>-588731.0908152696</v>
      </c>
      <c r="BN173" s="207">
        <v>-461009.92000000004</v>
      </c>
      <c r="BO173" s="207">
        <v>95634.59417682327</v>
      </c>
      <c r="BP173" s="207">
        <v>715882</v>
      </c>
      <c r="BQ173" s="207">
        <v>239696</v>
      </c>
      <c r="BR173" s="207">
        <v>484639.5318536193</v>
      </c>
      <c r="BS173" s="207">
        <v>8500.406288134975</v>
      </c>
      <c r="BT173" s="207">
        <v>9666.312235117239</v>
      </c>
      <c r="BU173" s="207">
        <v>210520.21530560398</v>
      </c>
      <c r="BV173" s="207">
        <v>502854.84421210585</v>
      </c>
      <c r="BW173" s="207">
        <v>843472.5388440933</v>
      </c>
      <c r="BX173" s="207">
        <v>240276.306378402</v>
      </c>
      <c r="BY173" s="207">
        <v>418130.20248973597</v>
      </c>
      <c r="BZ173" s="207">
        <v>974.88</v>
      </c>
      <c r="CA173" s="207">
        <v>-4644.177059116657</v>
      </c>
      <c r="CB173" s="207">
        <v>-8723.702882293383</v>
      </c>
      <c r="CC173" s="207">
        <v>-1764717.9336975631</v>
      </c>
      <c r="CD173" s="207">
        <v>0</v>
      </c>
      <c r="CE173" s="207">
        <v>512171.82169536507</v>
      </c>
      <c r="CF173" s="207">
        <v>0</v>
      </c>
      <c r="CG173" s="207">
        <v>1864254.0392445251</v>
      </c>
      <c r="CH173" s="207">
        <v>-130042</v>
      </c>
      <c r="CI173" s="207">
        <v>371105.82600000006</v>
      </c>
      <c r="CJ173" s="207">
        <v>209695.18212</v>
      </c>
      <c r="CK173" s="207">
        <v>161410.64388000005</v>
      </c>
      <c r="CL173" s="207">
        <v>11687117.20618004</v>
      </c>
      <c r="CM173" s="207">
        <v>13848069.0114371</v>
      </c>
      <c r="CN173" s="207">
        <v>10730</v>
      </c>
    </row>
    <row r="174" spans="1:92" ht="9.75">
      <c r="A174" s="207">
        <v>578</v>
      </c>
      <c r="B174" s="207" t="s">
        <v>231</v>
      </c>
      <c r="C174" s="207">
        <v>3336</v>
      </c>
      <c r="D174" s="207">
        <v>12232699.55</v>
      </c>
      <c r="E174" s="207">
        <v>7119043.572919886</v>
      </c>
      <c r="F174" s="207">
        <v>1251934.7518594945</v>
      </c>
      <c r="G174" s="207">
        <v>20603677.87477938</v>
      </c>
      <c r="H174" s="207">
        <v>3654.72</v>
      </c>
      <c r="I174" s="207">
        <v>12192145.92</v>
      </c>
      <c r="J174" s="207">
        <v>8411531.954779381</v>
      </c>
      <c r="K174" s="207">
        <v>162276.27728949804</v>
      </c>
      <c r="L174" s="207">
        <v>-323227.9131126376</v>
      </c>
      <c r="M174" s="207">
        <v>0</v>
      </c>
      <c r="N174" s="207">
        <v>8250580.318956242</v>
      </c>
      <c r="O174" s="207">
        <v>3240251.752335068</v>
      </c>
      <c r="P174" s="207">
        <v>11490832.071291309</v>
      </c>
      <c r="Q174" s="207">
        <v>130</v>
      </c>
      <c r="R174" s="207">
        <v>27</v>
      </c>
      <c r="S174" s="207">
        <v>195</v>
      </c>
      <c r="T174" s="207">
        <v>106</v>
      </c>
      <c r="U174" s="207">
        <v>100</v>
      </c>
      <c r="V174" s="207">
        <v>1708</v>
      </c>
      <c r="W174" s="207">
        <v>601</v>
      </c>
      <c r="X174" s="207">
        <v>323</v>
      </c>
      <c r="Y174" s="207">
        <v>146</v>
      </c>
      <c r="Z174" s="207">
        <v>2</v>
      </c>
      <c r="AA174" s="207">
        <v>0</v>
      </c>
      <c r="AB174" s="207">
        <v>3298</v>
      </c>
      <c r="AC174" s="207">
        <v>36</v>
      </c>
      <c r="AD174" s="207">
        <v>1070</v>
      </c>
      <c r="AE174" s="480">
        <v>1.8115499721411035</v>
      </c>
      <c r="AF174" s="207">
        <v>7119043.572919886</v>
      </c>
      <c r="AG174" s="175">
        <v>192</v>
      </c>
      <c r="AH174" s="175">
        <v>1357</v>
      </c>
      <c r="AI174" s="175">
        <v>1.45025916906796</v>
      </c>
      <c r="AJ174" s="175">
        <v>36</v>
      </c>
      <c r="AK174" s="175">
        <v>0.01079136690647482</v>
      </c>
      <c r="AL174" s="175">
        <v>0.007510287796011824</v>
      </c>
      <c r="AM174" s="175">
        <v>0</v>
      </c>
      <c r="AN174" s="175">
        <v>2</v>
      </c>
      <c r="AO174" s="175">
        <v>0</v>
      </c>
      <c r="AP174" s="175">
        <v>0</v>
      </c>
      <c r="AQ174" s="175">
        <v>0</v>
      </c>
      <c r="AR174" s="175">
        <v>918.24</v>
      </c>
      <c r="AS174" s="175">
        <v>3.6330371144798743</v>
      </c>
      <c r="AT174" s="175">
        <v>4.9959638641103465</v>
      </c>
      <c r="AU174" s="175">
        <v>102</v>
      </c>
      <c r="AV174" s="175">
        <v>812</v>
      </c>
      <c r="AW174" s="175">
        <v>0.12561576354679804</v>
      </c>
      <c r="AX174" s="175">
        <v>0.07015452981731304</v>
      </c>
      <c r="AY174" s="175">
        <v>0.08936666666666666</v>
      </c>
      <c r="AZ174" s="207">
        <v>923</v>
      </c>
      <c r="BA174" s="175">
        <v>1101</v>
      </c>
      <c r="BB174" s="175">
        <v>0.8383287920072662</v>
      </c>
      <c r="BC174" s="175">
        <v>0.4486339445835543</v>
      </c>
      <c r="BD174" s="175">
        <v>0</v>
      </c>
      <c r="BE174" s="175">
        <v>0</v>
      </c>
      <c r="BF174" s="207">
        <v>-21674.85</v>
      </c>
      <c r="BG174" s="207">
        <v>-26518.2</v>
      </c>
      <c r="BH174" s="207">
        <v>-13677.599999999999</v>
      </c>
      <c r="BI174" s="207">
        <v>-57364.5</v>
      </c>
      <c r="BJ174" s="207">
        <v>0</v>
      </c>
      <c r="BK174" s="207">
        <v>0</v>
      </c>
      <c r="BL174" s="207">
        <v>118187</v>
      </c>
      <c r="BM174" s="207">
        <v>-165218.83729590214</v>
      </c>
      <c r="BN174" s="207">
        <v>-141980.16</v>
      </c>
      <c r="BO174" s="207">
        <v>99190.47213805467</v>
      </c>
      <c r="BP174" s="207">
        <v>359413</v>
      </c>
      <c r="BQ174" s="207">
        <v>117091</v>
      </c>
      <c r="BR174" s="207">
        <v>292961.8091873133</v>
      </c>
      <c r="BS174" s="207">
        <v>17070.764551890865</v>
      </c>
      <c r="BT174" s="207">
        <v>64056.44933309336</v>
      </c>
      <c r="BU174" s="207">
        <v>149275.4613426207</v>
      </c>
      <c r="BV174" s="207">
        <v>171825.56490100868</v>
      </c>
      <c r="BW174" s="207">
        <v>290627.2859584415</v>
      </c>
      <c r="BX174" s="207">
        <v>81329.21402320254</v>
      </c>
      <c r="BY174" s="207">
        <v>160375.5194643866</v>
      </c>
      <c r="BZ174" s="207">
        <v>300.24</v>
      </c>
      <c r="CA174" s="207">
        <v>-12189.717954790236</v>
      </c>
      <c r="CB174" s="207">
        <v>205487.9941832644</v>
      </c>
      <c r="CC174" s="207">
        <v>-323227.9131126376</v>
      </c>
      <c r="CD174" s="207">
        <v>0</v>
      </c>
      <c r="CE174" s="207">
        <v>208278.56732756144</v>
      </c>
      <c r="CF174" s="207">
        <v>0</v>
      </c>
      <c r="CG174" s="207">
        <v>3240251.752335068</v>
      </c>
      <c r="CH174" s="207">
        <v>28746</v>
      </c>
      <c r="CI174" s="207">
        <v>324955.48610000004</v>
      </c>
      <c r="CJ174" s="207">
        <v>66608.738</v>
      </c>
      <c r="CK174" s="207">
        <v>258346.74810000003</v>
      </c>
      <c r="CL174" s="207">
        <v>11519578.071291309</v>
      </c>
      <c r="CM174" s="207">
        <v>12743273.621720916</v>
      </c>
      <c r="CN174" s="207">
        <v>3435</v>
      </c>
    </row>
    <row r="175" spans="1:92" ht="9.75">
      <c r="A175" s="207">
        <v>445</v>
      </c>
      <c r="B175" s="207" t="s">
        <v>397</v>
      </c>
      <c r="C175" s="207">
        <v>15217</v>
      </c>
      <c r="D175" s="207">
        <v>55598268.37</v>
      </c>
      <c r="E175" s="207">
        <v>14827954.458372617</v>
      </c>
      <c r="F175" s="207">
        <v>11149225.361359349</v>
      </c>
      <c r="G175" s="207">
        <v>81575448.18973196</v>
      </c>
      <c r="H175" s="207">
        <v>3654.72</v>
      </c>
      <c r="I175" s="207">
        <v>55613874.239999995</v>
      </c>
      <c r="J175" s="207">
        <v>25961573.94973196</v>
      </c>
      <c r="K175" s="207">
        <v>404965.70139151264</v>
      </c>
      <c r="L175" s="207">
        <v>-1588048.9514462305</v>
      </c>
      <c r="M175" s="207">
        <v>0</v>
      </c>
      <c r="N175" s="207">
        <v>24778490.699677244</v>
      </c>
      <c r="O175" s="207">
        <v>515058.1210733775</v>
      </c>
      <c r="P175" s="207">
        <v>25293548.82075062</v>
      </c>
      <c r="Q175" s="207">
        <v>799</v>
      </c>
      <c r="R175" s="207">
        <v>173</v>
      </c>
      <c r="S175" s="207">
        <v>1065</v>
      </c>
      <c r="T175" s="207">
        <v>557</v>
      </c>
      <c r="U175" s="207">
        <v>525</v>
      </c>
      <c r="V175" s="207">
        <v>7956</v>
      </c>
      <c r="W175" s="207">
        <v>2440</v>
      </c>
      <c r="X175" s="207">
        <v>1186</v>
      </c>
      <c r="Y175" s="207">
        <v>516</v>
      </c>
      <c r="Z175" s="207">
        <v>8396</v>
      </c>
      <c r="AA175" s="207">
        <v>0</v>
      </c>
      <c r="AB175" s="207">
        <v>6348</v>
      </c>
      <c r="AC175" s="207">
        <v>473</v>
      </c>
      <c r="AD175" s="207">
        <v>4142</v>
      </c>
      <c r="AE175" s="480">
        <v>0.8271931177395209</v>
      </c>
      <c r="AF175" s="207">
        <v>14827954.458372617</v>
      </c>
      <c r="AG175" s="175">
        <v>409</v>
      </c>
      <c r="AH175" s="175">
        <v>6940</v>
      </c>
      <c r="AI175" s="175">
        <v>0.6040711246712264</v>
      </c>
      <c r="AJ175" s="175">
        <v>473</v>
      </c>
      <c r="AK175" s="175">
        <v>0.031083656436879804</v>
      </c>
      <c r="AL175" s="175">
        <v>0.02780257732641681</v>
      </c>
      <c r="AM175" s="175">
        <v>3</v>
      </c>
      <c r="AN175" s="175">
        <v>8396</v>
      </c>
      <c r="AO175" s="175">
        <v>0</v>
      </c>
      <c r="AP175" s="175">
        <v>1</v>
      </c>
      <c r="AQ175" s="175">
        <v>0</v>
      </c>
      <c r="AR175" s="175">
        <v>883.12</v>
      </c>
      <c r="AS175" s="175">
        <v>17.230953890750975</v>
      </c>
      <c r="AT175" s="175">
        <v>1.0533672283027695</v>
      </c>
      <c r="AU175" s="175">
        <v>557</v>
      </c>
      <c r="AV175" s="175">
        <v>4543</v>
      </c>
      <c r="AW175" s="175">
        <v>0.12260620735197006</v>
      </c>
      <c r="AX175" s="175">
        <v>0.06714497362248506</v>
      </c>
      <c r="AY175" s="175">
        <v>0</v>
      </c>
      <c r="AZ175" s="207">
        <v>5088</v>
      </c>
      <c r="BA175" s="175">
        <v>6390</v>
      </c>
      <c r="BB175" s="175">
        <v>0.7962441314553991</v>
      </c>
      <c r="BC175" s="175">
        <v>0.4065492840316872</v>
      </c>
      <c r="BD175" s="175">
        <v>0</v>
      </c>
      <c r="BE175" s="175">
        <v>0</v>
      </c>
      <c r="BF175" s="207">
        <v>-96448.34999999999</v>
      </c>
      <c r="BG175" s="207">
        <v>-118000.2</v>
      </c>
      <c r="BH175" s="207">
        <v>-62389.7</v>
      </c>
      <c r="BI175" s="207">
        <v>-255259.5</v>
      </c>
      <c r="BJ175" s="207">
        <v>0</v>
      </c>
      <c r="BK175" s="207">
        <v>0</v>
      </c>
      <c r="BL175" s="207">
        <v>85094</v>
      </c>
      <c r="BM175" s="207">
        <v>-366474.33160591574</v>
      </c>
      <c r="BN175" s="207">
        <v>-647635.52</v>
      </c>
      <c r="BO175" s="207">
        <v>391772.4688114561</v>
      </c>
      <c r="BP175" s="207">
        <v>1173170</v>
      </c>
      <c r="BQ175" s="207">
        <v>399015</v>
      </c>
      <c r="BR175" s="207">
        <v>745570.3645870736</v>
      </c>
      <c r="BS175" s="207">
        <v>19521.031900683436</v>
      </c>
      <c r="BT175" s="207">
        <v>49051.652122313404</v>
      </c>
      <c r="BU175" s="207">
        <v>382602.86645309394</v>
      </c>
      <c r="BV175" s="207">
        <v>457327.302254667</v>
      </c>
      <c r="BW175" s="207">
        <v>1129748.553591236</v>
      </c>
      <c r="BX175" s="207">
        <v>338308.8942937113</v>
      </c>
      <c r="BY175" s="207">
        <v>565510.6262282355</v>
      </c>
      <c r="BZ175" s="207">
        <v>1369.53</v>
      </c>
      <c r="CA175" s="207">
        <v>-53524.12865177099</v>
      </c>
      <c r="CB175" s="207">
        <v>424711.87015968515</v>
      </c>
      <c r="CC175" s="207">
        <v>-1588048.9514462305</v>
      </c>
      <c r="CD175" s="207">
        <v>0</v>
      </c>
      <c r="CE175" s="207">
        <v>676284.2977938866</v>
      </c>
      <c r="CF175" s="207">
        <v>0</v>
      </c>
      <c r="CG175" s="207">
        <v>515058.1210733775</v>
      </c>
      <c r="CH175" s="207">
        <v>-635254</v>
      </c>
      <c r="CI175" s="207">
        <v>198806.69249999998</v>
      </c>
      <c r="CJ175" s="207">
        <v>205032.57046000002</v>
      </c>
      <c r="CK175" s="207">
        <v>-6225.877960000042</v>
      </c>
      <c r="CL175" s="207">
        <v>24658294.82075062</v>
      </c>
      <c r="CM175" s="207">
        <v>28059156.011594012</v>
      </c>
      <c r="CN175" s="207">
        <v>15285</v>
      </c>
    </row>
    <row r="176" spans="1:92" ht="9.75">
      <c r="A176" s="207">
        <v>580</v>
      </c>
      <c r="B176" s="207" t="s">
        <v>232</v>
      </c>
      <c r="C176" s="207">
        <v>4842</v>
      </c>
      <c r="D176" s="207">
        <v>17750378.08</v>
      </c>
      <c r="E176" s="207">
        <v>8516819.839866348</v>
      </c>
      <c r="F176" s="207">
        <v>1309941.444143705</v>
      </c>
      <c r="G176" s="207">
        <v>27577139.36401005</v>
      </c>
      <c r="H176" s="207">
        <v>3654.72</v>
      </c>
      <c r="I176" s="207">
        <v>17696154.24</v>
      </c>
      <c r="J176" s="207">
        <v>9880985.124010053</v>
      </c>
      <c r="K176" s="207">
        <v>773903.9942077443</v>
      </c>
      <c r="L176" s="207">
        <v>-153179.92272980767</v>
      </c>
      <c r="M176" s="207">
        <v>0</v>
      </c>
      <c r="N176" s="207">
        <v>10501709.19548799</v>
      </c>
      <c r="O176" s="207">
        <v>3873728.239464512</v>
      </c>
      <c r="P176" s="207">
        <v>14375437.434952501</v>
      </c>
      <c r="Q176" s="207">
        <v>190</v>
      </c>
      <c r="R176" s="207">
        <v>36</v>
      </c>
      <c r="S176" s="207">
        <v>206</v>
      </c>
      <c r="T176" s="207">
        <v>101</v>
      </c>
      <c r="U176" s="207">
        <v>103</v>
      </c>
      <c r="V176" s="207">
        <v>2348</v>
      </c>
      <c r="W176" s="207">
        <v>1026</v>
      </c>
      <c r="X176" s="207">
        <v>589</v>
      </c>
      <c r="Y176" s="207">
        <v>243</v>
      </c>
      <c r="Z176" s="207">
        <v>9</v>
      </c>
      <c r="AA176" s="207">
        <v>0</v>
      </c>
      <c r="AB176" s="207">
        <v>4730</v>
      </c>
      <c r="AC176" s="207">
        <v>103</v>
      </c>
      <c r="AD176" s="207">
        <v>1858</v>
      </c>
      <c r="AE176" s="480">
        <v>1.493163568048525</v>
      </c>
      <c r="AF176" s="207">
        <v>8516819.839866348</v>
      </c>
      <c r="AG176" s="175">
        <v>217</v>
      </c>
      <c r="AH176" s="175">
        <v>2071</v>
      </c>
      <c r="AI176" s="175">
        <v>1.0739989921743551</v>
      </c>
      <c r="AJ176" s="175">
        <v>103</v>
      </c>
      <c r="AK176" s="175">
        <v>0.021272201569599337</v>
      </c>
      <c r="AL176" s="175">
        <v>0.017991122459136342</v>
      </c>
      <c r="AM176" s="175">
        <v>0</v>
      </c>
      <c r="AN176" s="175">
        <v>9</v>
      </c>
      <c r="AO176" s="175">
        <v>0</v>
      </c>
      <c r="AP176" s="175">
        <v>3</v>
      </c>
      <c r="AQ176" s="175">
        <v>219</v>
      </c>
      <c r="AR176" s="175">
        <v>592.01</v>
      </c>
      <c r="AS176" s="175">
        <v>8.178915896690935</v>
      </c>
      <c r="AT176" s="175">
        <v>2.2191843479227606</v>
      </c>
      <c r="AU176" s="175">
        <v>161</v>
      </c>
      <c r="AV176" s="175">
        <v>1131</v>
      </c>
      <c r="AW176" s="175">
        <v>0.14235190097259062</v>
      </c>
      <c r="AX176" s="175">
        <v>0.08689066724310562</v>
      </c>
      <c r="AY176" s="175">
        <v>0.6091166666666666</v>
      </c>
      <c r="AZ176" s="207">
        <v>1374</v>
      </c>
      <c r="BA176" s="175">
        <v>1667</v>
      </c>
      <c r="BB176" s="175">
        <v>0.8242351529694061</v>
      </c>
      <c r="BC176" s="175">
        <v>0.4345403055456942</v>
      </c>
      <c r="BD176" s="175">
        <v>0</v>
      </c>
      <c r="BE176" s="175">
        <v>0</v>
      </c>
      <c r="BF176" s="207">
        <v>-31354.39</v>
      </c>
      <c r="BG176" s="207">
        <v>-38360.68</v>
      </c>
      <c r="BH176" s="207">
        <v>-19852.199999999997</v>
      </c>
      <c r="BI176" s="207">
        <v>-82982.3</v>
      </c>
      <c r="BJ176" s="207">
        <v>0</v>
      </c>
      <c r="BK176" s="207">
        <v>0</v>
      </c>
      <c r="BL176" s="207">
        <v>404678</v>
      </c>
      <c r="BM176" s="207">
        <v>-166014.08637485027</v>
      </c>
      <c r="BN176" s="207">
        <v>-206075.52000000002</v>
      </c>
      <c r="BO176" s="207">
        <v>111271.02164894715</v>
      </c>
      <c r="BP176" s="207">
        <v>548728</v>
      </c>
      <c r="BQ176" s="207">
        <v>164426</v>
      </c>
      <c r="BR176" s="207">
        <v>449529.5316733578</v>
      </c>
      <c r="BS176" s="207">
        <v>24829.50885809744</v>
      </c>
      <c r="BT176" s="207">
        <v>64431.62000573984</v>
      </c>
      <c r="BU176" s="207">
        <v>213722.76312997163</v>
      </c>
      <c r="BV176" s="207">
        <v>280306.998898026</v>
      </c>
      <c r="BW176" s="207">
        <v>469469.18040496006</v>
      </c>
      <c r="BX176" s="207">
        <v>137511.71819732754</v>
      </c>
      <c r="BY176" s="207">
        <v>231938.45242337234</v>
      </c>
      <c r="BZ176" s="207">
        <v>435.78</v>
      </c>
      <c r="CA176" s="207">
        <v>23530.1719960954</v>
      </c>
      <c r="CB176" s="207">
        <v>539914.9736450426</v>
      </c>
      <c r="CC176" s="207">
        <v>-153179.92272980767</v>
      </c>
      <c r="CD176" s="207">
        <v>0</v>
      </c>
      <c r="CE176" s="207">
        <v>298735.66245908255</v>
      </c>
      <c r="CF176" s="207">
        <v>0</v>
      </c>
      <c r="CG176" s="207">
        <v>3873728.239464512</v>
      </c>
      <c r="CH176" s="207">
        <v>-236086</v>
      </c>
      <c r="CI176" s="207">
        <v>48937.03200000001</v>
      </c>
      <c r="CJ176" s="207">
        <v>63890.014</v>
      </c>
      <c r="CK176" s="207">
        <v>-14952.981999999996</v>
      </c>
      <c r="CL176" s="207">
        <v>14139351.434952501</v>
      </c>
      <c r="CM176" s="207">
        <v>15927912.487237435</v>
      </c>
      <c r="CN176" s="207">
        <v>4969</v>
      </c>
    </row>
    <row r="177" spans="1:92" ht="9.75">
      <c r="A177" s="207">
        <v>581</v>
      </c>
      <c r="B177" s="207" t="s">
        <v>233</v>
      </c>
      <c r="C177" s="207">
        <v>6469</v>
      </c>
      <c r="D177" s="207">
        <v>23849016.839999996</v>
      </c>
      <c r="E177" s="207">
        <v>10638584.077196056</v>
      </c>
      <c r="F177" s="207">
        <v>1613236.9078953378</v>
      </c>
      <c r="G177" s="207">
        <v>36100837.82509139</v>
      </c>
      <c r="H177" s="207">
        <v>3654.72</v>
      </c>
      <c r="I177" s="207">
        <v>23642383.68</v>
      </c>
      <c r="J177" s="207">
        <v>12458454.145091392</v>
      </c>
      <c r="K177" s="207">
        <v>677931.1500253422</v>
      </c>
      <c r="L177" s="207">
        <v>-906291.5914015414</v>
      </c>
      <c r="M177" s="207">
        <v>0</v>
      </c>
      <c r="N177" s="207">
        <v>12230093.703715192</v>
      </c>
      <c r="O177" s="207">
        <v>4642423.702895605</v>
      </c>
      <c r="P177" s="207">
        <v>16872517.406610798</v>
      </c>
      <c r="Q177" s="207">
        <v>317</v>
      </c>
      <c r="R177" s="207">
        <v>41</v>
      </c>
      <c r="S177" s="207">
        <v>394</v>
      </c>
      <c r="T177" s="207">
        <v>213</v>
      </c>
      <c r="U177" s="207">
        <v>177</v>
      </c>
      <c r="V177" s="207">
        <v>3268</v>
      </c>
      <c r="W177" s="207">
        <v>1158</v>
      </c>
      <c r="X177" s="207">
        <v>644</v>
      </c>
      <c r="Y177" s="207">
        <v>257</v>
      </c>
      <c r="Z177" s="207">
        <v>7</v>
      </c>
      <c r="AA177" s="207">
        <v>0</v>
      </c>
      <c r="AB177" s="207">
        <v>6324</v>
      </c>
      <c r="AC177" s="207">
        <v>138</v>
      </c>
      <c r="AD177" s="207">
        <v>2059</v>
      </c>
      <c r="AE177" s="480">
        <v>1.3960513360173354</v>
      </c>
      <c r="AF177" s="207">
        <v>10638584.077196056</v>
      </c>
      <c r="AG177" s="175">
        <v>215</v>
      </c>
      <c r="AH177" s="175">
        <v>2746</v>
      </c>
      <c r="AI177" s="175">
        <v>0.8025316442693591</v>
      </c>
      <c r="AJ177" s="175">
        <v>138</v>
      </c>
      <c r="AK177" s="175">
        <v>0.02133250888854537</v>
      </c>
      <c r="AL177" s="175">
        <v>0.018051429778082374</v>
      </c>
      <c r="AM177" s="175">
        <v>0</v>
      </c>
      <c r="AN177" s="175">
        <v>7</v>
      </c>
      <c r="AO177" s="175">
        <v>0</v>
      </c>
      <c r="AP177" s="175">
        <v>0</v>
      </c>
      <c r="AQ177" s="175">
        <v>0</v>
      </c>
      <c r="AR177" s="175">
        <v>852.93</v>
      </c>
      <c r="AS177" s="175">
        <v>7.584444209958614</v>
      </c>
      <c r="AT177" s="175">
        <v>2.3931248801436196</v>
      </c>
      <c r="AU177" s="175">
        <v>280</v>
      </c>
      <c r="AV177" s="175">
        <v>1689</v>
      </c>
      <c r="AW177" s="175">
        <v>0.16577856719952636</v>
      </c>
      <c r="AX177" s="175">
        <v>0.11031733347004136</v>
      </c>
      <c r="AY177" s="175">
        <v>0.2944333333333333</v>
      </c>
      <c r="AZ177" s="207">
        <v>2398</v>
      </c>
      <c r="BA177" s="175">
        <v>2350</v>
      </c>
      <c r="BB177" s="175">
        <v>1.0204255319148936</v>
      </c>
      <c r="BC177" s="175">
        <v>0.6307306844911817</v>
      </c>
      <c r="BD177" s="175">
        <v>0</v>
      </c>
      <c r="BE177" s="175">
        <v>0</v>
      </c>
      <c r="BF177" s="207">
        <v>-41406.219999999994</v>
      </c>
      <c r="BG177" s="207">
        <v>-50658.64</v>
      </c>
      <c r="BH177" s="207">
        <v>-26522.899999999998</v>
      </c>
      <c r="BI177" s="207">
        <v>-109585.4</v>
      </c>
      <c r="BJ177" s="207">
        <v>0</v>
      </c>
      <c r="BK177" s="207">
        <v>0</v>
      </c>
      <c r="BL177" s="207">
        <v>77466</v>
      </c>
      <c r="BM177" s="207">
        <v>-205794.49325108543</v>
      </c>
      <c r="BN177" s="207">
        <v>-275320.64</v>
      </c>
      <c r="BO177" s="207">
        <v>-46909.599780224264</v>
      </c>
      <c r="BP177" s="207">
        <v>631294</v>
      </c>
      <c r="BQ177" s="207">
        <v>193783</v>
      </c>
      <c r="BR177" s="207">
        <v>483072.9142818386</v>
      </c>
      <c r="BS177" s="207">
        <v>24805.22083597808</v>
      </c>
      <c r="BT177" s="207">
        <v>35617.50781714254</v>
      </c>
      <c r="BU177" s="207">
        <v>244726.99378497124</v>
      </c>
      <c r="BV177" s="207">
        <v>364807.035582009</v>
      </c>
      <c r="BW177" s="207">
        <v>582032.8616976138</v>
      </c>
      <c r="BX177" s="207">
        <v>169726.33743962029</v>
      </c>
      <c r="BY177" s="207">
        <v>309542.4813555387</v>
      </c>
      <c r="BZ177" s="207">
        <v>582.2099999999999</v>
      </c>
      <c r="CA177" s="207">
        <v>-29802.368370231685</v>
      </c>
      <c r="CB177" s="207">
        <v>1336.2418495440506</v>
      </c>
      <c r="CC177" s="207">
        <v>-906291.5914015414</v>
      </c>
      <c r="CD177" s="207">
        <v>0</v>
      </c>
      <c r="CE177" s="207">
        <v>414669.19576379406</v>
      </c>
      <c r="CF177" s="207">
        <v>0</v>
      </c>
      <c r="CG177" s="207">
        <v>4642423.702895605</v>
      </c>
      <c r="CH177" s="207">
        <v>-543082</v>
      </c>
      <c r="CI177" s="207">
        <v>189019.28610000003</v>
      </c>
      <c r="CJ177" s="207">
        <v>74112.41624</v>
      </c>
      <c r="CK177" s="207">
        <v>114906.86986000002</v>
      </c>
      <c r="CL177" s="207">
        <v>16329435.406610798</v>
      </c>
      <c r="CM177" s="207">
        <v>18141160.859725937</v>
      </c>
      <c r="CN177" s="207">
        <v>6562</v>
      </c>
    </row>
    <row r="178" spans="1:92" ht="9.75">
      <c r="A178" s="207">
        <v>599</v>
      </c>
      <c r="B178" s="207" t="s">
        <v>234</v>
      </c>
      <c r="C178" s="207">
        <v>11016</v>
      </c>
      <c r="D178" s="207">
        <v>43480387.949999996</v>
      </c>
      <c r="E178" s="207">
        <v>8860619.805624355</v>
      </c>
      <c r="F178" s="207">
        <v>4369756.727389395</v>
      </c>
      <c r="G178" s="207">
        <v>56710764.48301375</v>
      </c>
      <c r="H178" s="207">
        <v>3654.72</v>
      </c>
      <c r="I178" s="207">
        <v>40260395.519999996</v>
      </c>
      <c r="J178" s="207">
        <v>16450368.963013753</v>
      </c>
      <c r="K178" s="207">
        <v>352340.9729781495</v>
      </c>
      <c r="L178" s="207">
        <v>-1284138.6403119448</v>
      </c>
      <c r="M178" s="207">
        <v>0</v>
      </c>
      <c r="N178" s="207">
        <v>15518571.295679957</v>
      </c>
      <c r="O178" s="207">
        <v>8069851.7543194415</v>
      </c>
      <c r="P178" s="207">
        <v>23588423.049999397</v>
      </c>
      <c r="Q178" s="207">
        <v>956</v>
      </c>
      <c r="R178" s="207">
        <v>187</v>
      </c>
      <c r="S178" s="207">
        <v>1117</v>
      </c>
      <c r="T178" s="207">
        <v>518</v>
      </c>
      <c r="U178" s="207">
        <v>490</v>
      </c>
      <c r="V178" s="207">
        <v>5770</v>
      </c>
      <c r="W178" s="207">
        <v>1147</v>
      </c>
      <c r="X178" s="207">
        <v>574</v>
      </c>
      <c r="Y178" s="207">
        <v>257</v>
      </c>
      <c r="Z178" s="207">
        <v>9801</v>
      </c>
      <c r="AA178" s="207">
        <v>0</v>
      </c>
      <c r="AB178" s="207">
        <v>935</v>
      </c>
      <c r="AC178" s="207">
        <v>280</v>
      </c>
      <c r="AD178" s="207">
        <v>1978</v>
      </c>
      <c r="AE178" s="480">
        <v>0.6828021570125776</v>
      </c>
      <c r="AF178" s="207">
        <v>8860619.805624355</v>
      </c>
      <c r="AG178" s="175">
        <v>150</v>
      </c>
      <c r="AH178" s="175">
        <v>5261</v>
      </c>
      <c r="AI178" s="175">
        <v>0.29224507169876535</v>
      </c>
      <c r="AJ178" s="175">
        <v>280</v>
      </c>
      <c r="AK178" s="175">
        <v>0.025417574437182282</v>
      </c>
      <c r="AL178" s="175">
        <v>0.022136495326719286</v>
      </c>
      <c r="AM178" s="175">
        <v>3</v>
      </c>
      <c r="AN178" s="175">
        <v>9801</v>
      </c>
      <c r="AO178" s="175">
        <v>0</v>
      </c>
      <c r="AP178" s="175">
        <v>0</v>
      </c>
      <c r="AQ178" s="175">
        <v>0</v>
      </c>
      <c r="AR178" s="175">
        <v>794.26</v>
      </c>
      <c r="AS178" s="175">
        <v>13.869513761236874</v>
      </c>
      <c r="AT178" s="175">
        <v>1.3086631913254991</v>
      </c>
      <c r="AU178" s="175">
        <v>330</v>
      </c>
      <c r="AV178" s="175">
        <v>3107</v>
      </c>
      <c r="AW178" s="175">
        <v>0.10621177985194721</v>
      </c>
      <c r="AX178" s="175">
        <v>0.05075054612246221</v>
      </c>
      <c r="AY178" s="175">
        <v>0</v>
      </c>
      <c r="AZ178" s="207">
        <v>4417</v>
      </c>
      <c r="BA178" s="175">
        <v>5029</v>
      </c>
      <c r="BB178" s="175">
        <v>0.8783058262079937</v>
      </c>
      <c r="BC178" s="175">
        <v>0.48861097878428184</v>
      </c>
      <c r="BD178" s="175">
        <v>0</v>
      </c>
      <c r="BE178" s="175">
        <v>0</v>
      </c>
      <c r="BF178" s="207">
        <v>-69940.04</v>
      </c>
      <c r="BG178" s="207">
        <v>-85568.48</v>
      </c>
      <c r="BH178" s="207">
        <v>-45165.6</v>
      </c>
      <c r="BI178" s="207">
        <v>-185102.8</v>
      </c>
      <c r="BJ178" s="207">
        <v>0</v>
      </c>
      <c r="BK178" s="207">
        <v>0</v>
      </c>
      <c r="BL178" s="207">
        <v>-119051</v>
      </c>
      <c r="BM178" s="207">
        <v>-79085.64695376917</v>
      </c>
      <c r="BN178" s="207">
        <v>-468840.96</v>
      </c>
      <c r="BO178" s="207">
        <v>228177.65468864888</v>
      </c>
      <c r="BP178" s="207">
        <v>874829</v>
      </c>
      <c r="BQ178" s="207">
        <v>310573</v>
      </c>
      <c r="BR178" s="207">
        <v>740032.4773345407</v>
      </c>
      <c r="BS178" s="207">
        <v>30702.727293643246</v>
      </c>
      <c r="BT178" s="207">
        <v>54599.82824247546</v>
      </c>
      <c r="BU178" s="207">
        <v>334874.17945873406</v>
      </c>
      <c r="BV178" s="207">
        <v>661355.4490996372</v>
      </c>
      <c r="BW178" s="207">
        <v>938522.8049510869</v>
      </c>
      <c r="BX178" s="207">
        <v>296535.45275230636</v>
      </c>
      <c r="BY178" s="207">
        <v>510150.01185758994</v>
      </c>
      <c r="BZ178" s="207">
        <v>991.4399999999999</v>
      </c>
      <c r="CA178" s="207">
        <v>-122802.64804682478</v>
      </c>
      <c r="CB178" s="207">
        <v>-12684.553358175894</v>
      </c>
      <c r="CC178" s="207">
        <v>-1284138.6403119448</v>
      </c>
      <c r="CD178" s="207">
        <v>0</v>
      </c>
      <c r="CE178" s="207">
        <v>657734.6753102834</v>
      </c>
      <c r="CF178" s="207">
        <v>0</v>
      </c>
      <c r="CG178" s="207">
        <v>8069851.7543194415</v>
      </c>
      <c r="CH178" s="207">
        <v>-546878</v>
      </c>
      <c r="CI178" s="207">
        <v>145587.67020000002</v>
      </c>
      <c r="CJ178" s="207">
        <v>453442.38234</v>
      </c>
      <c r="CK178" s="207">
        <v>-307854.71213999996</v>
      </c>
      <c r="CL178" s="207">
        <v>23041545.049999397</v>
      </c>
      <c r="CM178" s="207">
        <v>26109157.1020464</v>
      </c>
      <c r="CN178" s="207">
        <v>11084</v>
      </c>
    </row>
    <row r="179" spans="1:92" ht="9.75">
      <c r="A179" s="207">
        <v>583</v>
      </c>
      <c r="B179" s="207" t="s">
        <v>235</v>
      </c>
      <c r="C179" s="207">
        <v>954</v>
      </c>
      <c r="D179" s="207">
        <v>3076742.94</v>
      </c>
      <c r="E179" s="207">
        <v>1650219.0581457503</v>
      </c>
      <c r="F179" s="207">
        <v>948898.4563214029</v>
      </c>
      <c r="G179" s="207">
        <v>5675860.454467153</v>
      </c>
      <c r="H179" s="207">
        <v>3654.72</v>
      </c>
      <c r="I179" s="207">
        <v>3486602.88</v>
      </c>
      <c r="J179" s="207">
        <v>2189257.5744671533</v>
      </c>
      <c r="K179" s="207">
        <v>1083188.9326197966</v>
      </c>
      <c r="L179" s="207">
        <v>316819.66641966364</v>
      </c>
      <c r="M179" s="207">
        <v>0</v>
      </c>
      <c r="N179" s="207">
        <v>3589266.1735066134</v>
      </c>
      <c r="O179" s="207">
        <v>609005.3751284695</v>
      </c>
      <c r="P179" s="207">
        <v>4198271.548635083</v>
      </c>
      <c r="Q179" s="207">
        <v>39</v>
      </c>
      <c r="R179" s="207">
        <v>5</v>
      </c>
      <c r="S179" s="207">
        <v>35</v>
      </c>
      <c r="T179" s="207">
        <v>14</v>
      </c>
      <c r="U179" s="207">
        <v>12</v>
      </c>
      <c r="V179" s="207">
        <v>515</v>
      </c>
      <c r="W179" s="207">
        <v>194</v>
      </c>
      <c r="X179" s="207">
        <v>104</v>
      </c>
      <c r="Y179" s="207">
        <v>36</v>
      </c>
      <c r="Z179" s="207">
        <v>2</v>
      </c>
      <c r="AA179" s="207">
        <v>0</v>
      </c>
      <c r="AB179" s="207">
        <v>944</v>
      </c>
      <c r="AC179" s="207">
        <v>8</v>
      </c>
      <c r="AD179" s="207">
        <v>334</v>
      </c>
      <c r="AE179" s="480">
        <v>1.4684120281201396</v>
      </c>
      <c r="AF179" s="207">
        <v>1650219.0581457503</v>
      </c>
      <c r="AG179" s="175">
        <v>69</v>
      </c>
      <c r="AH179" s="175">
        <v>409</v>
      </c>
      <c r="AI179" s="175">
        <v>1.7292190909909881</v>
      </c>
      <c r="AJ179" s="175">
        <v>8</v>
      </c>
      <c r="AK179" s="175">
        <v>0.008385744234800839</v>
      </c>
      <c r="AL179" s="175">
        <v>0.0051046651243378425</v>
      </c>
      <c r="AM179" s="175">
        <v>0</v>
      </c>
      <c r="AN179" s="175">
        <v>2</v>
      </c>
      <c r="AO179" s="175">
        <v>0</v>
      </c>
      <c r="AP179" s="175">
        <v>0</v>
      </c>
      <c r="AQ179" s="175">
        <v>0</v>
      </c>
      <c r="AR179" s="175">
        <v>1836.14</v>
      </c>
      <c r="AS179" s="175">
        <v>0.5195682246451795</v>
      </c>
      <c r="AT179" s="175">
        <v>34.933857152847295</v>
      </c>
      <c r="AU179" s="175">
        <v>30</v>
      </c>
      <c r="AV179" s="175">
        <v>237</v>
      </c>
      <c r="AW179" s="175">
        <v>0.12658227848101267</v>
      </c>
      <c r="AX179" s="175">
        <v>0.07112104475152767</v>
      </c>
      <c r="AY179" s="175">
        <v>1.6877</v>
      </c>
      <c r="AZ179" s="207">
        <v>369</v>
      </c>
      <c r="BA179" s="175">
        <v>351</v>
      </c>
      <c r="BB179" s="175">
        <v>1.0512820512820513</v>
      </c>
      <c r="BC179" s="175">
        <v>0.6615872038583395</v>
      </c>
      <c r="BD179" s="175">
        <v>0</v>
      </c>
      <c r="BE179" s="175">
        <v>0</v>
      </c>
      <c r="BF179" s="207">
        <v>-6044.98</v>
      </c>
      <c r="BG179" s="207">
        <v>-7395.759999999999</v>
      </c>
      <c r="BH179" s="207">
        <v>-3911.3999999999996</v>
      </c>
      <c r="BI179" s="207">
        <v>-15998.599999999999</v>
      </c>
      <c r="BJ179" s="207">
        <v>0</v>
      </c>
      <c r="BK179" s="207">
        <v>0</v>
      </c>
      <c r="BL179" s="207">
        <v>86897</v>
      </c>
      <c r="BM179" s="207">
        <v>-5165.432565668707</v>
      </c>
      <c r="BN179" s="207">
        <v>-40602.240000000005</v>
      </c>
      <c r="BO179" s="207">
        <v>326846.61793812085</v>
      </c>
      <c r="BP179" s="207">
        <v>98737</v>
      </c>
      <c r="BQ179" s="207">
        <v>30421</v>
      </c>
      <c r="BR179" s="207">
        <v>86707.59390611005</v>
      </c>
      <c r="BS179" s="207">
        <v>4883.322780735451</v>
      </c>
      <c r="BT179" s="207">
        <v>12434.331455737256</v>
      </c>
      <c r="BU179" s="207">
        <v>32710.82356139678</v>
      </c>
      <c r="BV179" s="207">
        <v>49945.52380611127</v>
      </c>
      <c r="BW179" s="207">
        <v>84755.74699200691</v>
      </c>
      <c r="BX179" s="207">
        <v>26259.991914495644</v>
      </c>
      <c r="BY179" s="207">
        <v>48698.913694582</v>
      </c>
      <c r="BZ179" s="207">
        <v>85.86</v>
      </c>
      <c r="CA179" s="207">
        <v>11358.24104721152</v>
      </c>
      <c r="CB179" s="207">
        <v>425187.71898533235</v>
      </c>
      <c r="CC179" s="207">
        <v>316819.66641966364</v>
      </c>
      <c r="CD179" s="207">
        <v>0</v>
      </c>
      <c r="CE179" s="207">
        <v>63368.43866691714</v>
      </c>
      <c r="CF179" s="207">
        <v>0</v>
      </c>
      <c r="CG179" s="207">
        <v>609005.3751284695</v>
      </c>
      <c r="CH179" s="207">
        <v>-172068</v>
      </c>
      <c r="CI179" s="207">
        <v>98010.0002</v>
      </c>
      <c r="CJ179" s="207">
        <v>0</v>
      </c>
      <c r="CK179" s="207">
        <v>98010.0002</v>
      </c>
      <c r="CL179" s="207">
        <v>4026203.5486350833</v>
      </c>
      <c r="CM179" s="207">
        <v>4138527.263624357</v>
      </c>
      <c r="CN179" s="207">
        <v>958</v>
      </c>
    </row>
    <row r="180" spans="1:92" ht="9.75">
      <c r="A180" s="207">
        <v>854</v>
      </c>
      <c r="B180" s="207" t="s">
        <v>236</v>
      </c>
      <c r="C180" s="207">
        <v>3438</v>
      </c>
      <c r="D180" s="207">
        <v>12807687</v>
      </c>
      <c r="E180" s="207">
        <v>6275032.555228213</v>
      </c>
      <c r="F180" s="207">
        <v>1894687.9519118224</v>
      </c>
      <c r="G180" s="207">
        <v>20977407.507140033</v>
      </c>
      <c r="H180" s="207">
        <v>3654.72</v>
      </c>
      <c r="I180" s="207">
        <v>12564927.36</v>
      </c>
      <c r="J180" s="207">
        <v>8412480.147140034</v>
      </c>
      <c r="K180" s="207">
        <v>3835028.414803548</v>
      </c>
      <c r="L180" s="207">
        <v>-649957.4132861777</v>
      </c>
      <c r="M180" s="207">
        <v>0</v>
      </c>
      <c r="N180" s="207">
        <v>11597551.148657404</v>
      </c>
      <c r="O180" s="207">
        <v>2699050.971629639</v>
      </c>
      <c r="P180" s="207">
        <v>14296602.120287042</v>
      </c>
      <c r="Q180" s="207">
        <v>116</v>
      </c>
      <c r="R180" s="207">
        <v>21</v>
      </c>
      <c r="S180" s="207">
        <v>117</v>
      </c>
      <c r="T180" s="207">
        <v>94</v>
      </c>
      <c r="U180" s="207">
        <v>78</v>
      </c>
      <c r="V180" s="207">
        <v>1675</v>
      </c>
      <c r="W180" s="207">
        <v>714</v>
      </c>
      <c r="X180" s="207">
        <v>439</v>
      </c>
      <c r="Y180" s="207">
        <v>184</v>
      </c>
      <c r="Z180" s="207">
        <v>20</v>
      </c>
      <c r="AA180" s="207">
        <v>1</v>
      </c>
      <c r="AB180" s="207">
        <v>3380</v>
      </c>
      <c r="AC180" s="207">
        <v>37</v>
      </c>
      <c r="AD180" s="207">
        <v>1337</v>
      </c>
      <c r="AE180" s="480">
        <v>1.5494045268620198</v>
      </c>
      <c r="AF180" s="207">
        <v>6275032.555228213</v>
      </c>
      <c r="AG180" s="175">
        <v>181</v>
      </c>
      <c r="AH180" s="175">
        <v>1411</v>
      </c>
      <c r="AI180" s="175">
        <v>1.314848756529667</v>
      </c>
      <c r="AJ180" s="175">
        <v>37</v>
      </c>
      <c r="AK180" s="175">
        <v>0.010762070971495055</v>
      </c>
      <c r="AL180" s="175">
        <v>0.007480991861032058</v>
      </c>
      <c r="AM180" s="175">
        <v>0</v>
      </c>
      <c r="AN180" s="175">
        <v>20</v>
      </c>
      <c r="AO180" s="175">
        <v>1</v>
      </c>
      <c r="AP180" s="175">
        <v>0</v>
      </c>
      <c r="AQ180" s="175">
        <v>0</v>
      </c>
      <c r="AR180" s="175">
        <v>1738.64</v>
      </c>
      <c r="AS180" s="175">
        <v>1.9774076289513642</v>
      </c>
      <c r="AT180" s="175">
        <v>9.178948171924748</v>
      </c>
      <c r="AU180" s="175">
        <v>129</v>
      </c>
      <c r="AV180" s="175">
        <v>722</v>
      </c>
      <c r="AW180" s="175">
        <v>0.1786703601108033</v>
      </c>
      <c r="AX180" s="175">
        <v>0.12320912638131831</v>
      </c>
      <c r="AY180" s="175">
        <v>1.66485</v>
      </c>
      <c r="AZ180" s="207">
        <v>1101</v>
      </c>
      <c r="BA180" s="175">
        <v>1132</v>
      </c>
      <c r="BB180" s="175">
        <v>0.9726148409893993</v>
      </c>
      <c r="BC180" s="175">
        <v>0.5829199935656875</v>
      </c>
      <c r="BD180" s="175">
        <v>0</v>
      </c>
      <c r="BE180" s="175">
        <v>1</v>
      </c>
      <c r="BF180" s="207">
        <v>-22148.1</v>
      </c>
      <c r="BG180" s="207">
        <v>-27097.2</v>
      </c>
      <c r="BH180" s="207">
        <v>-14095.8</v>
      </c>
      <c r="BI180" s="207">
        <v>-58617</v>
      </c>
      <c r="BJ180" s="207">
        <v>0</v>
      </c>
      <c r="BK180" s="207">
        <v>0</v>
      </c>
      <c r="BL180" s="207">
        <v>-10827</v>
      </c>
      <c r="BM180" s="207">
        <v>-49805.67374538805</v>
      </c>
      <c r="BN180" s="207">
        <v>-146321.28</v>
      </c>
      <c r="BO180" s="207">
        <v>-196013.11219165102</v>
      </c>
      <c r="BP180" s="207">
        <v>360045</v>
      </c>
      <c r="BQ180" s="207">
        <v>112878</v>
      </c>
      <c r="BR180" s="207">
        <v>279775.4705817744</v>
      </c>
      <c r="BS180" s="207">
        <v>17209.577726508884</v>
      </c>
      <c r="BT180" s="207">
        <v>62791.6321954701</v>
      </c>
      <c r="BU180" s="207">
        <v>135895.88612350414</v>
      </c>
      <c r="BV180" s="207">
        <v>186088.03826940406</v>
      </c>
      <c r="BW180" s="207">
        <v>316311.9860555602</v>
      </c>
      <c r="BX180" s="207">
        <v>91667.29733957456</v>
      </c>
      <c r="BY180" s="207">
        <v>167685.64765483327</v>
      </c>
      <c r="BZ180" s="207">
        <v>309.42</v>
      </c>
      <c r="CA180" s="207">
        <v>-19932.58734913855</v>
      </c>
      <c r="CB180" s="207">
        <v>-226463.27954078955</v>
      </c>
      <c r="CC180" s="207">
        <v>-649957.4132861777</v>
      </c>
      <c r="CD180" s="207">
        <v>0</v>
      </c>
      <c r="CE180" s="207">
        <v>201193.82557863445</v>
      </c>
      <c r="CF180" s="207">
        <v>0</v>
      </c>
      <c r="CG180" s="207">
        <v>2699050.971629639</v>
      </c>
      <c r="CH180" s="207">
        <v>-297954</v>
      </c>
      <c r="CI180" s="207">
        <v>10874.896</v>
      </c>
      <c r="CJ180" s="207">
        <v>53789.95434</v>
      </c>
      <c r="CK180" s="207">
        <v>-42915.058339999996</v>
      </c>
      <c r="CL180" s="207">
        <v>13998648.120287042</v>
      </c>
      <c r="CM180" s="207">
        <v>14888847.28110836</v>
      </c>
      <c r="CN180" s="207">
        <v>3510</v>
      </c>
    </row>
    <row r="181" spans="1:92" ht="9.75">
      <c r="A181" s="207">
        <v>584</v>
      </c>
      <c r="B181" s="207" t="s">
        <v>237</v>
      </c>
      <c r="C181" s="207">
        <v>2825</v>
      </c>
      <c r="D181" s="207">
        <v>12205297.25</v>
      </c>
      <c r="E181" s="207">
        <v>3510909.6202224405</v>
      </c>
      <c r="F181" s="207">
        <v>944943.6816748112</v>
      </c>
      <c r="G181" s="207">
        <v>16661150.551897252</v>
      </c>
      <c r="H181" s="207">
        <v>3654.72</v>
      </c>
      <c r="I181" s="207">
        <v>10324584</v>
      </c>
      <c r="J181" s="207">
        <v>6336566.551897252</v>
      </c>
      <c r="K181" s="207">
        <v>1014778.0212237783</v>
      </c>
      <c r="L181" s="207">
        <v>-238065.96872837545</v>
      </c>
      <c r="M181" s="207">
        <v>0</v>
      </c>
      <c r="N181" s="207">
        <v>7113278.604392654</v>
      </c>
      <c r="O181" s="207">
        <v>3543011.4060558216</v>
      </c>
      <c r="P181" s="207">
        <v>10656290.010448476</v>
      </c>
      <c r="Q181" s="207">
        <v>272</v>
      </c>
      <c r="R181" s="207">
        <v>47</v>
      </c>
      <c r="S181" s="207">
        <v>314</v>
      </c>
      <c r="T181" s="207">
        <v>147</v>
      </c>
      <c r="U181" s="207">
        <v>124</v>
      </c>
      <c r="V181" s="207">
        <v>1268</v>
      </c>
      <c r="W181" s="207">
        <v>387</v>
      </c>
      <c r="X181" s="207">
        <v>187</v>
      </c>
      <c r="Y181" s="207">
        <v>79</v>
      </c>
      <c r="Z181" s="207">
        <v>11</v>
      </c>
      <c r="AA181" s="207">
        <v>0</v>
      </c>
      <c r="AB181" s="207">
        <v>2787</v>
      </c>
      <c r="AC181" s="207">
        <v>27</v>
      </c>
      <c r="AD181" s="207">
        <v>653</v>
      </c>
      <c r="AE181" s="480">
        <v>1.0550083748433494</v>
      </c>
      <c r="AF181" s="207">
        <v>3510909.6202224405</v>
      </c>
      <c r="AG181" s="175">
        <v>90</v>
      </c>
      <c r="AH181" s="175">
        <v>1080</v>
      </c>
      <c r="AI181" s="175">
        <v>0.8541674012262247</v>
      </c>
      <c r="AJ181" s="175">
        <v>27</v>
      </c>
      <c r="AK181" s="175">
        <v>0.009557522123893806</v>
      </c>
      <c r="AL181" s="175">
        <v>0.006276443013430809</v>
      </c>
      <c r="AM181" s="175">
        <v>0</v>
      </c>
      <c r="AN181" s="175">
        <v>11</v>
      </c>
      <c r="AO181" s="175">
        <v>0</v>
      </c>
      <c r="AP181" s="175">
        <v>0</v>
      </c>
      <c r="AQ181" s="175">
        <v>0</v>
      </c>
      <c r="AR181" s="175">
        <v>747.87</v>
      </c>
      <c r="AS181" s="175">
        <v>3.7773944669528126</v>
      </c>
      <c r="AT181" s="175">
        <v>4.805037519831765</v>
      </c>
      <c r="AU181" s="175">
        <v>121</v>
      </c>
      <c r="AV181" s="175">
        <v>656</v>
      </c>
      <c r="AW181" s="175">
        <v>0.18445121951219512</v>
      </c>
      <c r="AX181" s="175">
        <v>0.12898998578271012</v>
      </c>
      <c r="AY181" s="175">
        <v>1.0020833333333334</v>
      </c>
      <c r="AZ181" s="207">
        <v>878</v>
      </c>
      <c r="BA181" s="175">
        <v>950</v>
      </c>
      <c r="BB181" s="175">
        <v>0.9242105263157895</v>
      </c>
      <c r="BC181" s="175">
        <v>0.5345156788920776</v>
      </c>
      <c r="BD181" s="175">
        <v>0</v>
      </c>
      <c r="BE181" s="175">
        <v>0</v>
      </c>
      <c r="BF181" s="207">
        <v>-18046.6</v>
      </c>
      <c r="BG181" s="207">
        <v>-22079.2</v>
      </c>
      <c r="BH181" s="207">
        <v>-11582.499999999998</v>
      </c>
      <c r="BI181" s="207">
        <v>-47762</v>
      </c>
      <c r="BJ181" s="207">
        <v>0</v>
      </c>
      <c r="BK181" s="207">
        <v>0</v>
      </c>
      <c r="BL181" s="207">
        <v>25831</v>
      </c>
      <c r="BM181" s="207">
        <v>1560.4269887401751</v>
      </c>
      <c r="BN181" s="207">
        <v>-120232</v>
      </c>
      <c r="BO181" s="207">
        <v>40403.31963919662</v>
      </c>
      <c r="BP181" s="207">
        <v>248802</v>
      </c>
      <c r="BQ181" s="207">
        <v>81810</v>
      </c>
      <c r="BR181" s="207">
        <v>237809.04534196263</v>
      </c>
      <c r="BS181" s="207">
        <v>12373.570511656304</v>
      </c>
      <c r="BT181" s="207">
        <v>37925.0929076098</v>
      </c>
      <c r="BU181" s="207">
        <v>123013.57808496512</v>
      </c>
      <c r="BV181" s="207">
        <v>153607.53770423934</v>
      </c>
      <c r="BW181" s="207">
        <v>243407.94374177346</v>
      </c>
      <c r="BX181" s="207">
        <v>65115.4129479533</v>
      </c>
      <c r="BY181" s="207">
        <v>128168.1286582417</v>
      </c>
      <c r="BZ181" s="207">
        <v>254.25</v>
      </c>
      <c r="CA181" s="207">
        <v>201.8346436877764</v>
      </c>
      <c r="CB181" s="207">
        <v>66690.4042828844</v>
      </c>
      <c r="CC181" s="207">
        <v>-238065.96872837545</v>
      </c>
      <c r="CD181" s="207">
        <v>0</v>
      </c>
      <c r="CE181" s="207">
        <v>178388.33705722212</v>
      </c>
      <c r="CF181" s="207">
        <v>0</v>
      </c>
      <c r="CG181" s="207">
        <v>3543011.4060558216</v>
      </c>
      <c r="CH181" s="207">
        <v>233052</v>
      </c>
      <c r="CI181" s="207">
        <v>20390.43</v>
      </c>
      <c r="CJ181" s="207">
        <v>6796.81</v>
      </c>
      <c r="CK181" s="207">
        <v>13593.619999999999</v>
      </c>
      <c r="CL181" s="207">
        <v>10889342.010448476</v>
      </c>
      <c r="CM181" s="207">
        <v>11298122.342267307</v>
      </c>
      <c r="CN181" s="207">
        <v>2860</v>
      </c>
    </row>
    <row r="182" spans="1:92" ht="9.75">
      <c r="A182" s="207">
        <v>588</v>
      </c>
      <c r="B182" s="207" t="s">
        <v>238</v>
      </c>
      <c r="C182" s="207">
        <v>1713</v>
      </c>
      <c r="D182" s="207">
        <v>6457280.49</v>
      </c>
      <c r="E182" s="207">
        <v>2670775.022077353</v>
      </c>
      <c r="F182" s="207">
        <v>581139.5126395426</v>
      </c>
      <c r="G182" s="207">
        <v>9709195.024716897</v>
      </c>
      <c r="H182" s="207">
        <v>3654.72</v>
      </c>
      <c r="I182" s="207">
        <v>6260535.359999999</v>
      </c>
      <c r="J182" s="207">
        <v>3448659.6647168975</v>
      </c>
      <c r="K182" s="207">
        <v>175621.35284420443</v>
      </c>
      <c r="L182" s="207">
        <v>-208228.62465203923</v>
      </c>
      <c r="M182" s="207">
        <v>0</v>
      </c>
      <c r="N182" s="207">
        <v>3416052.3929090626</v>
      </c>
      <c r="O182" s="207">
        <v>1593673.7094154123</v>
      </c>
      <c r="P182" s="207">
        <v>5009726.102324475</v>
      </c>
      <c r="Q182" s="207">
        <v>52</v>
      </c>
      <c r="R182" s="207">
        <v>9</v>
      </c>
      <c r="S182" s="207">
        <v>93</v>
      </c>
      <c r="T182" s="207">
        <v>58</v>
      </c>
      <c r="U182" s="207">
        <v>39</v>
      </c>
      <c r="V182" s="207">
        <v>849</v>
      </c>
      <c r="W182" s="207">
        <v>330</v>
      </c>
      <c r="X182" s="207">
        <v>197</v>
      </c>
      <c r="Y182" s="207">
        <v>86</v>
      </c>
      <c r="Z182" s="207">
        <v>2</v>
      </c>
      <c r="AA182" s="207">
        <v>0</v>
      </c>
      <c r="AB182" s="207">
        <v>1675</v>
      </c>
      <c r="AC182" s="207">
        <v>36</v>
      </c>
      <c r="AD182" s="207">
        <v>613</v>
      </c>
      <c r="AE182" s="480">
        <v>1.3235326292782315</v>
      </c>
      <c r="AF182" s="207">
        <v>2670775.022077353</v>
      </c>
      <c r="AG182" s="175">
        <v>68</v>
      </c>
      <c r="AH182" s="175">
        <v>717</v>
      </c>
      <c r="AI182" s="175">
        <v>0.9721068331946993</v>
      </c>
      <c r="AJ182" s="175">
        <v>36</v>
      </c>
      <c r="AK182" s="175">
        <v>0.021015761821366025</v>
      </c>
      <c r="AL182" s="175">
        <v>0.01773468271090303</v>
      </c>
      <c r="AM182" s="175">
        <v>0</v>
      </c>
      <c r="AN182" s="175">
        <v>2</v>
      </c>
      <c r="AO182" s="175">
        <v>0</v>
      </c>
      <c r="AP182" s="175">
        <v>0</v>
      </c>
      <c r="AQ182" s="175">
        <v>0</v>
      </c>
      <c r="AR182" s="175">
        <v>374.44</v>
      </c>
      <c r="AS182" s="175">
        <v>4.574831748744792</v>
      </c>
      <c r="AT182" s="175">
        <v>3.967473152623193</v>
      </c>
      <c r="AU182" s="175">
        <v>86</v>
      </c>
      <c r="AV182" s="175">
        <v>439</v>
      </c>
      <c r="AW182" s="175">
        <v>0.1958997722095672</v>
      </c>
      <c r="AX182" s="175">
        <v>0.1404385384800822</v>
      </c>
      <c r="AY182" s="175">
        <v>0.26866666666666666</v>
      </c>
      <c r="AZ182" s="207">
        <v>637</v>
      </c>
      <c r="BA182" s="175">
        <v>595</v>
      </c>
      <c r="BB182" s="175">
        <v>1.0705882352941176</v>
      </c>
      <c r="BC182" s="175">
        <v>0.6808933878704058</v>
      </c>
      <c r="BD182" s="175">
        <v>0</v>
      </c>
      <c r="BE182" s="175">
        <v>0</v>
      </c>
      <c r="BF182" s="207">
        <v>-10973.09</v>
      </c>
      <c r="BG182" s="207">
        <v>-13425.08</v>
      </c>
      <c r="BH182" s="207">
        <v>-7023.299999999999</v>
      </c>
      <c r="BI182" s="207">
        <v>-29041.3</v>
      </c>
      <c r="BJ182" s="207">
        <v>0</v>
      </c>
      <c r="BK182" s="207">
        <v>0</v>
      </c>
      <c r="BL182" s="207">
        <v>-43711</v>
      </c>
      <c r="BM182" s="207">
        <v>-37968.78030164512</v>
      </c>
      <c r="BN182" s="207">
        <v>-72905.28</v>
      </c>
      <c r="BO182" s="207">
        <v>63048.20871804934</v>
      </c>
      <c r="BP182" s="207">
        <v>234115</v>
      </c>
      <c r="BQ182" s="207">
        <v>67290</v>
      </c>
      <c r="BR182" s="207">
        <v>168977.94436263852</v>
      </c>
      <c r="BS182" s="207">
        <v>9010.292511181933</v>
      </c>
      <c r="BT182" s="207">
        <v>8334.40104357321</v>
      </c>
      <c r="BU182" s="207">
        <v>76406.0058587274</v>
      </c>
      <c r="BV182" s="207">
        <v>102718.41957583952</v>
      </c>
      <c r="BW182" s="207">
        <v>162135.96327907612</v>
      </c>
      <c r="BX182" s="207">
        <v>50497.781897483066</v>
      </c>
      <c r="BY182" s="207">
        <v>91577.20905734859</v>
      </c>
      <c r="BZ182" s="207">
        <v>154.17</v>
      </c>
      <c r="CA182" s="207">
        <v>-3862.5930684434243</v>
      </c>
      <c r="CB182" s="207">
        <v>15628.785649605914</v>
      </c>
      <c r="CC182" s="207">
        <v>-208228.62465203923</v>
      </c>
      <c r="CD182" s="207">
        <v>0</v>
      </c>
      <c r="CE182" s="207">
        <v>130688.93375588853</v>
      </c>
      <c r="CF182" s="207">
        <v>0</v>
      </c>
      <c r="CG182" s="207">
        <v>1593673.7094154123</v>
      </c>
      <c r="CH182" s="207">
        <v>-407622</v>
      </c>
      <c r="CI182" s="207">
        <v>42140.222</v>
      </c>
      <c r="CJ182" s="207">
        <v>47876.72964</v>
      </c>
      <c r="CK182" s="207">
        <v>-5736.507639999996</v>
      </c>
      <c r="CL182" s="207">
        <v>4602104.102324475</v>
      </c>
      <c r="CM182" s="207">
        <v>5881061.080336591</v>
      </c>
      <c r="CN182" s="207">
        <v>1739</v>
      </c>
    </row>
    <row r="183" spans="1:92" ht="9.75">
      <c r="A183" s="207">
        <v>592</v>
      </c>
      <c r="B183" s="207" t="s">
        <v>239</v>
      </c>
      <c r="C183" s="207">
        <v>3900</v>
      </c>
      <c r="D183" s="207">
        <v>14955190.089999998</v>
      </c>
      <c r="E183" s="207">
        <v>4820347.399098766</v>
      </c>
      <c r="F183" s="207">
        <v>833650.850943917</v>
      </c>
      <c r="G183" s="207">
        <v>20609188.34004268</v>
      </c>
      <c r="H183" s="207">
        <v>3654.72</v>
      </c>
      <c r="I183" s="207">
        <v>14253408</v>
      </c>
      <c r="J183" s="207">
        <v>6355780.3400426805</v>
      </c>
      <c r="K183" s="207">
        <v>46659.808839202204</v>
      </c>
      <c r="L183" s="207">
        <v>-339171.54901291383</v>
      </c>
      <c r="M183" s="207">
        <v>0</v>
      </c>
      <c r="N183" s="207">
        <v>6063268.599868968</v>
      </c>
      <c r="O183" s="207">
        <v>2846239.8029894186</v>
      </c>
      <c r="P183" s="207">
        <v>8909508.402858388</v>
      </c>
      <c r="Q183" s="207">
        <v>257</v>
      </c>
      <c r="R183" s="207">
        <v>49</v>
      </c>
      <c r="S183" s="207">
        <v>356</v>
      </c>
      <c r="T183" s="207">
        <v>156</v>
      </c>
      <c r="U183" s="207">
        <v>148</v>
      </c>
      <c r="V183" s="207">
        <v>2006</v>
      </c>
      <c r="W183" s="207">
        <v>526</v>
      </c>
      <c r="X183" s="207">
        <v>285</v>
      </c>
      <c r="Y183" s="207">
        <v>117</v>
      </c>
      <c r="Z183" s="207">
        <v>5</v>
      </c>
      <c r="AA183" s="207">
        <v>1</v>
      </c>
      <c r="AB183" s="207">
        <v>3838</v>
      </c>
      <c r="AC183" s="207">
        <v>56</v>
      </c>
      <c r="AD183" s="207">
        <v>928</v>
      </c>
      <c r="AE183" s="480">
        <v>1.0492245437940808</v>
      </c>
      <c r="AF183" s="207">
        <v>4820347.399098766</v>
      </c>
      <c r="AG183" s="175">
        <v>167</v>
      </c>
      <c r="AH183" s="175">
        <v>1749</v>
      </c>
      <c r="AI183" s="175">
        <v>0.9787029571511461</v>
      </c>
      <c r="AJ183" s="175">
        <v>56</v>
      </c>
      <c r="AK183" s="175">
        <v>0.014358974358974359</v>
      </c>
      <c r="AL183" s="175">
        <v>0.011077895248511362</v>
      </c>
      <c r="AM183" s="175">
        <v>0</v>
      </c>
      <c r="AN183" s="175">
        <v>5</v>
      </c>
      <c r="AO183" s="175">
        <v>1</v>
      </c>
      <c r="AP183" s="175">
        <v>0</v>
      </c>
      <c r="AQ183" s="175">
        <v>0</v>
      </c>
      <c r="AR183" s="175">
        <v>456.4</v>
      </c>
      <c r="AS183" s="175">
        <v>8.545135845749343</v>
      </c>
      <c r="AT183" s="175">
        <v>2.124076488490455</v>
      </c>
      <c r="AU183" s="175">
        <v>118</v>
      </c>
      <c r="AV183" s="175">
        <v>1196</v>
      </c>
      <c r="AW183" s="175">
        <v>0.09866220735785954</v>
      </c>
      <c r="AX183" s="175">
        <v>0.04320097362837453</v>
      </c>
      <c r="AY183" s="175">
        <v>0</v>
      </c>
      <c r="AZ183" s="207">
        <v>869</v>
      </c>
      <c r="BA183" s="175">
        <v>1518</v>
      </c>
      <c r="BB183" s="175">
        <v>0.572463768115942</v>
      </c>
      <c r="BC183" s="175">
        <v>0.18276892069223016</v>
      </c>
      <c r="BD183" s="175">
        <v>0</v>
      </c>
      <c r="BE183" s="175">
        <v>1</v>
      </c>
      <c r="BF183" s="207">
        <v>-24735.199999999997</v>
      </c>
      <c r="BG183" s="207">
        <v>-30262.399999999998</v>
      </c>
      <c r="BH183" s="207">
        <v>-15989.999999999998</v>
      </c>
      <c r="BI183" s="207">
        <v>-65464</v>
      </c>
      <c r="BJ183" s="207">
        <v>0</v>
      </c>
      <c r="BK183" s="207">
        <v>0</v>
      </c>
      <c r="BL183" s="207">
        <v>123623</v>
      </c>
      <c r="BM183" s="207">
        <v>-88869.33662158472</v>
      </c>
      <c r="BN183" s="207">
        <v>-165984</v>
      </c>
      <c r="BO183" s="207">
        <v>36948.840584326535</v>
      </c>
      <c r="BP183" s="207">
        <v>354457</v>
      </c>
      <c r="BQ183" s="207">
        <v>106582</v>
      </c>
      <c r="BR183" s="207">
        <v>254905.20955377643</v>
      </c>
      <c r="BS183" s="207">
        <v>8332.65349028518</v>
      </c>
      <c r="BT183" s="207">
        <v>26530.701781500757</v>
      </c>
      <c r="BU183" s="207">
        <v>123476.20413054695</v>
      </c>
      <c r="BV183" s="207">
        <v>207997.30219506685</v>
      </c>
      <c r="BW183" s="207">
        <v>310773.8657329674</v>
      </c>
      <c r="BX183" s="207">
        <v>88610.83356448845</v>
      </c>
      <c r="BY183" s="207">
        <v>171137.42344327332</v>
      </c>
      <c r="BZ183" s="207">
        <v>351</v>
      </c>
      <c r="CA183" s="207">
        <v>10784.547024344334</v>
      </c>
      <c r="CB183" s="207">
        <v>171707.38760867086</v>
      </c>
      <c r="CC183" s="207">
        <v>-339171.54901291383</v>
      </c>
      <c r="CD183" s="207">
        <v>0</v>
      </c>
      <c r="CE183" s="207">
        <v>227720.8051145193</v>
      </c>
      <c r="CF183" s="207">
        <v>0</v>
      </c>
      <c r="CG183" s="207">
        <v>2846239.8029894186</v>
      </c>
      <c r="CH183" s="207">
        <v>-125377</v>
      </c>
      <c r="CI183" s="207">
        <v>167269.49410000004</v>
      </c>
      <c r="CJ183" s="207">
        <v>44732.525334</v>
      </c>
      <c r="CK183" s="207">
        <v>122536.96876600003</v>
      </c>
      <c r="CL183" s="207">
        <v>8784131.402858388</v>
      </c>
      <c r="CM183" s="207">
        <v>9786279.888219858</v>
      </c>
      <c r="CN183" s="207">
        <v>3920</v>
      </c>
    </row>
    <row r="184" spans="1:92" ht="9.75">
      <c r="A184" s="207">
        <v>593</v>
      </c>
      <c r="B184" s="207" t="s">
        <v>240</v>
      </c>
      <c r="C184" s="207">
        <v>17933</v>
      </c>
      <c r="D184" s="207">
        <v>63168488.449999996</v>
      </c>
      <c r="E184" s="207">
        <v>32735123.912803277</v>
      </c>
      <c r="F184" s="207">
        <v>4082647.3150587454</v>
      </c>
      <c r="G184" s="207">
        <v>99986259.67786202</v>
      </c>
      <c r="H184" s="207">
        <v>3654.72</v>
      </c>
      <c r="I184" s="207">
        <v>65540093.76</v>
      </c>
      <c r="J184" s="207">
        <v>34446165.91786202</v>
      </c>
      <c r="K184" s="207">
        <v>736084.1347346588</v>
      </c>
      <c r="L184" s="207">
        <v>-3276330.36060224</v>
      </c>
      <c r="M184" s="207">
        <v>0</v>
      </c>
      <c r="N184" s="207">
        <v>31905919.69199444</v>
      </c>
      <c r="O184" s="207">
        <v>10276753.815124478</v>
      </c>
      <c r="P184" s="207">
        <v>42182673.50711892</v>
      </c>
      <c r="Q184" s="207">
        <v>761</v>
      </c>
      <c r="R184" s="207">
        <v>134</v>
      </c>
      <c r="S184" s="207">
        <v>945</v>
      </c>
      <c r="T184" s="207">
        <v>481</v>
      </c>
      <c r="U184" s="207">
        <v>549</v>
      </c>
      <c r="V184" s="207">
        <v>9557</v>
      </c>
      <c r="W184" s="207">
        <v>3011</v>
      </c>
      <c r="X184" s="207">
        <v>1777</v>
      </c>
      <c r="Y184" s="207">
        <v>718</v>
      </c>
      <c r="Z184" s="207">
        <v>20</v>
      </c>
      <c r="AA184" s="207">
        <v>0</v>
      </c>
      <c r="AB184" s="207">
        <v>17430</v>
      </c>
      <c r="AC184" s="207">
        <v>483</v>
      </c>
      <c r="AD184" s="207">
        <v>5506</v>
      </c>
      <c r="AE184" s="480">
        <v>1.5495862363749957</v>
      </c>
      <c r="AF184" s="207">
        <v>32735123.912803277</v>
      </c>
      <c r="AG184" s="175">
        <v>714</v>
      </c>
      <c r="AH184" s="175">
        <v>7723</v>
      </c>
      <c r="AI184" s="175">
        <v>0.9476247952487755</v>
      </c>
      <c r="AJ184" s="175">
        <v>483</v>
      </c>
      <c r="AK184" s="175">
        <v>0.026933586126136173</v>
      </c>
      <c r="AL184" s="175">
        <v>0.023652507015673178</v>
      </c>
      <c r="AM184" s="175">
        <v>0</v>
      </c>
      <c r="AN184" s="175">
        <v>20</v>
      </c>
      <c r="AO184" s="175">
        <v>0</v>
      </c>
      <c r="AP184" s="175">
        <v>0</v>
      </c>
      <c r="AQ184" s="175">
        <v>0</v>
      </c>
      <c r="AR184" s="175">
        <v>1568.7</v>
      </c>
      <c r="AS184" s="175">
        <v>11.431758781156372</v>
      </c>
      <c r="AT184" s="175">
        <v>1.5877278805805217</v>
      </c>
      <c r="AU184" s="175">
        <v>612</v>
      </c>
      <c r="AV184" s="175">
        <v>4663</v>
      </c>
      <c r="AW184" s="175">
        <v>0.13124597898348703</v>
      </c>
      <c r="AX184" s="175">
        <v>0.07578474525400203</v>
      </c>
      <c r="AY184" s="175">
        <v>0</v>
      </c>
      <c r="AZ184" s="207">
        <v>6742</v>
      </c>
      <c r="BA184" s="175">
        <v>6631</v>
      </c>
      <c r="BB184" s="175">
        <v>1.0167395566279596</v>
      </c>
      <c r="BC184" s="175">
        <v>0.6270447092042477</v>
      </c>
      <c r="BD184" s="175">
        <v>0</v>
      </c>
      <c r="BE184" s="175">
        <v>0</v>
      </c>
      <c r="BF184" s="207">
        <v>-114968.2</v>
      </c>
      <c r="BG184" s="207">
        <v>-140658.4</v>
      </c>
      <c r="BH184" s="207">
        <v>-73525.29999999999</v>
      </c>
      <c r="BI184" s="207">
        <v>-304274</v>
      </c>
      <c r="BJ184" s="207">
        <v>0</v>
      </c>
      <c r="BK184" s="207">
        <v>0</v>
      </c>
      <c r="BL184" s="207">
        <v>-13406</v>
      </c>
      <c r="BM184" s="207">
        <v>-1124621.9273237363</v>
      </c>
      <c r="BN184" s="207">
        <v>-763228.4800000001</v>
      </c>
      <c r="BO184" s="207">
        <v>-146001.90130151063</v>
      </c>
      <c r="BP184" s="207">
        <v>1560090</v>
      </c>
      <c r="BQ184" s="207">
        <v>513971</v>
      </c>
      <c r="BR184" s="207">
        <v>1260126.626801296</v>
      </c>
      <c r="BS184" s="207">
        <v>63467.03263140767</v>
      </c>
      <c r="BT184" s="207">
        <v>157346.3627602417</v>
      </c>
      <c r="BU184" s="207">
        <v>647965.8766096516</v>
      </c>
      <c r="BV184" s="207">
        <v>974534.7401775933</v>
      </c>
      <c r="BW184" s="207">
        <v>1699306.929225473</v>
      </c>
      <c r="BX184" s="207">
        <v>475978.1111922534</v>
      </c>
      <c r="BY184" s="207">
        <v>854011.9896444147</v>
      </c>
      <c r="BZ184" s="207">
        <v>1613.97</v>
      </c>
      <c r="CA184" s="207">
        <v>-47434.341976993484</v>
      </c>
      <c r="CB184" s="207">
        <v>-205228.27327850412</v>
      </c>
      <c r="CC184" s="207">
        <v>-3276330.36060224</v>
      </c>
      <c r="CD184" s="207">
        <v>0</v>
      </c>
      <c r="CE184" s="207">
        <v>1100093.2699461284</v>
      </c>
      <c r="CF184" s="207">
        <v>0</v>
      </c>
      <c r="CG184" s="207">
        <v>10276753.815124478</v>
      </c>
      <c r="CH184" s="207">
        <v>-2096751</v>
      </c>
      <c r="CI184" s="207">
        <v>179503.7521</v>
      </c>
      <c r="CJ184" s="207">
        <v>279077.0186</v>
      </c>
      <c r="CK184" s="207">
        <v>-99573.2665</v>
      </c>
      <c r="CL184" s="207">
        <v>40085922.50711892</v>
      </c>
      <c r="CM184" s="207">
        <v>46643891.22517727</v>
      </c>
      <c r="CN184" s="207">
        <v>18220</v>
      </c>
    </row>
    <row r="185" spans="1:92" ht="9.75">
      <c r="A185" s="207">
        <v>595</v>
      </c>
      <c r="B185" s="207" t="s">
        <v>241</v>
      </c>
      <c r="C185" s="207">
        <v>4498</v>
      </c>
      <c r="D185" s="207">
        <v>17980486.54</v>
      </c>
      <c r="E185" s="207">
        <v>10069110.743911084</v>
      </c>
      <c r="F185" s="207">
        <v>1497704.866691466</v>
      </c>
      <c r="G185" s="207">
        <v>29547302.15060255</v>
      </c>
      <c r="H185" s="207">
        <v>3654.72</v>
      </c>
      <c r="I185" s="207">
        <v>16438930.559999999</v>
      </c>
      <c r="J185" s="207">
        <v>13108371.59060255</v>
      </c>
      <c r="K185" s="207">
        <v>608864.7040488924</v>
      </c>
      <c r="L185" s="207">
        <v>-457411.3683235124</v>
      </c>
      <c r="M185" s="207">
        <v>0</v>
      </c>
      <c r="N185" s="207">
        <v>13259824.92632793</v>
      </c>
      <c r="O185" s="207">
        <v>4794870.645265699</v>
      </c>
      <c r="P185" s="207">
        <v>18054695.57159363</v>
      </c>
      <c r="Q185" s="207">
        <v>192</v>
      </c>
      <c r="R185" s="207">
        <v>42</v>
      </c>
      <c r="S185" s="207">
        <v>306</v>
      </c>
      <c r="T185" s="207">
        <v>159</v>
      </c>
      <c r="U185" s="207">
        <v>113</v>
      </c>
      <c r="V185" s="207">
        <v>2105</v>
      </c>
      <c r="W185" s="207">
        <v>850</v>
      </c>
      <c r="X185" s="207">
        <v>504</v>
      </c>
      <c r="Y185" s="207">
        <v>227</v>
      </c>
      <c r="Z185" s="207">
        <v>7</v>
      </c>
      <c r="AA185" s="207">
        <v>0</v>
      </c>
      <c r="AB185" s="207">
        <v>4415</v>
      </c>
      <c r="AC185" s="207">
        <v>76</v>
      </c>
      <c r="AD185" s="207">
        <v>1581</v>
      </c>
      <c r="AE185" s="480">
        <v>1.9003184105048543</v>
      </c>
      <c r="AF185" s="207">
        <v>10069110.743911084</v>
      </c>
      <c r="AG185" s="175">
        <v>159</v>
      </c>
      <c r="AH185" s="175">
        <v>1705</v>
      </c>
      <c r="AI185" s="175">
        <v>0.9558659246566785</v>
      </c>
      <c r="AJ185" s="175">
        <v>76</v>
      </c>
      <c r="AK185" s="175">
        <v>0.016896398399288574</v>
      </c>
      <c r="AL185" s="175">
        <v>0.013615319288825579</v>
      </c>
      <c r="AM185" s="175">
        <v>0</v>
      </c>
      <c r="AN185" s="175">
        <v>7</v>
      </c>
      <c r="AO185" s="175">
        <v>0</v>
      </c>
      <c r="AP185" s="175">
        <v>0</v>
      </c>
      <c r="AQ185" s="175">
        <v>0</v>
      </c>
      <c r="AR185" s="175">
        <v>1153.22</v>
      </c>
      <c r="AS185" s="175">
        <v>3.900383274657047</v>
      </c>
      <c r="AT185" s="175">
        <v>4.653522708613582</v>
      </c>
      <c r="AU185" s="175">
        <v>137</v>
      </c>
      <c r="AV185" s="175">
        <v>1002</v>
      </c>
      <c r="AW185" s="175">
        <v>0.13672654690618763</v>
      </c>
      <c r="AX185" s="175">
        <v>0.08126531317670263</v>
      </c>
      <c r="AY185" s="175">
        <v>0.48793333333333333</v>
      </c>
      <c r="AZ185" s="207">
        <v>1267</v>
      </c>
      <c r="BA185" s="175">
        <v>1491</v>
      </c>
      <c r="BB185" s="175">
        <v>0.8497652582159625</v>
      </c>
      <c r="BC185" s="175">
        <v>0.46007041079225064</v>
      </c>
      <c r="BD185" s="175">
        <v>0</v>
      </c>
      <c r="BE185" s="175">
        <v>0</v>
      </c>
      <c r="BF185" s="207">
        <v>-29177.44</v>
      </c>
      <c r="BG185" s="207">
        <v>-35697.28</v>
      </c>
      <c r="BH185" s="207">
        <v>-18441.8</v>
      </c>
      <c r="BI185" s="207">
        <v>-77220.8</v>
      </c>
      <c r="BJ185" s="207">
        <v>0</v>
      </c>
      <c r="BK185" s="207">
        <v>0</v>
      </c>
      <c r="BL185" s="207">
        <v>17169</v>
      </c>
      <c r="BM185" s="207">
        <v>-150838.7254556036</v>
      </c>
      <c r="BN185" s="207">
        <v>-191434.88</v>
      </c>
      <c r="BO185" s="207">
        <v>172400.20626162738</v>
      </c>
      <c r="BP185" s="207">
        <v>533260</v>
      </c>
      <c r="BQ185" s="207">
        <v>148458</v>
      </c>
      <c r="BR185" s="207">
        <v>383608.90878330654</v>
      </c>
      <c r="BS185" s="207">
        <v>21691.08045287163</v>
      </c>
      <c r="BT185" s="207">
        <v>60410.255073567154</v>
      </c>
      <c r="BU185" s="207">
        <v>212891.88876775064</v>
      </c>
      <c r="BV185" s="207">
        <v>253801.99598146603</v>
      </c>
      <c r="BW185" s="207">
        <v>410291.2388869653</v>
      </c>
      <c r="BX185" s="207">
        <v>117412.21913634996</v>
      </c>
      <c r="BY185" s="207">
        <v>229967.5813498246</v>
      </c>
      <c r="BZ185" s="207">
        <v>404.82</v>
      </c>
      <c r="CA185" s="207">
        <v>-6665.789129536213</v>
      </c>
      <c r="CB185" s="207">
        <v>183308.23713209116</v>
      </c>
      <c r="CC185" s="207">
        <v>-457411.3683235124</v>
      </c>
      <c r="CD185" s="207">
        <v>0</v>
      </c>
      <c r="CE185" s="207">
        <v>322245.5000220209</v>
      </c>
      <c r="CF185" s="207">
        <v>0</v>
      </c>
      <c r="CG185" s="207">
        <v>4794870.645265699</v>
      </c>
      <c r="CH185" s="207">
        <v>-96309</v>
      </c>
      <c r="CI185" s="207">
        <v>175493.63420000006</v>
      </c>
      <c r="CJ185" s="207">
        <v>106941.00854000001</v>
      </c>
      <c r="CK185" s="207">
        <v>68552.62566000005</v>
      </c>
      <c r="CL185" s="207">
        <v>17958386.57159363</v>
      </c>
      <c r="CM185" s="207">
        <v>19829320.524824403</v>
      </c>
      <c r="CN185" s="207">
        <v>4624</v>
      </c>
    </row>
    <row r="186" spans="1:92" ht="9.75">
      <c r="A186" s="207">
        <v>598</v>
      </c>
      <c r="B186" s="207" t="s">
        <v>242</v>
      </c>
      <c r="C186" s="207">
        <v>19278</v>
      </c>
      <c r="D186" s="207">
        <v>70675023.36999999</v>
      </c>
      <c r="E186" s="207">
        <v>23104418.62486376</v>
      </c>
      <c r="F186" s="207">
        <v>8627179.740837635</v>
      </c>
      <c r="G186" s="207">
        <v>102406621.73570138</v>
      </c>
      <c r="H186" s="207">
        <v>3654.72</v>
      </c>
      <c r="I186" s="207">
        <v>70455692.16</v>
      </c>
      <c r="J186" s="207">
        <v>31950929.575701386</v>
      </c>
      <c r="K186" s="207">
        <v>1187241.6776420446</v>
      </c>
      <c r="L186" s="207">
        <v>-3214769.0214342005</v>
      </c>
      <c r="M186" s="207">
        <v>0</v>
      </c>
      <c r="N186" s="207">
        <v>29923402.23190923</v>
      </c>
      <c r="O186" s="207">
        <v>3547249.406108321</v>
      </c>
      <c r="P186" s="207">
        <v>33470651.63801755</v>
      </c>
      <c r="Q186" s="207">
        <v>1102</v>
      </c>
      <c r="R186" s="207">
        <v>188</v>
      </c>
      <c r="S186" s="207">
        <v>1316</v>
      </c>
      <c r="T186" s="207">
        <v>649</v>
      </c>
      <c r="U186" s="207">
        <v>668</v>
      </c>
      <c r="V186" s="207">
        <v>10426</v>
      </c>
      <c r="W186" s="207">
        <v>2591</v>
      </c>
      <c r="X186" s="207">
        <v>1658</v>
      </c>
      <c r="Y186" s="207">
        <v>680</v>
      </c>
      <c r="Z186" s="207">
        <v>10861</v>
      </c>
      <c r="AA186" s="207">
        <v>2</v>
      </c>
      <c r="AB186" s="207">
        <v>6681</v>
      </c>
      <c r="AC186" s="207">
        <v>1734</v>
      </c>
      <c r="AD186" s="207">
        <v>4929</v>
      </c>
      <c r="AE186" s="480">
        <v>1.0173907352920815</v>
      </c>
      <c r="AF186" s="207">
        <v>23104418.62486376</v>
      </c>
      <c r="AG186" s="175">
        <v>633</v>
      </c>
      <c r="AH186" s="175">
        <v>8713</v>
      </c>
      <c r="AI186" s="175">
        <v>0.7446637874112708</v>
      </c>
      <c r="AJ186" s="175">
        <v>1734</v>
      </c>
      <c r="AK186" s="175">
        <v>0.08994708994708994</v>
      </c>
      <c r="AL186" s="175">
        <v>0.08666601083662695</v>
      </c>
      <c r="AM186" s="175">
        <v>3</v>
      </c>
      <c r="AN186" s="175">
        <v>10861</v>
      </c>
      <c r="AO186" s="175">
        <v>2</v>
      </c>
      <c r="AP186" s="175">
        <v>0</v>
      </c>
      <c r="AQ186" s="175">
        <v>0</v>
      </c>
      <c r="AR186" s="175">
        <v>88.45</v>
      </c>
      <c r="AS186" s="175">
        <v>217.95364612775577</v>
      </c>
      <c r="AT186" s="175">
        <v>0.08327698326401964</v>
      </c>
      <c r="AU186" s="175">
        <v>821</v>
      </c>
      <c r="AV186" s="175">
        <v>5635</v>
      </c>
      <c r="AW186" s="175">
        <v>0.14569653948535935</v>
      </c>
      <c r="AX186" s="175">
        <v>0.09023530575587435</v>
      </c>
      <c r="AY186" s="175">
        <v>0</v>
      </c>
      <c r="AZ186" s="207">
        <v>10656</v>
      </c>
      <c r="BA186" s="175">
        <v>8009</v>
      </c>
      <c r="BB186" s="175">
        <v>1.330503183918092</v>
      </c>
      <c r="BC186" s="175">
        <v>0.9408083364943802</v>
      </c>
      <c r="BD186" s="175">
        <v>0</v>
      </c>
      <c r="BE186" s="175">
        <v>2</v>
      </c>
      <c r="BF186" s="207">
        <v>-122281.48999999999</v>
      </c>
      <c r="BG186" s="207">
        <v>-149605.88</v>
      </c>
      <c r="BH186" s="207">
        <v>-79039.79999999999</v>
      </c>
      <c r="BI186" s="207">
        <v>-323629.3</v>
      </c>
      <c r="BJ186" s="207">
        <v>0</v>
      </c>
      <c r="BK186" s="207">
        <v>0</v>
      </c>
      <c r="BL186" s="207">
        <v>55415</v>
      </c>
      <c r="BM186" s="207">
        <v>-875163.485719433</v>
      </c>
      <c r="BN186" s="207">
        <v>-820471.68</v>
      </c>
      <c r="BO186" s="207">
        <v>-237921.06673301756</v>
      </c>
      <c r="BP186" s="207">
        <v>1399413</v>
      </c>
      <c r="BQ186" s="207">
        <v>472806</v>
      </c>
      <c r="BR186" s="207">
        <v>1012050.8967615775</v>
      </c>
      <c r="BS186" s="207">
        <v>35295.871407672465</v>
      </c>
      <c r="BT186" s="207">
        <v>186705.40611594936</v>
      </c>
      <c r="BU186" s="207">
        <v>590374.8610830926</v>
      </c>
      <c r="BV186" s="207">
        <v>933102.3237829336</v>
      </c>
      <c r="BW186" s="207">
        <v>1480886.5428554113</v>
      </c>
      <c r="BX186" s="207">
        <v>440089.8823201661</v>
      </c>
      <c r="BY186" s="207">
        <v>804269.1346674932</v>
      </c>
      <c r="BZ186" s="207">
        <v>1735.02</v>
      </c>
      <c r="CA186" s="207">
        <v>-72742.85898174977</v>
      </c>
      <c r="CB186" s="207">
        <v>-253513.90571476734</v>
      </c>
      <c r="CC186" s="207">
        <v>-3214769.0214342005</v>
      </c>
      <c r="CD186" s="207">
        <v>0</v>
      </c>
      <c r="CE186" s="207">
        <v>1004830.116367092</v>
      </c>
      <c r="CF186" s="207">
        <v>0</v>
      </c>
      <c r="CG186" s="207">
        <v>3547249.406108321</v>
      </c>
      <c r="CH186" s="207">
        <v>1769922</v>
      </c>
      <c r="CI186" s="207">
        <v>991246.7704</v>
      </c>
      <c r="CJ186" s="207">
        <v>217049.33054</v>
      </c>
      <c r="CK186" s="207">
        <v>774197.43986</v>
      </c>
      <c r="CL186" s="207">
        <v>35240573.63801755</v>
      </c>
      <c r="CM186" s="207">
        <v>39560851.296687126</v>
      </c>
      <c r="CN186" s="207">
        <v>19379</v>
      </c>
    </row>
    <row r="187" spans="1:92" ht="9.75">
      <c r="A187" s="207">
        <v>601</v>
      </c>
      <c r="B187" s="207" t="s">
        <v>243</v>
      </c>
      <c r="C187" s="207">
        <v>4053</v>
      </c>
      <c r="D187" s="207">
        <v>15579822.85</v>
      </c>
      <c r="E187" s="207">
        <v>7290747.2850370305</v>
      </c>
      <c r="F187" s="207">
        <v>1407543.1778126345</v>
      </c>
      <c r="G187" s="207">
        <v>24278113.312849667</v>
      </c>
      <c r="H187" s="207">
        <v>3654.72</v>
      </c>
      <c r="I187" s="207">
        <v>14812580.159999998</v>
      </c>
      <c r="J187" s="207">
        <v>9465533.152849669</v>
      </c>
      <c r="K187" s="207">
        <v>1603968.5518037365</v>
      </c>
      <c r="L187" s="207">
        <v>-459636.42726220796</v>
      </c>
      <c r="M187" s="207">
        <v>0</v>
      </c>
      <c r="N187" s="207">
        <v>10609865.277391197</v>
      </c>
      <c r="O187" s="207">
        <v>3934274.8284033043</v>
      </c>
      <c r="P187" s="207">
        <v>14544140.1057945</v>
      </c>
      <c r="Q187" s="207">
        <v>191</v>
      </c>
      <c r="R187" s="207">
        <v>44</v>
      </c>
      <c r="S187" s="207">
        <v>283</v>
      </c>
      <c r="T187" s="207">
        <v>145</v>
      </c>
      <c r="U187" s="207">
        <v>141</v>
      </c>
      <c r="V187" s="207">
        <v>2040</v>
      </c>
      <c r="W187" s="207">
        <v>627</v>
      </c>
      <c r="X187" s="207">
        <v>414</v>
      </c>
      <c r="Y187" s="207">
        <v>168</v>
      </c>
      <c r="Z187" s="207">
        <v>0</v>
      </c>
      <c r="AA187" s="207">
        <v>0</v>
      </c>
      <c r="AB187" s="207">
        <v>4014</v>
      </c>
      <c r="AC187" s="207">
        <v>39</v>
      </c>
      <c r="AD187" s="207">
        <v>1209</v>
      </c>
      <c r="AE187" s="480">
        <v>1.5270390762626587</v>
      </c>
      <c r="AF187" s="207">
        <v>7290747.2850370305</v>
      </c>
      <c r="AG187" s="175">
        <v>197</v>
      </c>
      <c r="AH187" s="175">
        <v>1736</v>
      </c>
      <c r="AI187" s="175">
        <v>1.163163442683638</v>
      </c>
      <c r="AJ187" s="175">
        <v>39</v>
      </c>
      <c r="AK187" s="175">
        <v>0.009622501850481125</v>
      </c>
      <c r="AL187" s="175">
        <v>0.006341422740018129</v>
      </c>
      <c r="AM187" s="175">
        <v>0</v>
      </c>
      <c r="AN187" s="175">
        <v>0</v>
      </c>
      <c r="AO187" s="175">
        <v>0</v>
      </c>
      <c r="AP187" s="175">
        <v>0</v>
      </c>
      <c r="AQ187" s="175">
        <v>0</v>
      </c>
      <c r="AR187" s="175">
        <v>1074.9</v>
      </c>
      <c r="AS187" s="175">
        <v>3.7705833100753554</v>
      </c>
      <c r="AT187" s="175">
        <v>4.813717307986078</v>
      </c>
      <c r="AU187" s="175">
        <v>152</v>
      </c>
      <c r="AV187" s="175">
        <v>1048</v>
      </c>
      <c r="AW187" s="175">
        <v>0.1450381679389313</v>
      </c>
      <c r="AX187" s="175">
        <v>0.08957693420944629</v>
      </c>
      <c r="AY187" s="175">
        <v>1.1069833333333334</v>
      </c>
      <c r="AZ187" s="207">
        <v>1413</v>
      </c>
      <c r="BA187" s="175">
        <v>1466</v>
      </c>
      <c r="BB187" s="175">
        <v>0.9638472032742156</v>
      </c>
      <c r="BC187" s="175">
        <v>0.5741523558505037</v>
      </c>
      <c r="BD187" s="175">
        <v>0</v>
      </c>
      <c r="BE187" s="175">
        <v>0</v>
      </c>
      <c r="BF187" s="207">
        <v>-26041.37</v>
      </c>
      <c r="BG187" s="207">
        <v>-31860.44</v>
      </c>
      <c r="BH187" s="207">
        <v>-16617.3</v>
      </c>
      <c r="BI187" s="207">
        <v>-68920.9</v>
      </c>
      <c r="BJ187" s="207">
        <v>0</v>
      </c>
      <c r="BK187" s="207">
        <v>0</v>
      </c>
      <c r="BL187" s="207">
        <v>151779</v>
      </c>
      <c r="BM187" s="207">
        <v>-133605.04600687334</v>
      </c>
      <c r="BN187" s="207">
        <v>-172495.68000000002</v>
      </c>
      <c r="BO187" s="207">
        <v>-25694.288820859045</v>
      </c>
      <c r="BP187" s="207">
        <v>435454</v>
      </c>
      <c r="BQ187" s="207">
        <v>135058</v>
      </c>
      <c r="BR187" s="207">
        <v>346967.2032462885</v>
      </c>
      <c r="BS187" s="207">
        <v>19218.919902524325</v>
      </c>
      <c r="BT187" s="207">
        <v>38454.63865206143</v>
      </c>
      <c r="BU187" s="207">
        <v>181707.73576224397</v>
      </c>
      <c r="BV187" s="207">
        <v>245469.4342888694</v>
      </c>
      <c r="BW187" s="207">
        <v>397891.3351114895</v>
      </c>
      <c r="BX187" s="207">
        <v>111904.98708906565</v>
      </c>
      <c r="BY187" s="207">
        <v>209324.67411016495</v>
      </c>
      <c r="BZ187" s="207">
        <v>364.77</v>
      </c>
      <c r="CA187" s="207">
        <v>-12280.19243447551</v>
      </c>
      <c r="CB187" s="207">
        <v>114169.28874466545</v>
      </c>
      <c r="CC187" s="207">
        <v>-459636.42726220796</v>
      </c>
      <c r="CD187" s="207">
        <v>0</v>
      </c>
      <c r="CE187" s="207">
        <v>289345.97868636297</v>
      </c>
      <c r="CF187" s="207">
        <v>0</v>
      </c>
      <c r="CG187" s="207">
        <v>3934274.8284033043</v>
      </c>
      <c r="CH187" s="207">
        <v>395199</v>
      </c>
      <c r="CI187" s="207">
        <v>35343.412000000004</v>
      </c>
      <c r="CJ187" s="207">
        <v>70686.82400000001</v>
      </c>
      <c r="CK187" s="207">
        <v>-35343.412000000004</v>
      </c>
      <c r="CL187" s="207">
        <v>14939339.1057945</v>
      </c>
      <c r="CM187" s="207">
        <v>16579167.028591195</v>
      </c>
      <c r="CN187" s="207">
        <v>4127</v>
      </c>
    </row>
    <row r="188" spans="1:92" ht="9.75">
      <c r="A188" s="207">
        <v>604</v>
      </c>
      <c r="B188" s="207" t="s">
        <v>244</v>
      </c>
      <c r="C188" s="207">
        <v>19368</v>
      </c>
      <c r="D188" s="207">
        <v>68649636.25</v>
      </c>
      <c r="E188" s="207">
        <v>17140092.385089554</v>
      </c>
      <c r="F188" s="207">
        <v>2584218.271032741</v>
      </c>
      <c r="G188" s="207">
        <v>88373946.90612228</v>
      </c>
      <c r="H188" s="207">
        <v>3654.72</v>
      </c>
      <c r="I188" s="207">
        <v>70784616.96</v>
      </c>
      <c r="J188" s="207">
        <v>17589329.94612229</v>
      </c>
      <c r="K188" s="207">
        <v>571234.1031934497</v>
      </c>
      <c r="L188" s="207">
        <v>-3275549.3091266695</v>
      </c>
      <c r="M188" s="207">
        <v>0</v>
      </c>
      <c r="N188" s="207">
        <v>14885014.74018907</v>
      </c>
      <c r="O188" s="207">
        <v>-3294143.054030859</v>
      </c>
      <c r="P188" s="207">
        <v>11590871.68615821</v>
      </c>
      <c r="Q188" s="207">
        <v>1455</v>
      </c>
      <c r="R188" s="207">
        <v>289</v>
      </c>
      <c r="S188" s="207">
        <v>1682</v>
      </c>
      <c r="T188" s="207">
        <v>824</v>
      </c>
      <c r="U188" s="207">
        <v>696</v>
      </c>
      <c r="V188" s="207">
        <v>11002</v>
      </c>
      <c r="W188" s="207">
        <v>2080</v>
      </c>
      <c r="X188" s="207">
        <v>1025</v>
      </c>
      <c r="Y188" s="207">
        <v>315</v>
      </c>
      <c r="Z188" s="207">
        <v>84</v>
      </c>
      <c r="AA188" s="207">
        <v>1</v>
      </c>
      <c r="AB188" s="207">
        <v>18565</v>
      </c>
      <c r="AC188" s="207">
        <v>718</v>
      </c>
      <c r="AD188" s="207">
        <v>3420</v>
      </c>
      <c r="AE188" s="480">
        <v>0.7512475895816089</v>
      </c>
      <c r="AF188" s="207">
        <v>17140092.385089554</v>
      </c>
      <c r="AG188" s="175">
        <v>593</v>
      </c>
      <c r="AH188" s="175">
        <v>9493</v>
      </c>
      <c r="AI188" s="175">
        <v>0.6402881309518399</v>
      </c>
      <c r="AJ188" s="175">
        <v>718</v>
      </c>
      <c r="AK188" s="175">
        <v>0.03707145807517555</v>
      </c>
      <c r="AL188" s="175">
        <v>0.03379037896471255</v>
      </c>
      <c r="AM188" s="175">
        <v>0</v>
      </c>
      <c r="AN188" s="175">
        <v>84</v>
      </c>
      <c r="AO188" s="175">
        <v>1</v>
      </c>
      <c r="AP188" s="175">
        <v>0</v>
      </c>
      <c r="AQ188" s="175">
        <v>0</v>
      </c>
      <c r="AR188" s="175">
        <v>81.42</v>
      </c>
      <c r="AS188" s="175">
        <v>237.8776713338246</v>
      </c>
      <c r="AT188" s="175">
        <v>0.07630191618717218</v>
      </c>
      <c r="AU188" s="175">
        <v>461</v>
      </c>
      <c r="AV188" s="175">
        <v>6855</v>
      </c>
      <c r="AW188" s="175">
        <v>0.06725018234865061</v>
      </c>
      <c r="AX188" s="175">
        <v>0.011788948619165608</v>
      </c>
      <c r="AY188" s="175">
        <v>0</v>
      </c>
      <c r="AZ188" s="207">
        <v>7364</v>
      </c>
      <c r="BA188" s="175">
        <v>8764</v>
      </c>
      <c r="BB188" s="175">
        <v>0.8402555910543131</v>
      </c>
      <c r="BC188" s="175">
        <v>0.4505607436306013</v>
      </c>
      <c r="BD188" s="175">
        <v>0</v>
      </c>
      <c r="BE188" s="175">
        <v>1</v>
      </c>
      <c r="BF188" s="207">
        <v>-121385.46999999999</v>
      </c>
      <c r="BG188" s="207">
        <v>-148509.63999999998</v>
      </c>
      <c r="BH188" s="207">
        <v>-79408.79999999999</v>
      </c>
      <c r="BI188" s="207">
        <v>-321257.89999999997</v>
      </c>
      <c r="BJ188" s="207">
        <v>0</v>
      </c>
      <c r="BK188" s="207">
        <v>0</v>
      </c>
      <c r="BL188" s="207">
        <v>147112</v>
      </c>
      <c r="BM188" s="207">
        <v>-887034.553151037</v>
      </c>
      <c r="BN188" s="207">
        <v>-824302.0800000001</v>
      </c>
      <c r="BO188" s="207">
        <v>-475239.0150869675</v>
      </c>
      <c r="BP188" s="207">
        <v>962488</v>
      </c>
      <c r="BQ188" s="207">
        <v>315242</v>
      </c>
      <c r="BR188" s="207">
        <v>572600.7651110376</v>
      </c>
      <c r="BS188" s="207">
        <v>-261.91042154564855</v>
      </c>
      <c r="BT188" s="207">
        <v>-137431.19608466787</v>
      </c>
      <c r="BU188" s="207">
        <v>318185.54417433374</v>
      </c>
      <c r="BV188" s="207">
        <v>684278.3250537483</v>
      </c>
      <c r="BW188" s="207">
        <v>1214601.6352733036</v>
      </c>
      <c r="BX188" s="207">
        <v>334343.7114681549</v>
      </c>
      <c r="BY188" s="207">
        <v>593427.0950155176</v>
      </c>
      <c r="BZ188" s="207">
        <v>1743.12</v>
      </c>
      <c r="CA188" s="207">
        <v>26555.90911133503</v>
      </c>
      <c r="CB188" s="207">
        <v>-299827.98597563244</v>
      </c>
      <c r="CC188" s="207">
        <v>-3275549.3091266695</v>
      </c>
      <c r="CD188" s="207">
        <v>0</v>
      </c>
      <c r="CE188" s="207">
        <v>705974.5016590387</v>
      </c>
      <c r="CF188" s="207">
        <v>0</v>
      </c>
      <c r="CG188" s="207">
        <v>-3294143.054030859</v>
      </c>
      <c r="CH188" s="207">
        <v>-2285061</v>
      </c>
      <c r="CI188" s="207">
        <v>202680.8742</v>
      </c>
      <c r="CJ188" s="207">
        <v>1414905.5313199998</v>
      </c>
      <c r="CK188" s="207">
        <v>-1212224.6571199999</v>
      </c>
      <c r="CL188" s="207">
        <v>9305810.68615821</v>
      </c>
      <c r="CM188" s="207">
        <v>11605640.401097495</v>
      </c>
      <c r="CN188" s="207">
        <v>19237</v>
      </c>
    </row>
    <row r="189" spans="1:92" ht="9.75">
      <c r="A189" s="207">
        <v>607</v>
      </c>
      <c r="B189" s="207" t="s">
        <v>245</v>
      </c>
      <c r="C189" s="207">
        <v>4307</v>
      </c>
      <c r="D189" s="207">
        <v>15064780.440000001</v>
      </c>
      <c r="E189" s="207">
        <v>7134259.255402476</v>
      </c>
      <c r="F189" s="207">
        <v>1293633.421131099</v>
      </c>
      <c r="G189" s="207">
        <v>23492673.116533577</v>
      </c>
      <c r="H189" s="207">
        <v>3654.72</v>
      </c>
      <c r="I189" s="207">
        <v>15740879.04</v>
      </c>
      <c r="J189" s="207">
        <v>7751794.076533578</v>
      </c>
      <c r="K189" s="207">
        <v>116127.40157340575</v>
      </c>
      <c r="L189" s="207">
        <v>36.96771926304791</v>
      </c>
      <c r="M189" s="207">
        <v>0</v>
      </c>
      <c r="N189" s="207">
        <v>7867958.445826247</v>
      </c>
      <c r="O189" s="207">
        <v>4916285.787529858</v>
      </c>
      <c r="P189" s="207">
        <v>12784244.233356105</v>
      </c>
      <c r="Q189" s="207">
        <v>214</v>
      </c>
      <c r="R189" s="207">
        <v>33</v>
      </c>
      <c r="S189" s="207">
        <v>243</v>
      </c>
      <c r="T189" s="207">
        <v>112</v>
      </c>
      <c r="U189" s="207">
        <v>121</v>
      </c>
      <c r="V189" s="207">
        <v>2238</v>
      </c>
      <c r="W189" s="207">
        <v>783</v>
      </c>
      <c r="X189" s="207">
        <v>410</v>
      </c>
      <c r="Y189" s="207">
        <v>153</v>
      </c>
      <c r="Z189" s="207">
        <v>3</v>
      </c>
      <c r="AA189" s="207">
        <v>0</v>
      </c>
      <c r="AB189" s="207">
        <v>4269</v>
      </c>
      <c r="AC189" s="207">
        <v>35</v>
      </c>
      <c r="AD189" s="207">
        <v>1346</v>
      </c>
      <c r="AE189" s="480">
        <v>1.4061405260442836</v>
      </c>
      <c r="AF189" s="207">
        <v>7134259.255402476</v>
      </c>
      <c r="AG189" s="175">
        <v>252</v>
      </c>
      <c r="AH189" s="175">
        <v>1836</v>
      </c>
      <c r="AI189" s="175">
        <v>1.4068639549608408</v>
      </c>
      <c r="AJ189" s="175">
        <v>35</v>
      </c>
      <c r="AK189" s="175">
        <v>0.00812630601346645</v>
      </c>
      <c r="AL189" s="175">
        <v>0.0048452269030034535</v>
      </c>
      <c r="AM189" s="175">
        <v>0</v>
      </c>
      <c r="AN189" s="175">
        <v>3</v>
      </c>
      <c r="AO189" s="175">
        <v>0</v>
      </c>
      <c r="AP189" s="175">
        <v>0</v>
      </c>
      <c r="AQ189" s="175">
        <v>0</v>
      </c>
      <c r="AR189" s="175">
        <v>804.16</v>
      </c>
      <c r="AS189" s="175">
        <v>5.355899323517708</v>
      </c>
      <c r="AT189" s="175">
        <v>3.3888841153556397</v>
      </c>
      <c r="AU189" s="175">
        <v>133</v>
      </c>
      <c r="AV189" s="175">
        <v>1093</v>
      </c>
      <c r="AW189" s="175">
        <v>0.12168344007319305</v>
      </c>
      <c r="AX189" s="175">
        <v>0.06622220634370804</v>
      </c>
      <c r="AY189" s="175">
        <v>0</v>
      </c>
      <c r="AZ189" s="207">
        <v>1212</v>
      </c>
      <c r="BA189" s="175">
        <v>1512</v>
      </c>
      <c r="BB189" s="175">
        <v>0.8015873015873016</v>
      </c>
      <c r="BC189" s="175">
        <v>0.41189245416358977</v>
      </c>
      <c r="BD189" s="175">
        <v>0</v>
      </c>
      <c r="BE189" s="175">
        <v>0</v>
      </c>
      <c r="BF189" s="207">
        <v>-27852.339999999997</v>
      </c>
      <c r="BG189" s="207">
        <v>-34076.08</v>
      </c>
      <c r="BH189" s="207">
        <v>-17658.699999999997</v>
      </c>
      <c r="BI189" s="207">
        <v>-73713.8</v>
      </c>
      <c r="BJ189" s="207">
        <v>0</v>
      </c>
      <c r="BK189" s="207">
        <v>0</v>
      </c>
      <c r="BL189" s="207">
        <v>420601</v>
      </c>
      <c r="BM189" s="207">
        <v>-82015.38589917275</v>
      </c>
      <c r="BN189" s="207">
        <v>-183305.92</v>
      </c>
      <c r="BO189" s="207">
        <v>80441.11767227948</v>
      </c>
      <c r="BP189" s="207">
        <v>474631</v>
      </c>
      <c r="BQ189" s="207">
        <v>148166</v>
      </c>
      <c r="BR189" s="207">
        <v>409995.1621572207</v>
      </c>
      <c r="BS189" s="207">
        <v>23164.831209844506</v>
      </c>
      <c r="BT189" s="207">
        <v>70872.7202046957</v>
      </c>
      <c r="BU189" s="207">
        <v>175906.08465712712</v>
      </c>
      <c r="BV189" s="207">
        <v>265433.29563446343</v>
      </c>
      <c r="BW189" s="207">
        <v>408578.5953259517</v>
      </c>
      <c r="BX189" s="207">
        <v>117579.48942582084</v>
      </c>
      <c r="BY189" s="207">
        <v>217648.2905222606</v>
      </c>
      <c r="BZ189" s="207">
        <v>387.63</v>
      </c>
      <c r="CA189" s="207">
        <v>49282.06594615624</v>
      </c>
      <c r="CB189" s="207">
        <v>550711.8136184358</v>
      </c>
      <c r="CC189" s="207">
        <v>36.96771926304791</v>
      </c>
      <c r="CD189" s="207">
        <v>0</v>
      </c>
      <c r="CE189" s="207">
        <v>306857.3092131987</v>
      </c>
      <c r="CF189" s="207">
        <v>0</v>
      </c>
      <c r="CG189" s="207">
        <v>4916285.787529858</v>
      </c>
      <c r="CH189" s="207">
        <v>-378320</v>
      </c>
      <c r="CI189" s="207">
        <v>28614.570100000004</v>
      </c>
      <c r="CJ189" s="207">
        <v>43853.01811999999</v>
      </c>
      <c r="CK189" s="207">
        <v>-15238.448019999989</v>
      </c>
      <c r="CL189" s="207">
        <v>12405924.233356105</v>
      </c>
      <c r="CM189" s="207">
        <v>14620765.936801836</v>
      </c>
      <c r="CN189" s="207">
        <v>4414</v>
      </c>
    </row>
    <row r="190" spans="1:92" ht="9.75">
      <c r="A190" s="207">
        <v>608</v>
      </c>
      <c r="B190" s="207" t="s">
        <v>246</v>
      </c>
      <c r="C190" s="207">
        <v>2146</v>
      </c>
      <c r="D190" s="207">
        <v>8380689.79</v>
      </c>
      <c r="E190" s="207">
        <v>3053074.00380761</v>
      </c>
      <c r="F190" s="207">
        <v>517004.26111535396</v>
      </c>
      <c r="G190" s="207">
        <v>11950768.054922964</v>
      </c>
      <c r="H190" s="207">
        <v>3654.72</v>
      </c>
      <c r="I190" s="207">
        <v>7843029.119999999</v>
      </c>
      <c r="J190" s="207">
        <v>4107738.9349229652</v>
      </c>
      <c r="K190" s="207">
        <v>46782.62961221303</v>
      </c>
      <c r="L190" s="207">
        <v>-275071.72001429665</v>
      </c>
      <c r="M190" s="207">
        <v>0</v>
      </c>
      <c r="N190" s="207">
        <v>3879449.844520882</v>
      </c>
      <c r="O190" s="207">
        <v>1892463.3198844981</v>
      </c>
      <c r="P190" s="207">
        <v>5771913.164405379</v>
      </c>
      <c r="Q190" s="207">
        <v>120</v>
      </c>
      <c r="R190" s="207">
        <v>19</v>
      </c>
      <c r="S190" s="207">
        <v>143</v>
      </c>
      <c r="T190" s="207">
        <v>70</v>
      </c>
      <c r="U190" s="207">
        <v>81</v>
      </c>
      <c r="V190" s="207">
        <v>1057</v>
      </c>
      <c r="W190" s="207">
        <v>343</v>
      </c>
      <c r="X190" s="207">
        <v>217</v>
      </c>
      <c r="Y190" s="207">
        <v>96</v>
      </c>
      <c r="Z190" s="207">
        <v>2</v>
      </c>
      <c r="AA190" s="207">
        <v>0</v>
      </c>
      <c r="AB190" s="207">
        <v>2125</v>
      </c>
      <c r="AC190" s="207">
        <v>19</v>
      </c>
      <c r="AD190" s="207">
        <v>656</v>
      </c>
      <c r="AE190" s="480">
        <v>1.207709057087142</v>
      </c>
      <c r="AF190" s="207">
        <v>3053074.00380761</v>
      </c>
      <c r="AG190" s="175">
        <v>84</v>
      </c>
      <c r="AH190" s="175">
        <v>883</v>
      </c>
      <c r="AI190" s="175">
        <v>0.9750857762582498</v>
      </c>
      <c r="AJ190" s="175">
        <v>19</v>
      </c>
      <c r="AK190" s="175">
        <v>0.008853681267474371</v>
      </c>
      <c r="AL190" s="175">
        <v>0.005572602157011375</v>
      </c>
      <c r="AM190" s="175">
        <v>0</v>
      </c>
      <c r="AN190" s="175">
        <v>2</v>
      </c>
      <c r="AO190" s="175">
        <v>0</v>
      </c>
      <c r="AP190" s="175">
        <v>0</v>
      </c>
      <c r="AQ190" s="175">
        <v>0</v>
      </c>
      <c r="AR190" s="175">
        <v>301.18</v>
      </c>
      <c r="AS190" s="175">
        <v>7.125307125307125</v>
      </c>
      <c r="AT190" s="175">
        <v>2.5473319004660904</v>
      </c>
      <c r="AU190" s="175">
        <v>85</v>
      </c>
      <c r="AV190" s="175">
        <v>560</v>
      </c>
      <c r="AW190" s="175">
        <v>0.15178571428571427</v>
      </c>
      <c r="AX190" s="175">
        <v>0.09632448055622927</v>
      </c>
      <c r="AY190" s="175">
        <v>0</v>
      </c>
      <c r="AZ190" s="207">
        <v>563</v>
      </c>
      <c r="BA190" s="175">
        <v>779</v>
      </c>
      <c r="BB190" s="175">
        <v>0.7227214377406932</v>
      </c>
      <c r="BC190" s="175">
        <v>0.33302659031698134</v>
      </c>
      <c r="BD190" s="175">
        <v>0</v>
      </c>
      <c r="BE190" s="175">
        <v>0</v>
      </c>
      <c r="BF190" s="207">
        <v>-13667.46</v>
      </c>
      <c r="BG190" s="207">
        <v>-16721.52</v>
      </c>
      <c r="BH190" s="207">
        <v>-8798.599999999999</v>
      </c>
      <c r="BI190" s="207">
        <v>-36172.2</v>
      </c>
      <c r="BJ190" s="207">
        <v>0</v>
      </c>
      <c r="BK190" s="207">
        <v>0</v>
      </c>
      <c r="BL190" s="207">
        <v>69250</v>
      </c>
      <c r="BM190" s="207">
        <v>-60938.8023279352</v>
      </c>
      <c r="BN190" s="207">
        <v>-91333.76000000001</v>
      </c>
      <c r="BO190" s="207">
        <v>-60503.46341793239</v>
      </c>
      <c r="BP190" s="207">
        <v>227685</v>
      </c>
      <c r="BQ190" s="207">
        <v>68669</v>
      </c>
      <c r="BR190" s="207">
        <v>174137.51447144392</v>
      </c>
      <c r="BS190" s="207">
        <v>9685.854308653408</v>
      </c>
      <c r="BT190" s="207">
        <v>19472.155895094435</v>
      </c>
      <c r="BU190" s="207">
        <v>85293.42274896333</v>
      </c>
      <c r="BV190" s="207">
        <v>118840.12738225592</v>
      </c>
      <c r="BW190" s="207">
        <v>187810.57467574356</v>
      </c>
      <c r="BX190" s="207">
        <v>47927.0629042701</v>
      </c>
      <c r="BY190" s="207">
        <v>97253.69510786733</v>
      </c>
      <c r="BZ190" s="207">
        <v>193.14</v>
      </c>
      <c r="CA190" s="207">
        <v>9417.305731571021</v>
      </c>
      <c r="CB190" s="207">
        <v>18356.98231363863</v>
      </c>
      <c r="CC190" s="207">
        <v>-275071.72001429665</v>
      </c>
      <c r="CD190" s="207">
        <v>0</v>
      </c>
      <c r="CE190" s="207">
        <v>136571.18834184707</v>
      </c>
      <c r="CF190" s="207">
        <v>1457.7907886448863</v>
      </c>
      <c r="CG190" s="207">
        <v>1892463.3198844981</v>
      </c>
      <c r="CH190" s="207">
        <v>216467</v>
      </c>
      <c r="CI190" s="207">
        <v>49005.000100000005</v>
      </c>
      <c r="CJ190" s="207">
        <v>89717.89199999999</v>
      </c>
      <c r="CK190" s="207">
        <v>-40712.89189999999</v>
      </c>
      <c r="CL190" s="207">
        <v>5988380.164405379</v>
      </c>
      <c r="CM190" s="207">
        <v>7072602.463733992</v>
      </c>
      <c r="CN190" s="207">
        <v>2166</v>
      </c>
    </row>
    <row r="191" spans="1:92" ht="9.75">
      <c r="A191" s="207">
        <v>609</v>
      </c>
      <c r="B191" s="207" t="s">
        <v>247</v>
      </c>
      <c r="C191" s="207">
        <v>84403</v>
      </c>
      <c r="D191" s="207">
        <v>292171818.16</v>
      </c>
      <c r="E191" s="207">
        <v>98928163.37294383</v>
      </c>
      <c r="F191" s="207">
        <v>17711415.13413977</v>
      </c>
      <c r="G191" s="207">
        <v>408811396.6670836</v>
      </c>
      <c r="H191" s="207">
        <v>3654.72</v>
      </c>
      <c r="I191" s="207">
        <v>308469332.15999997</v>
      </c>
      <c r="J191" s="207">
        <v>100342064.50708365</v>
      </c>
      <c r="K191" s="207">
        <v>3611346.6539401175</v>
      </c>
      <c r="L191" s="207">
        <v>-10252251.87786578</v>
      </c>
      <c r="M191" s="207">
        <v>0</v>
      </c>
      <c r="N191" s="207">
        <v>93701159.28315799</v>
      </c>
      <c r="O191" s="207">
        <v>28748771.00799317</v>
      </c>
      <c r="P191" s="207">
        <v>122449930.29115117</v>
      </c>
      <c r="Q191" s="207">
        <v>4511</v>
      </c>
      <c r="R191" s="207">
        <v>799</v>
      </c>
      <c r="S191" s="207">
        <v>5189</v>
      </c>
      <c r="T191" s="207">
        <v>2547</v>
      </c>
      <c r="U191" s="207">
        <v>2589</v>
      </c>
      <c r="V191" s="207">
        <v>47364</v>
      </c>
      <c r="W191" s="207">
        <v>11925</v>
      </c>
      <c r="X191" s="207">
        <v>6754</v>
      </c>
      <c r="Y191" s="207">
        <v>2725</v>
      </c>
      <c r="Z191" s="207">
        <v>464</v>
      </c>
      <c r="AA191" s="207">
        <v>1</v>
      </c>
      <c r="AB191" s="207">
        <v>81101</v>
      </c>
      <c r="AC191" s="207">
        <v>2837</v>
      </c>
      <c r="AD191" s="207">
        <v>21404</v>
      </c>
      <c r="AE191" s="480">
        <v>0.9949855475786203</v>
      </c>
      <c r="AF191" s="207">
        <v>98928163.37294383</v>
      </c>
      <c r="AG191" s="175">
        <v>4527</v>
      </c>
      <c r="AH191" s="175">
        <v>39137</v>
      </c>
      <c r="AI191" s="175">
        <v>1.1856245983139595</v>
      </c>
      <c r="AJ191" s="175">
        <v>2837</v>
      </c>
      <c r="AK191" s="175">
        <v>0.03361254931696741</v>
      </c>
      <c r="AL191" s="175">
        <v>0.030331470206504414</v>
      </c>
      <c r="AM191" s="175">
        <v>0</v>
      </c>
      <c r="AN191" s="175">
        <v>464</v>
      </c>
      <c r="AO191" s="175">
        <v>1</v>
      </c>
      <c r="AP191" s="175">
        <v>3</v>
      </c>
      <c r="AQ191" s="175">
        <v>938</v>
      </c>
      <c r="AR191" s="175">
        <v>1155.83</v>
      </c>
      <c r="AS191" s="175">
        <v>73.02371456009968</v>
      </c>
      <c r="AT191" s="175">
        <v>0.2485565442713135</v>
      </c>
      <c r="AU191" s="175">
        <v>3093</v>
      </c>
      <c r="AV191" s="175">
        <v>24784</v>
      </c>
      <c r="AW191" s="175">
        <v>0.12479825693996127</v>
      </c>
      <c r="AX191" s="175">
        <v>0.06933702321047627</v>
      </c>
      <c r="AY191" s="175">
        <v>0</v>
      </c>
      <c r="AZ191" s="207">
        <v>34842</v>
      </c>
      <c r="BA191" s="175">
        <v>33395</v>
      </c>
      <c r="BB191" s="175">
        <v>1.0433298397963766</v>
      </c>
      <c r="BC191" s="175">
        <v>0.6536349923726648</v>
      </c>
      <c r="BD191" s="175">
        <v>0</v>
      </c>
      <c r="BE191" s="175">
        <v>1</v>
      </c>
      <c r="BF191" s="207">
        <v>-533743.97</v>
      </c>
      <c r="BG191" s="207">
        <v>-653011.64</v>
      </c>
      <c r="BH191" s="207">
        <v>-346052.3</v>
      </c>
      <c r="BI191" s="207">
        <v>-1412602.9</v>
      </c>
      <c r="BJ191" s="207">
        <v>0</v>
      </c>
      <c r="BK191" s="207">
        <v>0</v>
      </c>
      <c r="BL191" s="207">
        <v>2961916</v>
      </c>
      <c r="BM191" s="207">
        <v>-4784598.011106214</v>
      </c>
      <c r="BN191" s="207">
        <v>-3592191.68</v>
      </c>
      <c r="BO191" s="207">
        <v>391170.84370395355</v>
      </c>
      <c r="BP191" s="207">
        <v>5977751</v>
      </c>
      <c r="BQ191" s="207">
        <v>2064395</v>
      </c>
      <c r="BR191" s="207">
        <v>4911326.570886874</v>
      </c>
      <c r="BS191" s="207">
        <v>211502.83104590638</v>
      </c>
      <c r="BT191" s="207">
        <v>284484.42643885675</v>
      </c>
      <c r="BU191" s="207">
        <v>2351587.2856159857</v>
      </c>
      <c r="BV191" s="207">
        <v>4132607.308693329</v>
      </c>
      <c r="BW191" s="207">
        <v>6287328.97257184</v>
      </c>
      <c r="BX191" s="207">
        <v>2094464.6514643608</v>
      </c>
      <c r="BY191" s="207">
        <v>3575023.8903953033</v>
      </c>
      <c r="BZ191" s="207">
        <v>7596.2699999999995</v>
      </c>
      <c r="CA191" s="207">
        <v>297061.489536478</v>
      </c>
      <c r="CB191" s="207">
        <v>3657744.6032404318</v>
      </c>
      <c r="CC191" s="207">
        <v>-10252251.87786578</v>
      </c>
      <c r="CD191" s="207">
        <v>0</v>
      </c>
      <c r="CE191" s="207">
        <v>4862199.847401472</v>
      </c>
      <c r="CF191" s="207">
        <v>0</v>
      </c>
      <c r="CG191" s="207">
        <v>28748771.00799317</v>
      </c>
      <c r="CH191" s="207">
        <v>-5895476</v>
      </c>
      <c r="CI191" s="207">
        <v>1308114.0526000003</v>
      </c>
      <c r="CJ191" s="207">
        <v>4153439.5137460004</v>
      </c>
      <c r="CK191" s="207">
        <v>-2845325.461146</v>
      </c>
      <c r="CL191" s="207">
        <v>116554454.29115117</v>
      </c>
      <c r="CM191" s="207">
        <v>138437510.44643626</v>
      </c>
      <c r="CN191" s="207">
        <v>84587</v>
      </c>
    </row>
    <row r="192" spans="1:92" ht="9.75">
      <c r="A192" s="207">
        <v>611</v>
      </c>
      <c r="B192" s="207" t="s">
        <v>248</v>
      </c>
      <c r="C192" s="207">
        <v>5068</v>
      </c>
      <c r="D192" s="207">
        <v>18576648.970000003</v>
      </c>
      <c r="E192" s="207">
        <v>4392912.447553551</v>
      </c>
      <c r="F192" s="207">
        <v>719448.6180163855</v>
      </c>
      <c r="G192" s="207">
        <v>23689010.035569936</v>
      </c>
      <c r="H192" s="207">
        <v>3654.72</v>
      </c>
      <c r="I192" s="207">
        <v>18522120.959999997</v>
      </c>
      <c r="J192" s="207">
        <v>5166889.075569939</v>
      </c>
      <c r="K192" s="207">
        <v>15155.10187095204</v>
      </c>
      <c r="L192" s="207">
        <v>-740805.4119579482</v>
      </c>
      <c r="M192" s="207">
        <v>0</v>
      </c>
      <c r="N192" s="207">
        <v>4441238.765482943</v>
      </c>
      <c r="O192" s="207">
        <v>898511.3015904904</v>
      </c>
      <c r="P192" s="207">
        <v>5339750.067073433</v>
      </c>
      <c r="Q192" s="207">
        <v>329</v>
      </c>
      <c r="R192" s="207">
        <v>70</v>
      </c>
      <c r="S192" s="207">
        <v>483</v>
      </c>
      <c r="T192" s="207">
        <v>279</v>
      </c>
      <c r="U192" s="207">
        <v>265</v>
      </c>
      <c r="V192" s="207">
        <v>2852</v>
      </c>
      <c r="W192" s="207">
        <v>490</v>
      </c>
      <c r="X192" s="207">
        <v>215</v>
      </c>
      <c r="Y192" s="207">
        <v>85</v>
      </c>
      <c r="Z192" s="207">
        <v>122</v>
      </c>
      <c r="AA192" s="207">
        <v>0</v>
      </c>
      <c r="AB192" s="207">
        <v>4812</v>
      </c>
      <c r="AC192" s="207">
        <v>134</v>
      </c>
      <c r="AD192" s="207">
        <v>790</v>
      </c>
      <c r="AE192" s="480">
        <v>0.7358184124687863</v>
      </c>
      <c r="AF192" s="207">
        <v>4392912.447553551</v>
      </c>
      <c r="AG192" s="175">
        <v>117</v>
      </c>
      <c r="AH192" s="175">
        <v>2590</v>
      </c>
      <c r="AI192" s="175">
        <v>0.4630312862245635</v>
      </c>
      <c r="AJ192" s="175">
        <v>134</v>
      </c>
      <c r="AK192" s="175">
        <v>0.02644041041831097</v>
      </c>
      <c r="AL192" s="175">
        <v>0.023159331307847975</v>
      </c>
      <c r="AM192" s="175">
        <v>0</v>
      </c>
      <c r="AN192" s="175">
        <v>122</v>
      </c>
      <c r="AO192" s="175">
        <v>0</v>
      </c>
      <c r="AP192" s="175">
        <v>0</v>
      </c>
      <c r="AQ192" s="175">
        <v>0</v>
      </c>
      <c r="AR192" s="175">
        <v>146.52</v>
      </c>
      <c r="AS192" s="175">
        <v>34.58913458913459</v>
      </c>
      <c r="AT192" s="175">
        <v>0.5247463504511836</v>
      </c>
      <c r="AU192" s="175">
        <v>238</v>
      </c>
      <c r="AV192" s="175">
        <v>1747</v>
      </c>
      <c r="AW192" s="175">
        <v>0.13623354321694334</v>
      </c>
      <c r="AX192" s="175">
        <v>0.08077230948745834</v>
      </c>
      <c r="AY192" s="175">
        <v>0</v>
      </c>
      <c r="AZ192" s="207">
        <v>1051</v>
      </c>
      <c r="BA192" s="175">
        <v>2414</v>
      </c>
      <c r="BB192" s="175">
        <v>0.43537696768848383</v>
      </c>
      <c r="BC192" s="175">
        <v>0.045682120264771975</v>
      </c>
      <c r="BD192" s="175">
        <v>0</v>
      </c>
      <c r="BE192" s="175">
        <v>0</v>
      </c>
      <c r="BF192" s="207">
        <v>-32313.51</v>
      </c>
      <c r="BG192" s="207">
        <v>-39534.119999999995</v>
      </c>
      <c r="BH192" s="207">
        <v>-20778.8</v>
      </c>
      <c r="BI192" s="207">
        <v>-85520.7</v>
      </c>
      <c r="BJ192" s="207">
        <v>0</v>
      </c>
      <c r="BK192" s="207">
        <v>0</v>
      </c>
      <c r="BL192" s="207">
        <v>-12387</v>
      </c>
      <c r="BM192" s="207">
        <v>-131605.73166157494</v>
      </c>
      <c r="BN192" s="207">
        <v>-215694.08000000002</v>
      </c>
      <c r="BO192" s="207">
        <v>-66364.87476905528</v>
      </c>
      <c r="BP192" s="207">
        <v>383656</v>
      </c>
      <c r="BQ192" s="207">
        <v>117909</v>
      </c>
      <c r="BR192" s="207">
        <v>224768.97935533107</v>
      </c>
      <c r="BS192" s="207">
        <v>-45.47227589964298</v>
      </c>
      <c r="BT192" s="207">
        <v>9676.06178048576</v>
      </c>
      <c r="BU192" s="207">
        <v>53223.876379360496</v>
      </c>
      <c r="BV192" s="207">
        <v>245023.06201938295</v>
      </c>
      <c r="BW192" s="207">
        <v>374090.33204037865</v>
      </c>
      <c r="BX192" s="207">
        <v>101058.82328673525</v>
      </c>
      <c r="BY192" s="207">
        <v>182531.78083425</v>
      </c>
      <c r="BZ192" s="207">
        <v>456.12</v>
      </c>
      <c r="CA192" s="207">
        <v>18322.164472681998</v>
      </c>
      <c r="CB192" s="207">
        <v>-59973.590296373295</v>
      </c>
      <c r="CC192" s="207">
        <v>-740805.4119579482</v>
      </c>
      <c r="CD192" s="207">
        <v>0</v>
      </c>
      <c r="CE192" s="207">
        <v>234653.47370810778</v>
      </c>
      <c r="CF192" s="207">
        <v>0</v>
      </c>
      <c r="CG192" s="207">
        <v>898511.3015904904</v>
      </c>
      <c r="CH192" s="207">
        <v>-1222773</v>
      </c>
      <c r="CI192" s="207">
        <v>111671.5883</v>
      </c>
      <c r="CJ192" s="207">
        <v>239247.71200000006</v>
      </c>
      <c r="CK192" s="207">
        <v>-127576.12370000005</v>
      </c>
      <c r="CL192" s="207">
        <v>4116977.0670734327</v>
      </c>
      <c r="CM192" s="207">
        <v>5392416.481825325</v>
      </c>
      <c r="CN192" s="207">
        <v>5121</v>
      </c>
    </row>
    <row r="193" spans="1:92" ht="9.75">
      <c r="A193" s="207">
        <v>638</v>
      </c>
      <c r="B193" s="207" t="s">
        <v>249</v>
      </c>
      <c r="C193" s="207">
        <v>50262</v>
      </c>
      <c r="D193" s="207">
        <v>172902456.05</v>
      </c>
      <c r="E193" s="207">
        <v>51506983.727947295</v>
      </c>
      <c r="F193" s="207">
        <v>17868523.052358557</v>
      </c>
      <c r="G193" s="207">
        <v>242277962.83030587</v>
      </c>
      <c r="H193" s="207">
        <v>3654.72</v>
      </c>
      <c r="I193" s="207">
        <v>183693536.64</v>
      </c>
      <c r="J193" s="207">
        <v>58584426.19030589</v>
      </c>
      <c r="K193" s="207">
        <v>1844774.9401488942</v>
      </c>
      <c r="L193" s="207">
        <v>-8230499.856458947</v>
      </c>
      <c r="M193" s="207">
        <v>0</v>
      </c>
      <c r="N193" s="207">
        <v>52198701.27399584</v>
      </c>
      <c r="O193" s="207">
        <v>-9178459.752843553</v>
      </c>
      <c r="P193" s="207">
        <v>43020241.52115229</v>
      </c>
      <c r="Q193" s="207">
        <v>3039</v>
      </c>
      <c r="R193" s="207">
        <v>614</v>
      </c>
      <c r="S193" s="207">
        <v>3735</v>
      </c>
      <c r="T193" s="207">
        <v>1902</v>
      </c>
      <c r="U193" s="207">
        <v>1795</v>
      </c>
      <c r="V193" s="207">
        <v>28747</v>
      </c>
      <c r="W193" s="207">
        <v>6250</v>
      </c>
      <c r="X193" s="207">
        <v>3054</v>
      </c>
      <c r="Y193" s="207">
        <v>1126</v>
      </c>
      <c r="Z193" s="207">
        <v>14672</v>
      </c>
      <c r="AA193" s="207">
        <v>0</v>
      </c>
      <c r="AB193" s="207">
        <v>32168</v>
      </c>
      <c r="AC193" s="207">
        <v>3422</v>
      </c>
      <c r="AD193" s="207">
        <v>10430</v>
      </c>
      <c r="AE193" s="480">
        <v>0.869923497780751</v>
      </c>
      <c r="AF193" s="207">
        <v>51506983.727947295</v>
      </c>
      <c r="AG193" s="175">
        <v>2038</v>
      </c>
      <c r="AH193" s="175">
        <v>24782</v>
      </c>
      <c r="AI193" s="175">
        <v>0.8429310775719697</v>
      </c>
      <c r="AJ193" s="175">
        <v>3422</v>
      </c>
      <c r="AK193" s="175">
        <v>0.06808324380247503</v>
      </c>
      <c r="AL193" s="175">
        <v>0.06480216469201204</v>
      </c>
      <c r="AM193" s="175">
        <v>1</v>
      </c>
      <c r="AN193" s="175">
        <v>14672</v>
      </c>
      <c r="AO193" s="175">
        <v>0</v>
      </c>
      <c r="AP193" s="175">
        <v>3</v>
      </c>
      <c r="AQ193" s="175">
        <v>1717</v>
      </c>
      <c r="AR193" s="175">
        <v>654.42</v>
      </c>
      <c r="AS193" s="175">
        <v>76.80388741175392</v>
      </c>
      <c r="AT193" s="175">
        <v>0.23632296166997732</v>
      </c>
      <c r="AU193" s="175">
        <v>2285</v>
      </c>
      <c r="AV193" s="175">
        <v>16293</v>
      </c>
      <c r="AW193" s="175">
        <v>0.1402442766832382</v>
      </c>
      <c r="AX193" s="175">
        <v>0.08478304295375319</v>
      </c>
      <c r="AY193" s="175">
        <v>0</v>
      </c>
      <c r="AZ193" s="207">
        <v>21265</v>
      </c>
      <c r="BA193" s="175">
        <v>22375</v>
      </c>
      <c r="BB193" s="175">
        <v>0.950391061452514</v>
      </c>
      <c r="BC193" s="175">
        <v>0.5606962140288021</v>
      </c>
      <c r="BD193" s="175">
        <v>0</v>
      </c>
      <c r="BE193" s="175">
        <v>0</v>
      </c>
      <c r="BF193" s="207">
        <v>-316503.29</v>
      </c>
      <c r="BG193" s="207">
        <v>-387227.48</v>
      </c>
      <c r="BH193" s="207">
        <v>-206074.19999999998</v>
      </c>
      <c r="BI193" s="207">
        <v>-837655.2999999999</v>
      </c>
      <c r="BJ193" s="207">
        <v>0</v>
      </c>
      <c r="BK193" s="207">
        <v>0</v>
      </c>
      <c r="BL193" s="207">
        <v>340227</v>
      </c>
      <c r="BM193" s="207">
        <v>-2561332.0884279325</v>
      </c>
      <c r="BN193" s="207">
        <v>-2139150.72</v>
      </c>
      <c r="BO193" s="207">
        <v>-441406.7972930819</v>
      </c>
      <c r="BP193" s="207">
        <v>3312713</v>
      </c>
      <c r="BQ193" s="207">
        <v>1135672</v>
      </c>
      <c r="BR193" s="207">
        <v>2360718.5689561497</v>
      </c>
      <c r="BS193" s="207">
        <v>50410.92073674268</v>
      </c>
      <c r="BT193" s="207">
        <v>227364.6802771861</v>
      </c>
      <c r="BU193" s="207">
        <v>805241.288831554</v>
      </c>
      <c r="BV193" s="207">
        <v>2210620.0389932</v>
      </c>
      <c r="BW193" s="207">
        <v>3474053.090596174</v>
      </c>
      <c r="BX193" s="207">
        <v>1103991.4519041427</v>
      </c>
      <c r="BY193" s="207">
        <v>1855402.0311445042</v>
      </c>
      <c r="BZ193" s="207">
        <v>4523.58</v>
      </c>
      <c r="CA193" s="207">
        <v>-144867.640737931</v>
      </c>
      <c r="CB193" s="207">
        <v>-241523.85803101287</v>
      </c>
      <c r="CC193" s="207">
        <v>-8230499.856458947</v>
      </c>
      <c r="CD193" s="207">
        <v>0</v>
      </c>
      <c r="CE193" s="207">
        <v>2362034.720120069</v>
      </c>
      <c r="CF193" s="207">
        <v>0</v>
      </c>
      <c r="CG193" s="207">
        <v>-9178459.752843553</v>
      </c>
      <c r="CH193" s="207">
        <v>-2298801</v>
      </c>
      <c r="CI193" s="207">
        <v>807596.9642</v>
      </c>
      <c r="CJ193" s="207">
        <v>1133748.68886</v>
      </c>
      <c r="CK193" s="207">
        <v>-326151.72466000007</v>
      </c>
      <c r="CL193" s="207">
        <v>40721440.52115229</v>
      </c>
      <c r="CM193" s="207">
        <v>51941600.33906614</v>
      </c>
      <c r="CN193" s="207">
        <v>50159</v>
      </c>
    </row>
    <row r="194" spans="1:92" ht="9.75">
      <c r="A194" s="207">
        <v>614</v>
      </c>
      <c r="B194" s="207" t="s">
        <v>250</v>
      </c>
      <c r="C194" s="207">
        <v>3237</v>
      </c>
      <c r="D194" s="207">
        <v>10937599.92</v>
      </c>
      <c r="E194" s="207">
        <v>6667037.452932034</v>
      </c>
      <c r="F194" s="207">
        <v>2834691.230637134</v>
      </c>
      <c r="G194" s="207">
        <v>20439328.603569165</v>
      </c>
      <c r="H194" s="207">
        <v>3654.72</v>
      </c>
      <c r="I194" s="207">
        <v>11830328.639999999</v>
      </c>
      <c r="J194" s="207">
        <v>8608999.963569166</v>
      </c>
      <c r="K194" s="207">
        <v>3313311.997751415</v>
      </c>
      <c r="L194" s="207">
        <v>-473335.17841152987</v>
      </c>
      <c r="M194" s="207">
        <v>0</v>
      </c>
      <c r="N194" s="207">
        <v>11448976.78290905</v>
      </c>
      <c r="O194" s="207">
        <v>3661034.547395816</v>
      </c>
      <c r="P194" s="207">
        <v>15110011.330304867</v>
      </c>
      <c r="Q194" s="207">
        <v>88</v>
      </c>
      <c r="R194" s="207">
        <v>19</v>
      </c>
      <c r="S194" s="207">
        <v>128</v>
      </c>
      <c r="T194" s="207">
        <v>80</v>
      </c>
      <c r="U194" s="207">
        <v>91</v>
      </c>
      <c r="V194" s="207">
        <v>1601</v>
      </c>
      <c r="W194" s="207">
        <v>712</v>
      </c>
      <c r="X194" s="207">
        <v>399</v>
      </c>
      <c r="Y194" s="207">
        <v>119</v>
      </c>
      <c r="Z194" s="207">
        <v>4</v>
      </c>
      <c r="AA194" s="207">
        <v>0</v>
      </c>
      <c r="AB194" s="207">
        <v>3200</v>
      </c>
      <c r="AC194" s="207">
        <v>33</v>
      </c>
      <c r="AD194" s="207">
        <v>1230</v>
      </c>
      <c r="AE194" s="480">
        <v>1.7484165348692757</v>
      </c>
      <c r="AF194" s="207">
        <v>6667037.452932034</v>
      </c>
      <c r="AG194" s="175">
        <v>200</v>
      </c>
      <c r="AH194" s="175">
        <v>1361</v>
      </c>
      <c r="AI194" s="175">
        <v>1.5062467031175162</v>
      </c>
      <c r="AJ194" s="175">
        <v>33</v>
      </c>
      <c r="AK194" s="175">
        <v>0.010194624652455977</v>
      </c>
      <c r="AL194" s="175">
        <v>0.006913545541992981</v>
      </c>
      <c r="AM194" s="175">
        <v>0</v>
      </c>
      <c r="AN194" s="175">
        <v>4</v>
      </c>
      <c r="AO194" s="175">
        <v>0</v>
      </c>
      <c r="AP194" s="175">
        <v>0</v>
      </c>
      <c r="AQ194" s="175">
        <v>0</v>
      </c>
      <c r="AR194" s="175">
        <v>3039.79</v>
      </c>
      <c r="AS194" s="175">
        <v>1.0648761921053758</v>
      </c>
      <c r="AT194" s="175">
        <v>17.044725269918583</v>
      </c>
      <c r="AU194" s="175">
        <v>127</v>
      </c>
      <c r="AV194" s="175">
        <v>768</v>
      </c>
      <c r="AW194" s="175">
        <v>0.16536458333333334</v>
      </c>
      <c r="AX194" s="175">
        <v>0.10990334960384834</v>
      </c>
      <c r="AY194" s="175">
        <v>1.5309166666666667</v>
      </c>
      <c r="AZ194" s="207">
        <v>914</v>
      </c>
      <c r="BA194" s="175">
        <v>1024</v>
      </c>
      <c r="BB194" s="175">
        <v>0.892578125</v>
      </c>
      <c r="BC194" s="175">
        <v>0.5028832775762881</v>
      </c>
      <c r="BD194" s="175">
        <v>0</v>
      </c>
      <c r="BE194" s="175">
        <v>0</v>
      </c>
      <c r="BF194" s="207">
        <v>-20886.1</v>
      </c>
      <c r="BG194" s="207">
        <v>-25553.2</v>
      </c>
      <c r="BH194" s="207">
        <v>-13271.699999999999</v>
      </c>
      <c r="BI194" s="207">
        <v>-55277</v>
      </c>
      <c r="BJ194" s="207">
        <v>0</v>
      </c>
      <c r="BK194" s="207">
        <v>0</v>
      </c>
      <c r="BL194" s="207">
        <v>73754</v>
      </c>
      <c r="BM194" s="207">
        <v>-33850.720374027005</v>
      </c>
      <c r="BN194" s="207">
        <v>-137766.72</v>
      </c>
      <c r="BO194" s="207">
        <v>-161676.7909724284</v>
      </c>
      <c r="BP194" s="207">
        <v>388225</v>
      </c>
      <c r="BQ194" s="207">
        <v>132356</v>
      </c>
      <c r="BR194" s="207">
        <v>346191.88857336773</v>
      </c>
      <c r="BS194" s="207">
        <v>20772.919122280637</v>
      </c>
      <c r="BT194" s="207">
        <v>57066.91880422467</v>
      </c>
      <c r="BU194" s="207">
        <v>160530.7477414575</v>
      </c>
      <c r="BV194" s="207">
        <v>211708.16998792533</v>
      </c>
      <c r="BW194" s="207">
        <v>327515.5728103581</v>
      </c>
      <c r="BX194" s="207">
        <v>96131.70210940945</v>
      </c>
      <c r="BY194" s="207">
        <v>174842.47341730597</v>
      </c>
      <c r="BZ194" s="207">
        <v>291.33</v>
      </c>
      <c r="CA194" s="207">
        <v>148.1429349255268</v>
      </c>
      <c r="CB194" s="207">
        <v>-87483.31803750288</v>
      </c>
      <c r="CC194" s="207">
        <v>-473335.17841152987</v>
      </c>
      <c r="CD194" s="207">
        <v>0</v>
      </c>
      <c r="CE194" s="207">
        <v>246134.0406231344</v>
      </c>
      <c r="CF194" s="207">
        <v>0</v>
      </c>
      <c r="CG194" s="207">
        <v>3661034.547395816</v>
      </c>
      <c r="CH194" s="207">
        <v>64344</v>
      </c>
      <c r="CI194" s="207">
        <v>32692.6561</v>
      </c>
      <c r="CJ194" s="207">
        <v>77483.63399999999</v>
      </c>
      <c r="CK194" s="207">
        <v>-44790.97789999999</v>
      </c>
      <c r="CL194" s="207">
        <v>15174355.330304867</v>
      </c>
      <c r="CM194" s="207">
        <v>16639273.569899028</v>
      </c>
      <c r="CN194" s="207">
        <v>3310</v>
      </c>
    </row>
    <row r="195" spans="1:92" ht="9.75">
      <c r="A195" s="207">
        <v>615</v>
      </c>
      <c r="B195" s="207" t="s">
        <v>251</v>
      </c>
      <c r="C195" s="207">
        <v>7990</v>
      </c>
      <c r="D195" s="207">
        <v>31100949.819999997</v>
      </c>
      <c r="E195" s="207">
        <v>14216883.129314663</v>
      </c>
      <c r="F195" s="207">
        <v>5596805.985539244</v>
      </c>
      <c r="G195" s="207">
        <v>50914638.934853904</v>
      </c>
      <c r="H195" s="207">
        <v>3654.72</v>
      </c>
      <c r="I195" s="207">
        <v>29201212.799999997</v>
      </c>
      <c r="J195" s="207">
        <v>21713426.134853907</v>
      </c>
      <c r="K195" s="207">
        <v>4005494.5877904445</v>
      </c>
      <c r="L195" s="207">
        <v>-1083260.2261530012</v>
      </c>
      <c r="M195" s="207">
        <v>0</v>
      </c>
      <c r="N195" s="207">
        <v>24635660.49649135</v>
      </c>
      <c r="O195" s="207">
        <v>8405963.678601656</v>
      </c>
      <c r="P195" s="207">
        <v>33041624.175093006</v>
      </c>
      <c r="Q195" s="207">
        <v>457</v>
      </c>
      <c r="R195" s="207">
        <v>89</v>
      </c>
      <c r="S195" s="207">
        <v>547</v>
      </c>
      <c r="T195" s="207">
        <v>293</v>
      </c>
      <c r="U195" s="207">
        <v>284</v>
      </c>
      <c r="V195" s="207">
        <v>3890</v>
      </c>
      <c r="W195" s="207">
        <v>1292</v>
      </c>
      <c r="X195" s="207">
        <v>827</v>
      </c>
      <c r="Y195" s="207">
        <v>311</v>
      </c>
      <c r="Z195" s="207">
        <v>9</v>
      </c>
      <c r="AA195" s="207">
        <v>3</v>
      </c>
      <c r="AB195" s="207">
        <v>7808</v>
      </c>
      <c r="AC195" s="207">
        <v>170</v>
      </c>
      <c r="AD195" s="207">
        <v>2430</v>
      </c>
      <c r="AE195" s="480">
        <v>1.5104707634665002</v>
      </c>
      <c r="AF195" s="207">
        <v>14216883.129314663</v>
      </c>
      <c r="AG195" s="175">
        <v>383</v>
      </c>
      <c r="AH195" s="175">
        <v>3113</v>
      </c>
      <c r="AI195" s="175">
        <v>1.2610836415148503</v>
      </c>
      <c r="AJ195" s="175">
        <v>170</v>
      </c>
      <c r="AK195" s="175">
        <v>0.02127659574468085</v>
      </c>
      <c r="AL195" s="175">
        <v>0.017995516634217855</v>
      </c>
      <c r="AM195" s="175">
        <v>0</v>
      </c>
      <c r="AN195" s="175">
        <v>9</v>
      </c>
      <c r="AO195" s="175">
        <v>3</v>
      </c>
      <c r="AP195" s="175">
        <v>0</v>
      </c>
      <c r="AQ195" s="175">
        <v>0</v>
      </c>
      <c r="AR195" s="175">
        <v>5638.16</v>
      </c>
      <c r="AS195" s="175">
        <v>1.417128992437249</v>
      </c>
      <c r="AT195" s="175">
        <v>12.807953431040179</v>
      </c>
      <c r="AU195" s="175">
        <v>280</v>
      </c>
      <c r="AV195" s="175">
        <v>1855</v>
      </c>
      <c r="AW195" s="175">
        <v>0.1509433962264151</v>
      </c>
      <c r="AX195" s="175">
        <v>0.09548216249693009</v>
      </c>
      <c r="AY195" s="175">
        <v>1.4268999999999998</v>
      </c>
      <c r="AZ195" s="207">
        <v>2517</v>
      </c>
      <c r="BA195" s="175">
        <v>2529</v>
      </c>
      <c r="BB195" s="175">
        <v>0.9952550415183867</v>
      </c>
      <c r="BC195" s="175">
        <v>0.6055601940946749</v>
      </c>
      <c r="BD195" s="175">
        <v>0</v>
      </c>
      <c r="BE195" s="175">
        <v>3</v>
      </c>
      <c r="BF195" s="207">
        <v>-51129.93</v>
      </c>
      <c r="BG195" s="207">
        <v>-62555.159999999996</v>
      </c>
      <c r="BH195" s="207">
        <v>-32758.999999999996</v>
      </c>
      <c r="BI195" s="207">
        <v>-135320.1</v>
      </c>
      <c r="BJ195" s="207">
        <v>0</v>
      </c>
      <c r="BK195" s="207">
        <v>0</v>
      </c>
      <c r="BL195" s="207">
        <v>420717</v>
      </c>
      <c r="BM195" s="207">
        <v>-158914.9336025585</v>
      </c>
      <c r="BN195" s="207">
        <v>-340054.4</v>
      </c>
      <c r="BO195" s="207">
        <v>-466887.4905638397</v>
      </c>
      <c r="BP195" s="207">
        <v>805732</v>
      </c>
      <c r="BQ195" s="207">
        <v>241095</v>
      </c>
      <c r="BR195" s="207">
        <v>688020.9831289338</v>
      </c>
      <c r="BS195" s="207">
        <v>36509.242249512936</v>
      </c>
      <c r="BT195" s="207">
        <v>95626.54889223831</v>
      </c>
      <c r="BU195" s="207">
        <v>348466.6260850866</v>
      </c>
      <c r="BV195" s="207">
        <v>455622.06844321423</v>
      </c>
      <c r="BW195" s="207">
        <v>656757.2029113228</v>
      </c>
      <c r="BX195" s="207">
        <v>192948.82523202122</v>
      </c>
      <c r="BY195" s="207">
        <v>373608.3753078873</v>
      </c>
      <c r="BZ195" s="207">
        <v>719.1</v>
      </c>
      <c r="CA195" s="207">
        <v>-12101.911986603023</v>
      </c>
      <c r="CB195" s="207">
        <v>-57553.3025504427</v>
      </c>
      <c r="CC195" s="207">
        <v>-1083260.2261530012</v>
      </c>
      <c r="CD195" s="207">
        <v>0</v>
      </c>
      <c r="CE195" s="207">
        <v>508458.22630120337</v>
      </c>
      <c r="CF195" s="207">
        <v>0</v>
      </c>
      <c r="CG195" s="207">
        <v>8405963.678601656</v>
      </c>
      <c r="CH195" s="207">
        <v>-10153</v>
      </c>
      <c r="CI195" s="207">
        <v>62530.652</v>
      </c>
      <c r="CJ195" s="207">
        <v>39489.466100000005</v>
      </c>
      <c r="CK195" s="207">
        <v>23041.185899999997</v>
      </c>
      <c r="CL195" s="207">
        <v>33031471.175093006</v>
      </c>
      <c r="CM195" s="207">
        <v>35759489.87830198</v>
      </c>
      <c r="CN195" s="207">
        <v>8103</v>
      </c>
    </row>
    <row r="196" spans="1:92" ht="9.75">
      <c r="A196" s="207">
        <v>616</v>
      </c>
      <c r="B196" s="207" t="s">
        <v>252</v>
      </c>
      <c r="C196" s="207">
        <v>1899</v>
      </c>
      <c r="D196" s="207">
        <v>6718912.32</v>
      </c>
      <c r="E196" s="207">
        <v>2120498.3144740216</v>
      </c>
      <c r="F196" s="207">
        <v>433577.8541652804</v>
      </c>
      <c r="G196" s="207">
        <v>9272988.488639303</v>
      </c>
      <c r="H196" s="207">
        <v>3654.72</v>
      </c>
      <c r="I196" s="207">
        <v>6940313.279999999</v>
      </c>
      <c r="J196" s="207">
        <v>2332675.208639303</v>
      </c>
      <c r="K196" s="207">
        <v>26900.70537367464</v>
      </c>
      <c r="L196" s="207">
        <v>-231243.67777161888</v>
      </c>
      <c r="M196" s="207">
        <v>0</v>
      </c>
      <c r="N196" s="207">
        <v>2128332.236241359</v>
      </c>
      <c r="O196" s="207">
        <v>1170490.222517071</v>
      </c>
      <c r="P196" s="207">
        <v>3298822.4587584296</v>
      </c>
      <c r="Q196" s="207">
        <v>112</v>
      </c>
      <c r="R196" s="207">
        <v>20</v>
      </c>
      <c r="S196" s="207">
        <v>135</v>
      </c>
      <c r="T196" s="207">
        <v>71</v>
      </c>
      <c r="U196" s="207">
        <v>72</v>
      </c>
      <c r="V196" s="207">
        <v>1057</v>
      </c>
      <c r="W196" s="207">
        <v>242</v>
      </c>
      <c r="X196" s="207">
        <v>139</v>
      </c>
      <c r="Y196" s="207">
        <v>51</v>
      </c>
      <c r="Z196" s="207">
        <v>18</v>
      </c>
      <c r="AA196" s="207">
        <v>0</v>
      </c>
      <c r="AB196" s="207">
        <v>1823</v>
      </c>
      <c r="AC196" s="207">
        <v>58</v>
      </c>
      <c r="AD196" s="207">
        <v>432</v>
      </c>
      <c r="AE196" s="480">
        <v>0.9479112473967719</v>
      </c>
      <c r="AF196" s="207">
        <v>2120498.3144740216</v>
      </c>
      <c r="AG196" s="175">
        <v>85</v>
      </c>
      <c r="AH196" s="175">
        <v>935</v>
      </c>
      <c r="AI196" s="175">
        <v>0.9318189831558816</v>
      </c>
      <c r="AJ196" s="175">
        <v>58</v>
      </c>
      <c r="AK196" s="175">
        <v>0.030542390731964193</v>
      </c>
      <c r="AL196" s="175">
        <v>0.027261311621501198</v>
      </c>
      <c r="AM196" s="175">
        <v>0</v>
      </c>
      <c r="AN196" s="175">
        <v>18</v>
      </c>
      <c r="AO196" s="175">
        <v>0</v>
      </c>
      <c r="AP196" s="175">
        <v>0</v>
      </c>
      <c r="AQ196" s="175">
        <v>0</v>
      </c>
      <c r="AR196" s="175">
        <v>145.03</v>
      </c>
      <c r="AS196" s="175">
        <v>13.093842653244156</v>
      </c>
      <c r="AT196" s="175">
        <v>1.386187586148835</v>
      </c>
      <c r="AU196" s="175">
        <v>84</v>
      </c>
      <c r="AV196" s="175">
        <v>606</v>
      </c>
      <c r="AW196" s="175">
        <v>0.13861386138613863</v>
      </c>
      <c r="AX196" s="175">
        <v>0.08315262765665363</v>
      </c>
      <c r="AY196" s="175">
        <v>0</v>
      </c>
      <c r="AZ196" s="207">
        <v>497</v>
      </c>
      <c r="BA196" s="175">
        <v>820</v>
      </c>
      <c r="BB196" s="175">
        <v>0.6060975609756097</v>
      </c>
      <c r="BC196" s="175">
        <v>0.21640271355189789</v>
      </c>
      <c r="BD196" s="175">
        <v>0</v>
      </c>
      <c r="BE196" s="175">
        <v>0</v>
      </c>
      <c r="BF196" s="207">
        <v>-12241.4</v>
      </c>
      <c r="BG196" s="207">
        <v>-14976.8</v>
      </c>
      <c r="BH196" s="207">
        <v>-7785.9</v>
      </c>
      <c r="BI196" s="207">
        <v>-32398</v>
      </c>
      <c r="BJ196" s="207">
        <v>0</v>
      </c>
      <c r="BK196" s="207">
        <v>0</v>
      </c>
      <c r="BL196" s="207">
        <v>3269</v>
      </c>
      <c r="BM196" s="207">
        <v>-73314.2288776899</v>
      </c>
      <c r="BN196" s="207">
        <v>-80821.44</v>
      </c>
      <c r="BO196" s="207">
        <v>50486.45994817</v>
      </c>
      <c r="BP196" s="207">
        <v>169950</v>
      </c>
      <c r="BQ196" s="207">
        <v>60269</v>
      </c>
      <c r="BR196" s="207">
        <v>134916.29841328936</v>
      </c>
      <c r="BS196" s="207">
        <v>5613.310900917095</v>
      </c>
      <c r="BT196" s="207">
        <v>26742.79937552646</v>
      </c>
      <c r="BU196" s="207">
        <v>40079.038482578464</v>
      </c>
      <c r="BV196" s="207">
        <v>126662.72441790301</v>
      </c>
      <c r="BW196" s="207">
        <v>192233.72481729407</v>
      </c>
      <c r="BX196" s="207">
        <v>54526.841074924756</v>
      </c>
      <c r="BY196" s="207">
        <v>91988.06653750643</v>
      </c>
      <c r="BZ196" s="207">
        <v>170.91</v>
      </c>
      <c r="CA196" s="207">
        <v>-5408.938842098967</v>
      </c>
      <c r="CB196" s="207">
        <v>48517.43110607103</v>
      </c>
      <c r="CC196" s="207">
        <v>-231243.67777161888</v>
      </c>
      <c r="CD196" s="207">
        <v>0</v>
      </c>
      <c r="CE196" s="207">
        <v>123308.51827207985</v>
      </c>
      <c r="CF196" s="207">
        <v>0</v>
      </c>
      <c r="CG196" s="207">
        <v>1170490.222517071</v>
      </c>
      <c r="CH196" s="207">
        <v>-476930</v>
      </c>
      <c r="CI196" s="207">
        <v>27187.24</v>
      </c>
      <c r="CJ196" s="207">
        <v>829210.8199999998</v>
      </c>
      <c r="CK196" s="207">
        <v>-802023.5799999998</v>
      </c>
      <c r="CL196" s="207">
        <v>2821892.4587584296</v>
      </c>
      <c r="CM196" s="207">
        <v>3569522.931447014</v>
      </c>
      <c r="CN196" s="207">
        <v>1940</v>
      </c>
    </row>
    <row r="197" spans="1:92" ht="9.75">
      <c r="A197" s="207">
        <v>619</v>
      </c>
      <c r="B197" s="207" t="s">
        <v>253</v>
      </c>
      <c r="C197" s="207">
        <v>2896</v>
      </c>
      <c r="D197" s="207">
        <v>11743787.69</v>
      </c>
      <c r="E197" s="207">
        <v>4146865.347646253</v>
      </c>
      <c r="F197" s="207">
        <v>704655.7779846801</v>
      </c>
      <c r="G197" s="207">
        <v>16595308.815630933</v>
      </c>
      <c r="H197" s="207">
        <v>3654.72</v>
      </c>
      <c r="I197" s="207">
        <v>10584069.12</v>
      </c>
      <c r="J197" s="207">
        <v>6011239.695630934</v>
      </c>
      <c r="K197" s="207">
        <v>84692.07350965202</v>
      </c>
      <c r="L197" s="207">
        <v>-263299.43481994036</v>
      </c>
      <c r="M197" s="207">
        <v>0</v>
      </c>
      <c r="N197" s="207">
        <v>5832632.334320646</v>
      </c>
      <c r="O197" s="207">
        <v>2911005.7584266905</v>
      </c>
      <c r="P197" s="207">
        <v>8743638.092747336</v>
      </c>
      <c r="Q197" s="207">
        <v>124</v>
      </c>
      <c r="R197" s="207">
        <v>23</v>
      </c>
      <c r="S197" s="207">
        <v>166</v>
      </c>
      <c r="T197" s="207">
        <v>99</v>
      </c>
      <c r="U197" s="207">
        <v>88</v>
      </c>
      <c r="V197" s="207">
        <v>1426</v>
      </c>
      <c r="W197" s="207">
        <v>484</v>
      </c>
      <c r="X197" s="207">
        <v>312</v>
      </c>
      <c r="Y197" s="207">
        <v>174</v>
      </c>
      <c r="Z197" s="207">
        <v>4</v>
      </c>
      <c r="AA197" s="207">
        <v>0</v>
      </c>
      <c r="AB197" s="207">
        <v>2793</v>
      </c>
      <c r="AC197" s="207">
        <v>99</v>
      </c>
      <c r="AD197" s="207">
        <v>970</v>
      </c>
      <c r="AE197" s="480">
        <v>1.2155591189669297</v>
      </c>
      <c r="AF197" s="207">
        <v>4146865.347646253</v>
      </c>
      <c r="AG197" s="175">
        <v>62</v>
      </c>
      <c r="AH197" s="175">
        <v>1199</v>
      </c>
      <c r="AI197" s="175">
        <v>0.5300254766574739</v>
      </c>
      <c r="AJ197" s="175">
        <v>99</v>
      </c>
      <c r="AK197" s="175">
        <v>0.03418508287292818</v>
      </c>
      <c r="AL197" s="175">
        <v>0.030904003762465184</v>
      </c>
      <c r="AM197" s="175">
        <v>0</v>
      </c>
      <c r="AN197" s="175">
        <v>4</v>
      </c>
      <c r="AO197" s="175">
        <v>0</v>
      </c>
      <c r="AP197" s="175">
        <v>0</v>
      </c>
      <c r="AQ197" s="175">
        <v>0</v>
      </c>
      <c r="AR197" s="175">
        <v>361.08</v>
      </c>
      <c r="AS197" s="175">
        <v>8.020383294560762</v>
      </c>
      <c r="AT197" s="175">
        <v>2.263049217762752</v>
      </c>
      <c r="AU197" s="175">
        <v>118</v>
      </c>
      <c r="AV197" s="175">
        <v>727</v>
      </c>
      <c r="AW197" s="175">
        <v>0.1623108665749656</v>
      </c>
      <c r="AX197" s="175">
        <v>0.1068496328454806</v>
      </c>
      <c r="AY197" s="175">
        <v>0</v>
      </c>
      <c r="AZ197" s="207">
        <v>895</v>
      </c>
      <c r="BA197" s="175">
        <v>1070</v>
      </c>
      <c r="BB197" s="175">
        <v>0.8364485981308412</v>
      </c>
      <c r="BC197" s="175">
        <v>0.4467537507071293</v>
      </c>
      <c r="BD197" s="175">
        <v>0</v>
      </c>
      <c r="BE197" s="175">
        <v>0</v>
      </c>
      <c r="BF197" s="207">
        <v>-18608.19</v>
      </c>
      <c r="BG197" s="207">
        <v>-22766.28</v>
      </c>
      <c r="BH197" s="207">
        <v>-11873.599999999999</v>
      </c>
      <c r="BI197" s="207">
        <v>-49248.299999999996</v>
      </c>
      <c r="BJ197" s="207">
        <v>0</v>
      </c>
      <c r="BK197" s="207">
        <v>0</v>
      </c>
      <c r="BL197" s="207">
        <v>-2031</v>
      </c>
      <c r="BM197" s="207">
        <v>-109595.0743598833</v>
      </c>
      <c r="BN197" s="207">
        <v>-123253.76000000001</v>
      </c>
      <c r="BO197" s="207">
        <v>164582.84655112214</v>
      </c>
      <c r="BP197" s="207">
        <v>336617</v>
      </c>
      <c r="BQ197" s="207">
        <v>105974</v>
      </c>
      <c r="BR197" s="207">
        <v>275176.4261463324</v>
      </c>
      <c r="BS197" s="207">
        <v>17270.633688822705</v>
      </c>
      <c r="BT197" s="207">
        <v>36750.65009825855</v>
      </c>
      <c r="BU197" s="207">
        <v>126163.3288833969</v>
      </c>
      <c r="BV197" s="207">
        <v>187520.19939022846</v>
      </c>
      <c r="BW197" s="207">
        <v>296557.1127692157</v>
      </c>
      <c r="BX197" s="207">
        <v>89942.95135549175</v>
      </c>
      <c r="BY197" s="207">
        <v>155477.05861407673</v>
      </c>
      <c r="BZ197" s="207">
        <v>260.64</v>
      </c>
      <c r="CA197" s="207">
        <v>-1975.3570111791305</v>
      </c>
      <c r="CB197" s="207">
        <v>160837.12953994304</v>
      </c>
      <c r="CC197" s="207">
        <v>-263299.43481994036</v>
      </c>
      <c r="CD197" s="207">
        <v>0</v>
      </c>
      <c r="CE197" s="207">
        <v>222713.9343300869</v>
      </c>
      <c r="CF197" s="207">
        <v>0</v>
      </c>
      <c r="CG197" s="207">
        <v>2911005.7584266905</v>
      </c>
      <c r="CH197" s="207">
        <v>37793</v>
      </c>
      <c r="CI197" s="207">
        <v>222935.36800000002</v>
      </c>
      <c r="CJ197" s="207">
        <v>50296.39400000001</v>
      </c>
      <c r="CK197" s="207">
        <v>172638.97400000002</v>
      </c>
      <c r="CL197" s="207">
        <v>8781431.092747336</v>
      </c>
      <c r="CM197" s="207">
        <v>9871848.55817774</v>
      </c>
      <c r="CN197" s="207">
        <v>2949</v>
      </c>
    </row>
    <row r="198" spans="1:92" ht="9.75">
      <c r="A198" s="207">
        <v>620</v>
      </c>
      <c r="B198" s="207" t="s">
        <v>254</v>
      </c>
      <c r="C198" s="207">
        <v>2597</v>
      </c>
      <c r="D198" s="207">
        <v>9255406.2</v>
      </c>
      <c r="E198" s="207">
        <v>5909452.825249707</v>
      </c>
      <c r="F198" s="207">
        <v>2327656.9487968786</v>
      </c>
      <c r="G198" s="207">
        <v>17492515.974046584</v>
      </c>
      <c r="H198" s="207">
        <v>3654.72</v>
      </c>
      <c r="I198" s="207">
        <v>9491307.84</v>
      </c>
      <c r="J198" s="207">
        <v>8001208.134046584</v>
      </c>
      <c r="K198" s="207">
        <v>2927928.955157484</v>
      </c>
      <c r="L198" s="207">
        <v>-320867.9989709133</v>
      </c>
      <c r="M198" s="207">
        <v>0</v>
      </c>
      <c r="N198" s="207">
        <v>10608269.090233156</v>
      </c>
      <c r="O198" s="207">
        <v>2333237.2636565394</v>
      </c>
      <c r="P198" s="207">
        <v>12941506.353889696</v>
      </c>
      <c r="Q198" s="207">
        <v>71</v>
      </c>
      <c r="R198" s="207">
        <v>13</v>
      </c>
      <c r="S198" s="207">
        <v>119</v>
      </c>
      <c r="T198" s="207">
        <v>60</v>
      </c>
      <c r="U198" s="207">
        <v>63</v>
      </c>
      <c r="V198" s="207">
        <v>1300</v>
      </c>
      <c r="W198" s="207">
        <v>557</v>
      </c>
      <c r="X198" s="207">
        <v>283</v>
      </c>
      <c r="Y198" s="207">
        <v>131</v>
      </c>
      <c r="Z198" s="207">
        <v>4</v>
      </c>
      <c r="AA198" s="207">
        <v>0</v>
      </c>
      <c r="AB198" s="207">
        <v>2548</v>
      </c>
      <c r="AC198" s="207">
        <v>45</v>
      </c>
      <c r="AD198" s="207">
        <v>971</v>
      </c>
      <c r="AE198" s="480">
        <v>1.931657078936486</v>
      </c>
      <c r="AF198" s="207">
        <v>5909452.825249707</v>
      </c>
      <c r="AG198" s="175">
        <v>147</v>
      </c>
      <c r="AH198" s="175">
        <v>1024</v>
      </c>
      <c r="AI198" s="175">
        <v>1.4714368122686137</v>
      </c>
      <c r="AJ198" s="175">
        <v>45</v>
      </c>
      <c r="AK198" s="175">
        <v>0.01732768579129765</v>
      </c>
      <c r="AL198" s="175">
        <v>0.014046606680834656</v>
      </c>
      <c r="AM198" s="175">
        <v>0</v>
      </c>
      <c r="AN198" s="175">
        <v>4</v>
      </c>
      <c r="AO198" s="175">
        <v>0</v>
      </c>
      <c r="AP198" s="175">
        <v>0</v>
      </c>
      <c r="AQ198" s="175">
        <v>0</v>
      </c>
      <c r="AR198" s="175">
        <v>2461.3</v>
      </c>
      <c r="AS198" s="175">
        <v>1.055133466054524</v>
      </c>
      <c r="AT198" s="175">
        <v>17.202110183068772</v>
      </c>
      <c r="AU198" s="175">
        <v>100</v>
      </c>
      <c r="AV198" s="175">
        <v>576</v>
      </c>
      <c r="AW198" s="175">
        <v>0.1736111111111111</v>
      </c>
      <c r="AX198" s="175">
        <v>0.1181498773816261</v>
      </c>
      <c r="AY198" s="175">
        <v>1.6873</v>
      </c>
      <c r="AZ198" s="207">
        <v>740</v>
      </c>
      <c r="BA198" s="175">
        <v>793</v>
      </c>
      <c r="BB198" s="175">
        <v>0.9331651954602774</v>
      </c>
      <c r="BC198" s="175">
        <v>0.5434703480365656</v>
      </c>
      <c r="BD198" s="175">
        <v>0</v>
      </c>
      <c r="BE198" s="175">
        <v>0</v>
      </c>
      <c r="BF198" s="207">
        <v>-16841.39</v>
      </c>
      <c r="BG198" s="207">
        <v>-20604.68</v>
      </c>
      <c r="BH198" s="207">
        <v>-10647.699999999999</v>
      </c>
      <c r="BI198" s="207">
        <v>-44572.299999999996</v>
      </c>
      <c r="BJ198" s="207">
        <v>0</v>
      </c>
      <c r="BK198" s="207">
        <v>0</v>
      </c>
      <c r="BL198" s="207">
        <v>133095</v>
      </c>
      <c r="BM198" s="207">
        <v>-64058.72844054847</v>
      </c>
      <c r="BN198" s="207">
        <v>-110528.32</v>
      </c>
      <c r="BO198" s="207">
        <v>-69019.54834536463</v>
      </c>
      <c r="BP198" s="207">
        <v>322815</v>
      </c>
      <c r="BQ198" s="207">
        <v>97700</v>
      </c>
      <c r="BR198" s="207">
        <v>244790.15556027857</v>
      </c>
      <c r="BS198" s="207">
        <v>14632.251434991533</v>
      </c>
      <c r="BT198" s="207">
        <v>24727.2558363038</v>
      </c>
      <c r="BU198" s="207">
        <v>130873.78517567727</v>
      </c>
      <c r="BV198" s="207">
        <v>148340.0917950246</v>
      </c>
      <c r="BW198" s="207">
        <v>236625.1477244411</v>
      </c>
      <c r="BX198" s="207">
        <v>72430.37775755036</v>
      </c>
      <c r="BY198" s="207">
        <v>137823.4190385528</v>
      </c>
      <c r="BZ198" s="207">
        <v>233.73</v>
      </c>
      <c r="CA198" s="207">
        <v>-38300.04218500018</v>
      </c>
      <c r="CB198" s="207">
        <v>26009.139469635193</v>
      </c>
      <c r="CC198" s="207">
        <v>-320867.9989709133</v>
      </c>
      <c r="CD198" s="207">
        <v>0</v>
      </c>
      <c r="CE198" s="207">
        <v>182730.18673995262</v>
      </c>
      <c r="CF198" s="207">
        <v>0</v>
      </c>
      <c r="CG198" s="207">
        <v>2333237.2636565394</v>
      </c>
      <c r="CH198" s="207">
        <v>-58396</v>
      </c>
      <c r="CI198" s="207">
        <v>27187.24</v>
      </c>
      <c r="CJ198" s="207">
        <v>58452.566000000006</v>
      </c>
      <c r="CK198" s="207">
        <v>-31265.326000000005</v>
      </c>
      <c r="CL198" s="207">
        <v>12883110.353889696</v>
      </c>
      <c r="CM198" s="207">
        <v>14113707.324171402</v>
      </c>
      <c r="CN198" s="207">
        <v>2669</v>
      </c>
    </row>
    <row r="199" spans="1:92" ht="9.75">
      <c r="A199" s="207">
        <v>623</v>
      </c>
      <c r="B199" s="207" t="s">
        <v>255</v>
      </c>
      <c r="C199" s="207">
        <v>2197</v>
      </c>
      <c r="D199" s="207">
        <v>7904774.459999999</v>
      </c>
      <c r="E199" s="207">
        <v>4387968.464316538</v>
      </c>
      <c r="F199" s="207">
        <v>1803865.5732386706</v>
      </c>
      <c r="G199" s="207">
        <v>14096608.497555207</v>
      </c>
      <c r="H199" s="207">
        <v>3654.72</v>
      </c>
      <c r="I199" s="207">
        <v>8029419.84</v>
      </c>
      <c r="J199" s="207">
        <v>6067188.657555208</v>
      </c>
      <c r="K199" s="207">
        <v>437929.48575433844</v>
      </c>
      <c r="L199" s="207">
        <v>-38097.943853888864</v>
      </c>
      <c r="M199" s="207">
        <v>0</v>
      </c>
      <c r="N199" s="207">
        <v>6467020.199455657</v>
      </c>
      <c r="O199" s="207">
        <v>840992.7123249911</v>
      </c>
      <c r="P199" s="207">
        <v>7308012.911780648</v>
      </c>
      <c r="Q199" s="207">
        <v>43</v>
      </c>
      <c r="R199" s="207">
        <v>12</v>
      </c>
      <c r="S199" s="207">
        <v>76</v>
      </c>
      <c r="T199" s="207">
        <v>65</v>
      </c>
      <c r="U199" s="207">
        <v>43</v>
      </c>
      <c r="V199" s="207">
        <v>1064</v>
      </c>
      <c r="W199" s="207">
        <v>527</v>
      </c>
      <c r="X199" s="207">
        <v>250</v>
      </c>
      <c r="Y199" s="207">
        <v>117</v>
      </c>
      <c r="Z199" s="207">
        <v>4</v>
      </c>
      <c r="AA199" s="207">
        <v>0</v>
      </c>
      <c r="AB199" s="207">
        <v>2146</v>
      </c>
      <c r="AC199" s="207">
        <v>47</v>
      </c>
      <c r="AD199" s="207">
        <v>894</v>
      </c>
      <c r="AE199" s="480">
        <v>1.6954623507733333</v>
      </c>
      <c r="AF199" s="207">
        <v>4387968.464316538</v>
      </c>
      <c r="AG199" s="175">
        <v>87</v>
      </c>
      <c r="AH199" s="175">
        <v>872</v>
      </c>
      <c r="AI199" s="175">
        <v>1.0226499620185534</v>
      </c>
      <c r="AJ199" s="175">
        <v>47</v>
      </c>
      <c r="AK199" s="175">
        <v>0.021392808375056895</v>
      </c>
      <c r="AL199" s="175">
        <v>0.0181117292645939</v>
      </c>
      <c r="AM199" s="175">
        <v>0</v>
      </c>
      <c r="AN199" s="175">
        <v>4</v>
      </c>
      <c r="AO199" s="175">
        <v>0</v>
      </c>
      <c r="AP199" s="175">
        <v>1</v>
      </c>
      <c r="AQ199" s="175">
        <v>0</v>
      </c>
      <c r="AR199" s="175">
        <v>794.18</v>
      </c>
      <c r="AS199" s="175">
        <v>2.7663753808960188</v>
      </c>
      <c r="AT199" s="175">
        <v>6.5611204705828055</v>
      </c>
      <c r="AU199" s="175">
        <v>74</v>
      </c>
      <c r="AV199" s="175">
        <v>469</v>
      </c>
      <c r="AW199" s="175">
        <v>0.15778251599147122</v>
      </c>
      <c r="AX199" s="175">
        <v>0.10232128226198622</v>
      </c>
      <c r="AY199" s="175">
        <v>0.7927333333333333</v>
      </c>
      <c r="AZ199" s="207">
        <v>626</v>
      </c>
      <c r="BA199" s="175">
        <v>761</v>
      </c>
      <c r="BB199" s="175">
        <v>0.8226018396846255</v>
      </c>
      <c r="BC199" s="175">
        <v>0.43290699226091367</v>
      </c>
      <c r="BD199" s="175">
        <v>0</v>
      </c>
      <c r="BE199" s="175">
        <v>0</v>
      </c>
      <c r="BF199" s="207">
        <v>-13932.48</v>
      </c>
      <c r="BG199" s="207">
        <v>-17045.76</v>
      </c>
      <c r="BH199" s="207">
        <v>-9007.699999999999</v>
      </c>
      <c r="BI199" s="207">
        <v>-36873.6</v>
      </c>
      <c r="BJ199" s="207">
        <v>0</v>
      </c>
      <c r="BK199" s="207">
        <v>0</v>
      </c>
      <c r="BL199" s="207">
        <v>2864</v>
      </c>
      <c r="BM199" s="207">
        <v>-39508.27137301028</v>
      </c>
      <c r="BN199" s="207">
        <v>-93504.32</v>
      </c>
      <c r="BO199" s="207">
        <v>270448.9247596208</v>
      </c>
      <c r="BP199" s="207">
        <v>306712</v>
      </c>
      <c r="BQ199" s="207">
        <v>80932</v>
      </c>
      <c r="BR199" s="207">
        <v>212840.17227451561</v>
      </c>
      <c r="BS199" s="207">
        <v>11757.206041825455</v>
      </c>
      <c r="BT199" s="207">
        <v>28178.923088862364</v>
      </c>
      <c r="BU199" s="207">
        <v>96841.9166642587</v>
      </c>
      <c r="BV199" s="207">
        <v>115917.57965680344</v>
      </c>
      <c r="BW199" s="207">
        <v>195401.13376254923</v>
      </c>
      <c r="BX199" s="207">
        <v>64132.152054768645</v>
      </c>
      <c r="BY199" s="207">
        <v>103884.00046307367</v>
      </c>
      <c r="BZ199" s="207">
        <v>197.73</v>
      </c>
      <c r="CA199" s="207">
        <v>-34376.4472404994</v>
      </c>
      <c r="CB199" s="207">
        <v>239134.20751912138</v>
      </c>
      <c r="CC199" s="207">
        <v>-38097.943853888864</v>
      </c>
      <c r="CD199" s="207">
        <v>0</v>
      </c>
      <c r="CE199" s="207">
        <v>147871.35475768524</v>
      </c>
      <c r="CF199" s="207">
        <v>0</v>
      </c>
      <c r="CG199" s="207">
        <v>840992.7123249911</v>
      </c>
      <c r="CH199" s="207">
        <v>-318437</v>
      </c>
      <c r="CI199" s="207">
        <v>10874.896</v>
      </c>
      <c r="CJ199" s="207">
        <v>114186.40800000001</v>
      </c>
      <c r="CK199" s="207">
        <v>-103311.51200000002</v>
      </c>
      <c r="CL199" s="207">
        <v>6989575.911780648</v>
      </c>
      <c r="CM199" s="207">
        <v>8021607.34788727</v>
      </c>
      <c r="CN199" s="207">
        <v>2208</v>
      </c>
    </row>
    <row r="200" spans="1:92" ht="9.75">
      <c r="A200" s="207">
        <v>624</v>
      </c>
      <c r="B200" s="207" t="s">
        <v>256</v>
      </c>
      <c r="C200" s="207">
        <v>5187</v>
      </c>
      <c r="D200" s="207">
        <v>18705150.7</v>
      </c>
      <c r="E200" s="207">
        <v>6138568.336692003</v>
      </c>
      <c r="F200" s="207">
        <v>1421033.9185471714</v>
      </c>
      <c r="G200" s="207">
        <v>26264752.955239173</v>
      </c>
      <c r="H200" s="207">
        <v>3654.72</v>
      </c>
      <c r="I200" s="207">
        <v>18957032.64</v>
      </c>
      <c r="J200" s="207">
        <v>7307720.315239172</v>
      </c>
      <c r="K200" s="207">
        <v>37212.31478296595</v>
      </c>
      <c r="L200" s="207">
        <v>-347836.3108977814</v>
      </c>
      <c r="M200" s="207">
        <v>0</v>
      </c>
      <c r="N200" s="207">
        <v>6997096.319124357</v>
      </c>
      <c r="O200" s="207">
        <v>1225676.70100012</v>
      </c>
      <c r="P200" s="207">
        <v>8222773.020124476</v>
      </c>
      <c r="Q200" s="207">
        <v>279</v>
      </c>
      <c r="R200" s="207">
        <v>83</v>
      </c>
      <c r="S200" s="207">
        <v>379</v>
      </c>
      <c r="T200" s="207">
        <v>174</v>
      </c>
      <c r="U200" s="207">
        <v>159</v>
      </c>
      <c r="V200" s="207">
        <v>2787</v>
      </c>
      <c r="W200" s="207">
        <v>779</v>
      </c>
      <c r="X200" s="207">
        <v>381</v>
      </c>
      <c r="Y200" s="207">
        <v>166</v>
      </c>
      <c r="Z200" s="207">
        <v>385</v>
      </c>
      <c r="AA200" s="207">
        <v>0</v>
      </c>
      <c r="AB200" s="207">
        <v>4624</v>
      </c>
      <c r="AC200" s="207">
        <v>178</v>
      </c>
      <c r="AD200" s="207">
        <v>1326</v>
      </c>
      <c r="AE200" s="480">
        <v>1.004628643682473</v>
      </c>
      <c r="AF200" s="207">
        <v>6138568.336692003</v>
      </c>
      <c r="AG200" s="175">
        <v>228</v>
      </c>
      <c r="AH200" s="175">
        <v>2447</v>
      </c>
      <c r="AI200" s="175">
        <v>0.9550478176358606</v>
      </c>
      <c r="AJ200" s="175">
        <v>178</v>
      </c>
      <c r="AK200" s="175">
        <v>0.034316560632350106</v>
      </c>
      <c r="AL200" s="175">
        <v>0.03103548152188711</v>
      </c>
      <c r="AM200" s="175">
        <v>1</v>
      </c>
      <c r="AN200" s="175">
        <v>385</v>
      </c>
      <c r="AO200" s="175">
        <v>0</v>
      </c>
      <c r="AP200" s="175">
        <v>3</v>
      </c>
      <c r="AQ200" s="175">
        <v>193</v>
      </c>
      <c r="AR200" s="175">
        <v>324.75</v>
      </c>
      <c r="AS200" s="175">
        <v>15.97228637413395</v>
      </c>
      <c r="AT200" s="175">
        <v>1.1363759524313772</v>
      </c>
      <c r="AU200" s="175">
        <v>216</v>
      </c>
      <c r="AV200" s="175">
        <v>1672</v>
      </c>
      <c r="AW200" s="175">
        <v>0.1291866028708134</v>
      </c>
      <c r="AX200" s="175">
        <v>0.0737253691413284</v>
      </c>
      <c r="AY200" s="175">
        <v>0</v>
      </c>
      <c r="AZ200" s="207">
        <v>1056</v>
      </c>
      <c r="BA200" s="175">
        <v>2115</v>
      </c>
      <c r="BB200" s="175">
        <v>0.49929078014184397</v>
      </c>
      <c r="BC200" s="175">
        <v>0.10959593271813212</v>
      </c>
      <c r="BD200" s="175">
        <v>0</v>
      </c>
      <c r="BE200" s="175">
        <v>0</v>
      </c>
      <c r="BF200" s="207">
        <v>-33215.84</v>
      </c>
      <c r="BG200" s="207">
        <v>-40638.08</v>
      </c>
      <c r="BH200" s="207">
        <v>-21266.699999999997</v>
      </c>
      <c r="BI200" s="207">
        <v>-87908.8</v>
      </c>
      <c r="BJ200" s="207">
        <v>0</v>
      </c>
      <c r="BK200" s="207">
        <v>0</v>
      </c>
      <c r="BL200" s="207">
        <v>97136</v>
      </c>
      <c r="BM200" s="207">
        <v>-105377.63266941978</v>
      </c>
      <c r="BN200" s="207">
        <v>-220758.72</v>
      </c>
      <c r="BO200" s="207">
        <v>190396.44915563427</v>
      </c>
      <c r="BP200" s="207">
        <v>373776</v>
      </c>
      <c r="BQ200" s="207">
        <v>115577</v>
      </c>
      <c r="BR200" s="207">
        <v>235069.5784648998</v>
      </c>
      <c r="BS200" s="207">
        <v>9112.403436958746</v>
      </c>
      <c r="BT200" s="207">
        <v>-127110.83688082914</v>
      </c>
      <c r="BU200" s="207">
        <v>99430.33695296093</v>
      </c>
      <c r="BV200" s="207">
        <v>228962.00169117263</v>
      </c>
      <c r="BW200" s="207">
        <v>403407.92759863316</v>
      </c>
      <c r="BX200" s="207">
        <v>117512.97516334013</v>
      </c>
      <c r="BY200" s="207">
        <v>200386.0547264546</v>
      </c>
      <c r="BZ200" s="207">
        <v>466.83</v>
      </c>
      <c r="CA200" s="207">
        <v>32363.60261600413</v>
      </c>
      <c r="CB200" s="207">
        <v>320362.8817716384</v>
      </c>
      <c r="CC200" s="207">
        <v>-347836.3108977814</v>
      </c>
      <c r="CD200" s="207">
        <v>0</v>
      </c>
      <c r="CE200" s="207">
        <v>250593.10278812898</v>
      </c>
      <c r="CF200" s="207">
        <v>0</v>
      </c>
      <c r="CG200" s="207">
        <v>1225676.70100012</v>
      </c>
      <c r="CH200" s="207">
        <v>-844631</v>
      </c>
      <c r="CI200" s="207">
        <v>93863.9461</v>
      </c>
      <c r="CJ200" s="207">
        <v>321924.10884</v>
      </c>
      <c r="CK200" s="207">
        <v>-228060.16274</v>
      </c>
      <c r="CL200" s="207">
        <v>7378142.020124476</v>
      </c>
      <c r="CM200" s="207">
        <v>8582530.860852392</v>
      </c>
      <c r="CN200" s="207">
        <v>5264</v>
      </c>
    </row>
    <row r="201" spans="1:92" ht="9.75">
      <c r="A201" s="207">
        <v>625</v>
      </c>
      <c r="B201" s="207" t="s">
        <v>257</v>
      </c>
      <c r="C201" s="207">
        <v>3146</v>
      </c>
      <c r="D201" s="207">
        <v>12332071.499999998</v>
      </c>
      <c r="E201" s="207">
        <v>5240832.616861625</v>
      </c>
      <c r="F201" s="207">
        <v>781563.891167621</v>
      </c>
      <c r="G201" s="207">
        <v>18354468.008029245</v>
      </c>
      <c r="H201" s="207">
        <v>3654.72</v>
      </c>
      <c r="I201" s="207">
        <v>11497749.12</v>
      </c>
      <c r="J201" s="207">
        <v>6856718.888029246</v>
      </c>
      <c r="K201" s="207">
        <v>213647.81397503245</v>
      </c>
      <c r="L201" s="207">
        <v>-388928.8059331619</v>
      </c>
      <c r="M201" s="207">
        <v>0</v>
      </c>
      <c r="N201" s="207">
        <v>6681437.896071116</v>
      </c>
      <c r="O201" s="207">
        <v>2170692.3335202644</v>
      </c>
      <c r="P201" s="207">
        <v>8852130.22959138</v>
      </c>
      <c r="Q201" s="207">
        <v>201</v>
      </c>
      <c r="R201" s="207">
        <v>36</v>
      </c>
      <c r="S201" s="207">
        <v>243</v>
      </c>
      <c r="T201" s="207">
        <v>119</v>
      </c>
      <c r="U201" s="207">
        <v>119</v>
      </c>
      <c r="V201" s="207">
        <v>1537</v>
      </c>
      <c r="W201" s="207">
        <v>521</v>
      </c>
      <c r="X201" s="207">
        <v>246</v>
      </c>
      <c r="Y201" s="207">
        <v>124</v>
      </c>
      <c r="Z201" s="207">
        <v>11</v>
      </c>
      <c r="AA201" s="207">
        <v>0</v>
      </c>
      <c r="AB201" s="207">
        <v>3079</v>
      </c>
      <c r="AC201" s="207">
        <v>56</v>
      </c>
      <c r="AD201" s="207">
        <v>891</v>
      </c>
      <c r="AE201" s="480">
        <v>1.4141526137865597</v>
      </c>
      <c r="AF201" s="207">
        <v>5240832.616861625</v>
      </c>
      <c r="AG201" s="175">
        <v>102</v>
      </c>
      <c r="AH201" s="175">
        <v>1274</v>
      </c>
      <c r="AI201" s="175">
        <v>0.8206443478029035</v>
      </c>
      <c r="AJ201" s="175">
        <v>56</v>
      </c>
      <c r="AK201" s="175">
        <v>0.017800381436745075</v>
      </c>
      <c r="AL201" s="175">
        <v>0.014519302326282079</v>
      </c>
      <c r="AM201" s="175">
        <v>0</v>
      </c>
      <c r="AN201" s="175">
        <v>11</v>
      </c>
      <c r="AO201" s="175">
        <v>0</v>
      </c>
      <c r="AP201" s="175">
        <v>0</v>
      </c>
      <c r="AQ201" s="175">
        <v>0</v>
      </c>
      <c r="AR201" s="175">
        <v>543.01</v>
      </c>
      <c r="AS201" s="175">
        <v>5.793631793152981</v>
      </c>
      <c r="AT201" s="175">
        <v>3.1328401232476994</v>
      </c>
      <c r="AU201" s="175">
        <v>89</v>
      </c>
      <c r="AV201" s="175">
        <v>857</v>
      </c>
      <c r="AW201" s="175">
        <v>0.10385064177362893</v>
      </c>
      <c r="AX201" s="175">
        <v>0.048389408044143926</v>
      </c>
      <c r="AY201" s="175">
        <v>0.1968</v>
      </c>
      <c r="AZ201" s="207">
        <v>890</v>
      </c>
      <c r="BA201" s="175">
        <v>1143</v>
      </c>
      <c r="BB201" s="175">
        <v>0.778652668416448</v>
      </c>
      <c r="BC201" s="175">
        <v>0.3889578209927361</v>
      </c>
      <c r="BD201" s="175">
        <v>0</v>
      </c>
      <c r="BE201" s="175">
        <v>0</v>
      </c>
      <c r="BF201" s="207">
        <v>-20122.59</v>
      </c>
      <c r="BG201" s="207">
        <v>-24619.079999999998</v>
      </c>
      <c r="BH201" s="207">
        <v>-12898.599999999999</v>
      </c>
      <c r="BI201" s="207">
        <v>-53256.299999999996</v>
      </c>
      <c r="BJ201" s="207">
        <v>0</v>
      </c>
      <c r="BK201" s="207">
        <v>0</v>
      </c>
      <c r="BL201" s="207">
        <v>22461</v>
      </c>
      <c r="BM201" s="207">
        <v>-68151.68695632026</v>
      </c>
      <c r="BN201" s="207">
        <v>-133893.76</v>
      </c>
      <c r="BO201" s="207">
        <v>-15316.170387493446</v>
      </c>
      <c r="BP201" s="207">
        <v>278360</v>
      </c>
      <c r="BQ201" s="207">
        <v>90828</v>
      </c>
      <c r="BR201" s="207">
        <v>209003.70193620183</v>
      </c>
      <c r="BS201" s="207">
        <v>9695.638026579994</v>
      </c>
      <c r="BT201" s="207">
        <v>35066.45150657508</v>
      </c>
      <c r="BU201" s="207">
        <v>103455.7139788927</v>
      </c>
      <c r="BV201" s="207">
        <v>169578.02322362876</v>
      </c>
      <c r="BW201" s="207">
        <v>253663.12014994805</v>
      </c>
      <c r="BX201" s="207">
        <v>67489.5917378455</v>
      </c>
      <c r="BY201" s="207">
        <v>122279.33884860553</v>
      </c>
      <c r="BZ201" s="207">
        <v>283.14</v>
      </c>
      <c r="CA201" s="207">
        <v>13041.601410651849</v>
      </c>
      <c r="CB201" s="207">
        <v>20469.5710231584</v>
      </c>
      <c r="CC201" s="207">
        <v>-388928.8059331619</v>
      </c>
      <c r="CD201" s="207">
        <v>0</v>
      </c>
      <c r="CE201" s="207">
        <v>168297.5711680441</v>
      </c>
      <c r="CF201" s="207">
        <v>0</v>
      </c>
      <c r="CG201" s="207">
        <v>2170692.3335202644</v>
      </c>
      <c r="CH201" s="207">
        <v>382319</v>
      </c>
      <c r="CI201" s="207">
        <v>167201.526</v>
      </c>
      <c r="CJ201" s="207">
        <v>43635.5202</v>
      </c>
      <c r="CK201" s="207">
        <v>123566.00580000001</v>
      </c>
      <c r="CL201" s="207">
        <v>9234449.22959138</v>
      </c>
      <c r="CM201" s="207">
        <v>9936621.718092497</v>
      </c>
      <c r="CN201" s="207">
        <v>3189</v>
      </c>
    </row>
    <row r="202" spans="1:92" ht="9.75">
      <c r="A202" s="207">
        <v>626</v>
      </c>
      <c r="B202" s="207" t="s">
        <v>258</v>
      </c>
      <c r="C202" s="207">
        <v>5248</v>
      </c>
      <c r="D202" s="207">
        <v>20470659.03</v>
      </c>
      <c r="E202" s="207">
        <v>10869784.249276819</v>
      </c>
      <c r="F202" s="207">
        <v>1755947.9200251221</v>
      </c>
      <c r="G202" s="207">
        <v>33096391.19930194</v>
      </c>
      <c r="H202" s="207">
        <v>3654.72</v>
      </c>
      <c r="I202" s="207">
        <v>19179970.56</v>
      </c>
      <c r="J202" s="207">
        <v>13916420.63930194</v>
      </c>
      <c r="K202" s="207">
        <v>1308649.4142068431</v>
      </c>
      <c r="L202" s="207">
        <v>-969300.6012127638</v>
      </c>
      <c r="M202" s="207">
        <v>0</v>
      </c>
      <c r="N202" s="207">
        <v>14255769.45229602</v>
      </c>
      <c r="O202" s="207">
        <v>1313839.3801516886</v>
      </c>
      <c r="P202" s="207">
        <v>15569608.83244771</v>
      </c>
      <c r="Q202" s="207">
        <v>285</v>
      </c>
      <c r="R202" s="207">
        <v>55</v>
      </c>
      <c r="S202" s="207">
        <v>326</v>
      </c>
      <c r="T202" s="207">
        <v>167</v>
      </c>
      <c r="U202" s="207">
        <v>136</v>
      </c>
      <c r="V202" s="207">
        <v>2557</v>
      </c>
      <c r="W202" s="207">
        <v>922</v>
      </c>
      <c r="X202" s="207">
        <v>556</v>
      </c>
      <c r="Y202" s="207">
        <v>244</v>
      </c>
      <c r="Z202" s="207">
        <v>12</v>
      </c>
      <c r="AA202" s="207">
        <v>0</v>
      </c>
      <c r="AB202" s="207">
        <v>5175</v>
      </c>
      <c r="AC202" s="207">
        <v>61</v>
      </c>
      <c r="AD202" s="207">
        <v>1722</v>
      </c>
      <c r="AE202" s="480">
        <v>1.7582547817192253</v>
      </c>
      <c r="AF202" s="207">
        <v>10869784.249276819</v>
      </c>
      <c r="AG202" s="175">
        <v>224</v>
      </c>
      <c r="AH202" s="175">
        <v>2064</v>
      </c>
      <c r="AI202" s="175">
        <v>1.1124040574108973</v>
      </c>
      <c r="AJ202" s="175">
        <v>61</v>
      </c>
      <c r="AK202" s="175">
        <v>0.011623475609756097</v>
      </c>
      <c r="AL202" s="175">
        <v>0.008342396499293102</v>
      </c>
      <c r="AM202" s="175">
        <v>0</v>
      </c>
      <c r="AN202" s="175">
        <v>12</v>
      </c>
      <c r="AO202" s="175">
        <v>0</v>
      </c>
      <c r="AP202" s="175">
        <v>0</v>
      </c>
      <c r="AQ202" s="175">
        <v>0</v>
      </c>
      <c r="AR202" s="175">
        <v>1310.8</v>
      </c>
      <c r="AS202" s="175">
        <v>4.003661885871224</v>
      </c>
      <c r="AT202" s="175">
        <v>4.533480263397292</v>
      </c>
      <c r="AU202" s="175">
        <v>178</v>
      </c>
      <c r="AV202" s="175">
        <v>1245</v>
      </c>
      <c r="AW202" s="175">
        <v>0.1429718875502008</v>
      </c>
      <c r="AX202" s="175">
        <v>0.0875106538207158</v>
      </c>
      <c r="AY202" s="175">
        <v>0.9792833333333334</v>
      </c>
      <c r="AZ202" s="207">
        <v>1678</v>
      </c>
      <c r="BA202" s="175">
        <v>1726</v>
      </c>
      <c r="BB202" s="175">
        <v>0.9721900347624566</v>
      </c>
      <c r="BC202" s="175">
        <v>0.5824951873387447</v>
      </c>
      <c r="BD202" s="175">
        <v>0</v>
      </c>
      <c r="BE202" s="175">
        <v>0</v>
      </c>
      <c r="BF202" s="207">
        <v>-33676.47</v>
      </c>
      <c r="BG202" s="207">
        <v>-41201.64</v>
      </c>
      <c r="BH202" s="207">
        <v>-21516.8</v>
      </c>
      <c r="BI202" s="207">
        <v>-89127.9</v>
      </c>
      <c r="BJ202" s="207">
        <v>0</v>
      </c>
      <c r="BK202" s="207">
        <v>0</v>
      </c>
      <c r="BL202" s="207">
        <v>115437</v>
      </c>
      <c r="BM202" s="207">
        <v>-184145.9104694467</v>
      </c>
      <c r="BN202" s="207">
        <v>-223354.88</v>
      </c>
      <c r="BO202" s="207">
        <v>-60032.6572009027</v>
      </c>
      <c r="BP202" s="207">
        <v>568854</v>
      </c>
      <c r="BQ202" s="207">
        <v>160404</v>
      </c>
      <c r="BR202" s="207">
        <v>347711.14435782126</v>
      </c>
      <c r="BS202" s="207">
        <v>18609.89689071376</v>
      </c>
      <c r="BT202" s="207">
        <v>54407.33896008739</v>
      </c>
      <c r="BU202" s="207">
        <v>220486.06081992874</v>
      </c>
      <c r="BV202" s="207">
        <v>276663.9387210996</v>
      </c>
      <c r="BW202" s="207">
        <v>449731.40092725924</v>
      </c>
      <c r="BX202" s="207">
        <v>115058.54717717654</v>
      </c>
      <c r="BY202" s="207">
        <v>223906.49939928832</v>
      </c>
      <c r="BZ202" s="207">
        <v>472.32</v>
      </c>
      <c r="CA202" s="207">
        <v>-271249.98354241444</v>
      </c>
      <c r="CB202" s="207">
        <v>-215373.32074331713</v>
      </c>
      <c r="CC202" s="207">
        <v>-969300.6012127638</v>
      </c>
      <c r="CD202" s="207">
        <v>0</v>
      </c>
      <c r="CE202" s="207">
        <v>306356.2436480395</v>
      </c>
      <c r="CF202" s="207">
        <v>0</v>
      </c>
      <c r="CG202" s="207">
        <v>1313839.3801516886</v>
      </c>
      <c r="CH202" s="207">
        <v>-291209</v>
      </c>
      <c r="CI202" s="207">
        <v>33984.05</v>
      </c>
      <c r="CJ202" s="207">
        <v>100660.7561</v>
      </c>
      <c r="CK202" s="207">
        <v>-66676.7061</v>
      </c>
      <c r="CL202" s="207">
        <v>15278399.83244771</v>
      </c>
      <c r="CM202" s="207">
        <v>16412348.00267261</v>
      </c>
      <c r="CN202" s="207">
        <v>5337</v>
      </c>
    </row>
    <row r="203" spans="1:92" ht="9.75">
      <c r="A203" s="207">
        <v>630</v>
      </c>
      <c r="B203" s="207" t="s">
        <v>259</v>
      </c>
      <c r="C203" s="207">
        <v>1557</v>
      </c>
      <c r="D203" s="207">
        <v>6103413.09</v>
      </c>
      <c r="E203" s="207">
        <v>2120588.420714271</v>
      </c>
      <c r="F203" s="207">
        <v>766821.9916178888</v>
      </c>
      <c r="G203" s="207">
        <v>8990823.502332158</v>
      </c>
      <c r="H203" s="207">
        <v>3654.72</v>
      </c>
      <c r="I203" s="207">
        <v>5690399.04</v>
      </c>
      <c r="J203" s="207">
        <v>3300424.4623321583</v>
      </c>
      <c r="K203" s="207">
        <v>803205.0911880963</v>
      </c>
      <c r="L203" s="207">
        <v>-204914.49646111572</v>
      </c>
      <c r="M203" s="207">
        <v>0</v>
      </c>
      <c r="N203" s="207">
        <v>3898715.057059139</v>
      </c>
      <c r="O203" s="207">
        <v>1318296.2276390663</v>
      </c>
      <c r="P203" s="207">
        <v>5217011.284698205</v>
      </c>
      <c r="Q203" s="207">
        <v>121</v>
      </c>
      <c r="R203" s="207">
        <v>24</v>
      </c>
      <c r="S203" s="207">
        <v>142</v>
      </c>
      <c r="T203" s="207">
        <v>79</v>
      </c>
      <c r="U203" s="207">
        <v>57</v>
      </c>
      <c r="V203" s="207">
        <v>785</v>
      </c>
      <c r="W203" s="207">
        <v>210</v>
      </c>
      <c r="X203" s="207">
        <v>102</v>
      </c>
      <c r="Y203" s="207">
        <v>37</v>
      </c>
      <c r="Z203" s="207">
        <v>0</v>
      </c>
      <c r="AA203" s="207">
        <v>0</v>
      </c>
      <c r="AB203" s="207">
        <v>1534</v>
      </c>
      <c r="AC203" s="207">
        <v>23</v>
      </c>
      <c r="AD203" s="207">
        <v>349</v>
      </c>
      <c r="AE203" s="480">
        <v>1.1561720935597661</v>
      </c>
      <c r="AF203" s="207">
        <v>2120588.420714271</v>
      </c>
      <c r="AG203" s="175">
        <v>54</v>
      </c>
      <c r="AH203" s="175">
        <v>669</v>
      </c>
      <c r="AI203" s="175">
        <v>0.8273549715913209</v>
      </c>
      <c r="AJ203" s="175">
        <v>23</v>
      </c>
      <c r="AK203" s="175">
        <v>0.014771997430956968</v>
      </c>
      <c r="AL203" s="175">
        <v>0.011490918320493971</v>
      </c>
      <c r="AM203" s="175">
        <v>0</v>
      </c>
      <c r="AN203" s="175">
        <v>0</v>
      </c>
      <c r="AO203" s="175">
        <v>0</v>
      </c>
      <c r="AP203" s="175">
        <v>0</v>
      </c>
      <c r="AQ203" s="175">
        <v>0</v>
      </c>
      <c r="AR203" s="175">
        <v>810.67</v>
      </c>
      <c r="AS203" s="175">
        <v>1.9206335500265215</v>
      </c>
      <c r="AT203" s="175">
        <v>9.450278602423944</v>
      </c>
      <c r="AU203" s="175">
        <v>37</v>
      </c>
      <c r="AV203" s="175">
        <v>378</v>
      </c>
      <c r="AW203" s="175">
        <v>0.09788359788359788</v>
      </c>
      <c r="AX203" s="175">
        <v>0.04242236415411287</v>
      </c>
      <c r="AY203" s="175">
        <v>1.4088</v>
      </c>
      <c r="AZ203" s="207">
        <v>779</v>
      </c>
      <c r="BA203" s="175">
        <v>596</v>
      </c>
      <c r="BB203" s="175">
        <v>1.3070469798657718</v>
      </c>
      <c r="BC203" s="175">
        <v>0.9173521324420599</v>
      </c>
      <c r="BD203" s="175">
        <v>0</v>
      </c>
      <c r="BE203" s="175">
        <v>0</v>
      </c>
      <c r="BF203" s="207">
        <v>-9963.49</v>
      </c>
      <c r="BG203" s="207">
        <v>-12189.88</v>
      </c>
      <c r="BH203" s="207">
        <v>-6383.7</v>
      </c>
      <c r="BI203" s="207">
        <v>-26369.3</v>
      </c>
      <c r="BJ203" s="207">
        <v>0</v>
      </c>
      <c r="BK203" s="207">
        <v>0</v>
      </c>
      <c r="BL203" s="207">
        <v>27930</v>
      </c>
      <c r="BM203" s="207">
        <v>-10506.663095141846</v>
      </c>
      <c r="BN203" s="207">
        <v>-66265.92</v>
      </c>
      <c r="BO203" s="207">
        <v>-38762.769205734134</v>
      </c>
      <c r="BP203" s="207">
        <v>142597</v>
      </c>
      <c r="BQ203" s="207">
        <v>43369</v>
      </c>
      <c r="BR203" s="207">
        <v>115066.9355321736</v>
      </c>
      <c r="BS203" s="207">
        <v>6926.724569399294</v>
      </c>
      <c r="BT203" s="207">
        <v>14447.999352274763</v>
      </c>
      <c r="BU203" s="207">
        <v>58673.82537882386</v>
      </c>
      <c r="BV203" s="207">
        <v>84154.45967872407</v>
      </c>
      <c r="BW203" s="207">
        <v>133597.43870718923</v>
      </c>
      <c r="BX203" s="207">
        <v>38246.73357772989</v>
      </c>
      <c r="BY203" s="207">
        <v>71275.45868150082</v>
      </c>
      <c r="BZ203" s="207">
        <v>140.13</v>
      </c>
      <c r="CA203" s="207">
        <v>-14805.284160239758</v>
      </c>
      <c r="CB203" s="207">
        <v>-25497.923365973893</v>
      </c>
      <c r="CC203" s="207">
        <v>-204914.49646111572</v>
      </c>
      <c r="CD203" s="207">
        <v>0</v>
      </c>
      <c r="CE203" s="207">
        <v>97779.00073956708</v>
      </c>
      <c r="CF203" s="207">
        <v>0</v>
      </c>
      <c r="CG203" s="207">
        <v>1318296.2276390663</v>
      </c>
      <c r="CH203" s="207">
        <v>-96390</v>
      </c>
      <c r="CI203" s="207">
        <v>183717.7743</v>
      </c>
      <c r="CJ203" s="207">
        <v>35343.412000000004</v>
      </c>
      <c r="CK203" s="207">
        <v>148374.36229999998</v>
      </c>
      <c r="CL203" s="207">
        <v>5120621.284698205</v>
      </c>
      <c r="CM203" s="207">
        <v>5473192.748179402</v>
      </c>
      <c r="CN203" s="207">
        <v>1579</v>
      </c>
    </row>
    <row r="204" spans="1:92" ht="9.75">
      <c r="A204" s="207">
        <v>631</v>
      </c>
      <c r="B204" s="207" t="s">
        <v>260</v>
      </c>
      <c r="C204" s="207">
        <v>2028</v>
      </c>
      <c r="D204" s="207">
        <v>7033839.9</v>
      </c>
      <c r="E204" s="207">
        <v>2356258.3982646447</v>
      </c>
      <c r="F204" s="207">
        <v>331750.8437114259</v>
      </c>
      <c r="G204" s="207">
        <v>9721849.141976072</v>
      </c>
      <c r="H204" s="207">
        <v>3654.72</v>
      </c>
      <c r="I204" s="207">
        <v>7411772.159999999</v>
      </c>
      <c r="J204" s="207">
        <v>2310076.9819760723</v>
      </c>
      <c r="K204" s="207">
        <v>22389.776202792465</v>
      </c>
      <c r="L204" s="207">
        <v>-80925.25622514743</v>
      </c>
      <c r="M204" s="207">
        <v>0</v>
      </c>
      <c r="N204" s="207">
        <v>2251541.5019537173</v>
      </c>
      <c r="O204" s="207">
        <v>768831.1424970556</v>
      </c>
      <c r="P204" s="207">
        <v>3020372.644450773</v>
      </c>
      <c r="Q204" s="207">
        <v>98</v>
      </c>
      <c r="R204" s="207">
        <v>26</v>
      </c>
      <c r="S204" s="207">
        <v>132</v>
      </c>
      <c r="T204" s="207">
        <v>53</v>
      </c>
      <c r="U204" s="207">
        <v>71</v>
      </c>
      <c r="V204" s="207">
        <v>1082</v>
      </c>
      <c r="W204" s="207">
        <v>338</v>
      </c>
      <c r="X204" s="207">
        <v>162</v>
      </c>
      <c r="Y204" s="207">
        <v>66</v>
      </c>
      <c r="Z204" s="207">
        <v>6</v>
      </c>
      <c r="AA204" s="207">
        <v>0</v>
      </c>
      <c r="AB204" s="207">
        <v>1988</v>
      </c>
      <c r="AC204" s="207">
        <v>34</v>
      </c>
      <c r="AD204" s="207">
        <v>566</v>
      </c>
      <c r="AE204" s="480">
        <v>0.9863014562946611</v>
      </c>
      <c r="AF204" s="207">
        <v>2356258.3982646447</v>
      </c>
      <c r="AG204" s="175">
        <v>54</v>
      </c>
      <c r="AH204" s="175">
        <v>936</v>
      </c>
      <c r="AI204" s="175">
        <v>0.5913466623873864</v>
      </c>
      <c r="AJ204" s="175">
        <v>34</v>
      </c>
      <c r="AK204" s="175">
        <v>0.016765285996055226</v>
      </c>
      <c r="AL204" s="175">
        <v>0.01348420688559223</v>
      </c>
      <c r="AM204" s="175">
        <v>0</v>
      </c>
      <c r="AN204" s="175">
        <v>6</v>
      </c>
      <c r="AO204" s="175">
        <v>0</v>
      </c>
      <c r="AP204" s="175">
        <v>0</v>
      </c>
      <c r="AQ204" s="175">
        <v>0</v>
      </c>
      <c r="AR204" s="175">
        <v>143.49</v>
      </c>
      <c r="AS204" s="175">
        <v>14.13338908634748</v>
      </c>
      <c r="AT204" s="175">
        <v>1.2842299911240787</v>
      </c>
      <c r="AU204" s="175">
        <v>79</v>
      </c>
      <c r="AV204" s="175">
        <v>593</v>
      </c>
      <c r="AW204" s="175">
        <v>0.13322091062394603</v>
      </c>
      <c r="AX204" s="175">
        <v>0.07775967689446103</v>
      </c>
      <c r="AY204" s="175">
        <v>0</v>
      </c>
      <c r="AZ204" s="207">
        <v>488</v>
      </c>
      <c r="BA204" s="175">
        <v>874</v>
      </c>
      <c r="BB204" s="175">
        <v>0.5583524027459954</v>
      </c>
      <c r="BC204" s="175">
        <v>0.16865755532228355</v>
      </c>
      <c r="BD204" s="175">
        <v>0</v>
      </c>
      <c r="BE204" s="175">
        <v>0</v>
      </c>
      <c r="BF204" s="207">
        <v>-13105.869999999999</v>
      </c>
      <c r="BG204" s="207">
        <v>-16034.439999999999</v>
      </c>
      <c r="BH204" s="207">
        <v>-8314.8</v>
      </c>
      <c r="BI204" s="207">
        <v>-34685.9</v>
      </c>
      <c r="BJ204" s="207">
        <v>0</v>
      </c>
      <c r="BK204" s="207">
        <v>0</v>
      </c>
      <c r="BL204" s="207">
        <v>38872</v>
      </c>
      <c r="BM204" s="207">
        <v>-34154.98406473611</v>
      </c>
      <c r="BN204" s="207">
        <v>-86311.68000000001</v>
      </c>
      <c r="BO204" s="207">
        <v>125422.74595760088</v>
      </c>
      <c r="BP204" s="207">
        <v>166578</v>
      </c>
      <c r="BQ204" s="207">
        <v>56438</v>
      </c>
      <c r="BR204" s="207">
        <v>129722.21444774065</v>
      </c>
      <c r="BS204" s="207">
        <v>5761.346417775909</v>
      </c>
      <c r="BT204" s="207">
        <v>-32797.7229609648</v>
      </c>
      <c r="BU204" s="207">
        <v>53378.44238395563</v>
      </c>
      <c r="BV204" s="207">
        <v>104600.43267838539</v>
      </c>
      <c r="BW204" s="207">
        <v>186841.64452944396</v>
      </c>
      <c r="BX204" s="207">
        <v>53002.486559640914</v>
      </c>
      <c r="BY204" s="207">
        <v>88648.77410462896</v>
      </c>
      <c r="BZ204" s="207">
        <v>182.51999999999998</v>
      </c>
      <c r="CA204" s="207">
        <v>9383.631881987802</v>
      </c>
      <c r="CB204" s="207">
        <v>173860.89783958867</v>
      </c>
      <c r="CC204" s="207">
        <v>-80925.25622514743</v>
      </c>
      <c r="CD204" s="207">
        <v>0</v>
      </c>
      <c r="CE204" s="207">
        <v>112294.50293525125</v>
      </c>
      <c r="CF204" s="207">
        <v>0</v>
      </c>
      <c r="CG204" s="207">
        <v>768831.1424970556</v>
      </c>
      <c r="CH204" s="207">
        <v>-469114</v>
      </c>
      <c r="CI204" s="207">
        <v>13593.62</v>
      </c>
      <c r="CJ204" s="207">
        <v>661176.0050940001</v>
      </c>
      <c r="CK204" s="207">
        <v>-647582.3850940001</v>
      </c>
      <c r="CL204" s="207">
        <v>2551258.644450773</v>
      </c>
      <c r="CM204" s="207">
        <v>3351544.259309691</v>
      </c>
      <c r="CN204" s="207">
        <v>2077</v>
      </c>
    </row>
    <row r="205" spans="1:92" ht="9.75">
      <c r="A205" s="207">
        <v>635</v>
      </c>
      <c r="B205" s="207" t="s">
        <v>261</v>
      </c>
      <c r="C205" s="207">
        <v>6499</v>
      </c>
      <c r="D205" s="207">
        <v>24185775.029999994</v>
      </c>
      <c r="E205" s="207">
        <v>9100103.34177372</v>
      </c>
      <c r="F205" s="207">
        <v>1304771.2732960791</v>
      </c>
      <c r="G205" s="207">
        <v>34590649.64506979</v>
      </c>
      <c r="H205" s="207">
        <v>3654.72</v>
      </c>
      <c r="I205" s="207">
        <v>23752025.279999997</v>
      </c>
      <c r="J205" s="207">
        <v>10838624.365069795</v>
      </c>
      <c r="K205" s="207">
        <v>151555.2919730515</v>
      </c>
      <c r="L205" s="207">
        <v>-1092089.9440711606</v>
      </c>
      <c r="M205" s="207">
        <v>0</v>
      </c>
      <c r="N205" s="207">
        <v>9898089.712971685</v>
      </c>
      <c r="O205" s="207">
        <v>4324092.101916917</v>
      </c>
      <c r="P205" s="207">
        <v>14222181.814888602</v>
      </c>
      <c r="Q205" s="207">
        <v>300</v>
      </c>
      <c r="R205" s="207">
        <v>76</v>
      </c>
      <c r="S205" s="207">
        <v>437</v>
      </c>
      <c r="T205" s="207">
        <v>238</v>
      </c>
      <c r="U205" s="207">
        <v>220</v>
      </c>
      <c r="V205" s="207">
        <v>3355</v>
      </c>
      <c r="W205" s="207">
        <v>1019</v>
      </c>
      <c r="X205" s="207">
        <v>612</v>
      </c>
      <c r="Y205" s="207">
        <v>242</v>
      </c>
      <c r="Z205" s="207">
        <v>26</v>
      </c>
      <c r="AA205" s="207">
        <v>0</v>
      </c>
      <c r="AB205" s="207">
        <v>6312</v>
      </c>
      <c r="AC205" s="207">
        <v>161</v>
      </c>
      <c r="AD205" s="207">
        <v>1873</v>
      </c>
      <c r="AE205" s="480">
        <v>1.188651374310129</v>
      </c>
      <c r="AF205" s="207">
        <v>9100103.34177372</v>
      </c>
      <c r="AG205" s="175">
        <v>209</v>
      </c>
      <c r="AH205" s="175">
        <v>2933</v>
      </c>
      <c r="AI205" s="175">
        <v>0.7303961276083777</v>
      </c>
      <c r="AJ205" s="175">
        <v>161</v>
      </c>
      <c r="AK205" s="175">
        <v>0.024773042006462534</v>
      </c>
      <c r="AL205" s="175">
        <v>0.02149196289599954</v>
      </c>
      <c r="AM205" s="175">
        <v>0</v>
      </c>
      <c r="AN205" s="175">
        <v>26</v>
      </c>
      <c r="AO205" s="175">
        <v>0</v>
      </c>
      <c r="AP205" s="175">
        <v>0</v>
      </c>
      <c r="AQ205" s="175">
        <v>0</v>
      </c>
      <c r="AR205" s="175">
        <v>560.6</v>
      </c>
      <c r="AS205" s="175">
        <v>11.59293613985016</v>
      </c>
      <c r="AT205" s="175">
        <v>1.5656535947370251</v>
      </c>
      <c r="AU205" s="175">
        <v>234</v>
      </c>
      <c r="AV205" s="175">
        <v>1847</v>
      </c>
      <c r="AW205" s="175">
        <v>0.12669193286410396</v>
      </c>
      <c r="AX205" s="175">
        <v>0.07123069913461896</v>
      </c>
      <c r="AY205" s="175">
        <v>0</v>
      </c>
      <c r="AZ205" s="207">
        <v>1929</v>
      </c>
      <c r="BA205" s="175">
        <v>2586</v>
      </c>
      <c r="BB205" s="175">
        <v>0.7459396751740139</v>
      </c>
      <c r="BC205" s="175">
        <v>0.3562448277503021</v>
      </c>
      <c r="BD205" s="175">
        <v>0</v>
      </c>
      <c r="BE205" s="175">
        <v>0</v>
      </c>
      <c r="BF205" s="207">
        <v>-41437.77</v>
      </c>
      <c r="BG205" s="207">
        <v>-50697.24</v>
      </c>
      <c r="BH205" s="207">
        <v>-26645.899999999998</v>
      </c>
      <c r="BI205" s="207">
        <v>-109668.9</v>
      </c>
      <c r="BJ205" s="207">
        <v>0</v>
      </c>
      <c r="BK205" s="207">
        <v>0</v>
      </c>
      <c r="BL205" s="207">
        <v>-130052</v>
      </c>
      <c r="BM205" s="207">
        <v>-274457.7134633062</v>
      </c>
      <c r="BN205" s="207">
        <v>-276597.44</v>
      </c>
      <c r="BO205" s="207">
        <v>-12804.24278062582</v>
      </c>
      <c r="BP205" s="207">
        <v>642019</v>
      </c>
      <c r="BQ205" s="207">
        <v>195798</v>
      </c>
      <c r="BR205" s="207">
        <v>456431.13350845047</v>
      </c>
      <c r="BS205" s="207">
        <v>18923.51818230522</v>
      </c>
      <c r="BT205" s="207">
        <v>38485.85235614743</v>
      </c>
      <c r="BU205" s="207">
        <v>180396.70705651797</v>
      </c>
      <c r="BV205" s="207">
        <v>367715.8901137397</v>
      </c>
      <c r="BW205" s="207">
        <v>580818.1819355405</v>
      </c>
      <c r="BX205" s="207">
        <v>180688.9369229741</v>
      </c>
      <c r="BY205" s="207">
        <v>312527.8583041322</v>
      </c>
      <c r="BZ205" s="207">
        <v>584.91</v>
      </c>
      <c r="CA205" s="207">
        <v>28945.692172771458</v>
      </c>
      <c r="CB205" s="207">
        <v>-113325.64060785435</v>
      </c>
      <c r="CC205" s="207">
        <v>-1092089.9440711606</v>
      </c>
      <c r="CD205" s="207">
        <v>0</v>
      </c>
      <c r="CE205" s="207">
        <v>425403.13553182187</v>
      </c>
      <c r="CF205" s="207">
        <v>0</v>
      </c>
      <c r="CG205" s="207">
        <v>4324092.101916917</v>
      </c>
      <c r="CH205" s="207">
        <v>-692273</v>
      </c>
      <c r="CI205" s="207">
        <v>134576.83800000002</v>
      </c>
      <c r="CJ205" s="207">
        <v>728889.9044000001</v>
      </c>
      <c r="CK205" s="207">
        <v>-594313.0664000001</v>
      </c>
      <c r="CL205" s="207">
        <v>13529908.814888602</v>
      </c>
      <c r="CM205" s="207">
        <v>15989455.323131695</v>
      </c>
      <c r="CN205" s="207">
        <v>6567</v>
      </c>
    </row>
    <row r="206" spans="1:92" ht="9.75">
      <c r="A206" s="207">
        <v>636</v>
      </c>
      <c r="B206" s="207" t="s">
        <v>262</v>
      </c>
      <c r="C206" s="207">
        <v>8333</v>
      </c>
      <c r="D206" s="207">
        <v>31743456.009999998</v>
      </c>
      <c r="E206" s="207">
        <v>9717040.527542122</v>
      </c>
      <c r="F206" s="207">
        <v>2009871.7717553366</v>
      </c>
      <c r="G206" s="207">
        <v>43470368.30929746</v>
      </c>
      <c r="H206" s="207">
        <v>3654.72</v>
      </c>
      <c r="I206" s="207">
        <v>30454781.759999998</v>
      </c>
      <c r="J206" s="207">
        <v>13015586.54929746</v>
      </c>
      <c r="K206" s="207">
        <v>196695.8878511747</v>
      </c>
      <c r="L206" s="207">
        <v>-1136728.130711584</v>
      </c>
      <c r="M206" s="207">
        <v>0</v>
      </c>
      <c r="N206" s="207">
        <v>12075554.30643705</v>
      </c>
      <c r="O206" s="207">
        <v>6278020.235427514</v>
      </c>
      <c r="P206" s="207">
        <v>18353574.541864567</v>
      </c>
      <c r="Q206" s="207">
        <v>537</v>
      </c>
      <c r="R206" s="207">
        <v>121</v>
      </c>
      <c r="S206" s="207">
        <v>645</v>
      </c>
      <c r="T206" s="207">
        <v>333</v>
      </c>
      <c r="U206" s="207">
        <v>275</v>
      </c>
      <c r="V206" s="207">
        <v>4359</v>
      </c>
      <c r="W206" s="207">
        <v>1164</v>
      </c>
      <c r="X206" s="207">
        <v>619</v>
      </c>
      <c r="Y206" s="207">
        <v>280</v>
      </c>
      <c r="Z206" s="207">
        <v>49</v>
      </c>
      <c r="AA206" s="207">
        <v>2</v>
      </c>
      <c r="AB206" s="207">
        <v>8001</v>
      </c>
      <c r="AC206" s="207">
        <v>281</v>
      </c>
      <c r="AD206" s="207">
        <v>2063</v>
      </c>
      <c r="AE206" s="480">
        <v>0.989890922720996</v>
      </c>
      <c r="AF206" s="207">
        <v>9717040.527542122</v>
      </c>
      <c r="AG206" s="175">
        <v>283</v>
      </c>
      <c r="AH206" s="175">
        <v>3841</v>
      </c>
      <c r="AI206" s="175">
        <v>0.7552076268066283</v>
      </c>
      <c r="AJ206" s="175">
        <v>281</v>
      </c>
      <c r="AK206" s="175">
        <v>0.033721348853954156</v>
      </c>
      <c r="AL206" s="175">
        <v>0.03044026974349116</v>
      </c>
      <c r="AM206" s="175">
        <v>0</v>
      </c>
      <c r="AN206" s="175">
        <v>49</v>
      </c>
      <c r="AO206" s="175">
        <v>2</v>
      </c>
      <c r="AP206" s="175">
        <v>0</v>
      </c>
      <c r="AQ206" s="175">
        <v>0</v>
      </c>
      <c r="AR206" s="175">
        <v>750.07</v>
      </c>
      <c r="AS206" s="175">
        <v>11.109629767888329</v>
      </c>
      <c r="AT206" s="175">
        <v>1.633764807660476</v>
      </c>
      <c r="AU206" s="175">
        <v>429</v>
      </c>
      <c r="AV206" s="175">
        <v>2518</v>
      </c>
      <c r="AW206" s="175">
        <v>0.17037331215250198</v>
      </c>
      <c r="AX206" s="175">
        <v>0.11491207842301698</v>
      </c>
      <c r="AY206" s="175">
        <v>0</v>
      </c>
      <c r="AZ206" s="207">
        <v>2602</v>
      </c>
      <c r="BA206" s="175">
        <v>3468</v>
      </c>
      <c r="BB206" s="175">
        <v>0.7502883506343714</v>
      </c>
      <c r="BC206" s="175">
        <v>0.3605935032106595</v>
      </c>
      <c r="BD206" s="175">
        <v>0</v>
      </c>
      <c r="BE206" s="175">
        <v>2</v>
      </c>
      <c r="BF206" s="207">
        <v>-53142.82</v>
      </c>
      <c r="BG206" s="207">
        <v>-65017.84</v>
      </c>
      <c r="BH206" s="207">
        <v>-34165.299999999996</v>
      </c>
      <c r="BI206" s="207">
        <v>-140647.4</v>
      </c>
      <c r="BJ206" s="207">
        <v>0</v>
      </c>
      <c r="BK206" s="207">
        <v>0</v>
      </c>
      <c r="BL206" s="207">
        <v>-25759</v>
      </c>
      <c r="BM206" s="207">
        <v>-218257.03060568526</v>
      </c>
      <c r="BN206" s="207">
        <v>-354652.48000000004</v>
      </c>
      <c r="BO206" s="207">
        <v>4699.763645730913</v>
      </c>
      <c r="BP206" s="207">
        <v>728276</v>
      </c>
      <c r="BQ206" s="207">
        <v>246779</v>
      </c>
      <c r="BR206" s="207">
        <v>568370.5156629826</v>
      </c>
      <c r="BS206" s="207">
        <v>26839.74081675102</v>
      </c>
      <c r="BT206" s="207">
        <v>50553.860423168335</v>
      </c>
      <c r="BU206" s="207">
        <v>235055.66469803228</v>
      </c>
      <c r="BV206" s="207">
        <v>500128.3131237348</v>
      </c>
      <c r="BW206" s="207">
        <v>790161.8219502514</v>
      </c>
      <c r="BX206" s="207">
        <v>233954.87761570083</v>
      </c>
      <c r="BY206" s="207">
        <v>406319.4653399742</v>
      </c>
      <c r="BZ206" s="207">
        <v>749.97</v>
      </c>
      <c r="CA206" s="207">
        <v>4953.786248370576</v>
      </c>
      <c r="CB206" s="207">
        <v>-15355.48010589851</v>
      </c>
      <c r="CC206" s="207">
        <v>-1136728.130711584</v>
      </c>
      <c r="CD206" s="207">
        <v>0</v>
      </c>
      <c r="CE206" s="207">
        <v>551237.1364516926</v>
      </c>
      <c r="CF206" s="207">
        <v>0</v>
      </c>
      <c r="CG206" s="207">
        <v>6278020.235427514</v>
      </c>
      <c r="CH206" s="207">
        <v>-599894</v>
      </c>
      <c r="CI206" s="207">
        <v>136072.13620000004</v>
      </c>
      <c r="CJ206" s="207">
        <v>174705.20424000002</v>
      </c>
      <c r="CK206" s="207">
        <v>-38633.068039999984</v>
      </c>
      <c r="CL206" s="207">
        <v>17753680.541864567</v>
      </c>
      <c r="CM206" s="207">
        <v>20790084.495976377</v>
      </c>
      <c r="CN206" s="207">
        <v>8422</v>
      </c>
    </row>
    <row r="207" spans="1:92" ht="9.75">
      <c r="A207" s="207">
        <v>678</v>
      </c>
      <c r="B207" s="207" t="s">
        <v>263</v>
      </c>
      <c r="C207" s="207">
        <v>24811</v>
      </c>
      <c r="D207" s="207">
        <v>91558617.9</v>
      </c>
      <c r="E207" s="207">
        <v>40149375.283670075</v>
      </c>
      <c r="F207" s="207">
        <v>4742779.605433903</v>
      </c>
      <c r="G207" s="207">
        <v>136450772.78910398</v>
      </c>
      <c r="H207" s="207">
        <v>3654.72</v>
      </c>
      <c r="I207" s="207">
        <v>90677257.92</v>
      </c>
      <c r="J207" s="207">
        <v>45773514.86910398</v>
      </c>
      <c r="K207" s="207">
        <v>1247133.6583985237</v>
      </c>
      <c r="L207" s="207">
        <v>-3193784.630758136</v>
      </c>
      <c r="M207" s="207">
        <v>0</v>
      </c>
      <c r="N207" s="207">
        <v>43826863.89674437</v>
      </c>
      <c r="O207" s="207">
        <v>11208687.621459916</v>
      </c>
      <c r="P207" s="207">
        <v>55035551.51820429</v>
      </c>
      <c r="Q207" s="207">
        <v>1619</v>
      </c>
      <c r="R207" s="207">
        <v>357</v>
      </c>
      <c r="S207" s="207">
        <v>2065</v>
      </c>
      <c r="T207" s="207">
        <v>991</v>
      </c>
      <c r="U207" s="207">
        <v>920</v>
      </c>
      <c r="V207" s="207">
        <v>12919</v>
      </c>
      <c r="W207" s="207">
        <v>3625</v>
      </c>
      <c r="X207" s="207">
        <v>1686</v>
      </c>
      <c r="Y207" s="207">
        <v>629</v>
      </c>
      <c r="Z207" s="207">
        <v>13</v>
      </c>
      <c r="AA207" s="207">
        <v>2</v>
      </c>
      <c r="AB207" s="207">
        <v>24098</v>
      </c>
      <c r="AC207" s="207">
        <v>698</v>
      </c>
      <c r="AD207" s="207">
        <v>5940</v>
      </c>
      <c r="AE207" s="480">
        <v>1.3736915695106644</v>
      </c>
      <c r="AF207" s="207">
        <v>40149375.283670075</v>
      </c>
      <c r="AG207" s="175">
        <v>974</v>
      </c>
      <c r="AH207" s="175">
        <v>10461</v>
      </c>
      <c r="AI207" s="175">
        <v>0.9543550889525012</v>
      </c>
      <c r="AJ207" s="175">
        <v>698</v>
      </c>
      <c r="AK207" s="175">
        <v>0.028132683084115918</v>
      </c>
      <c r="AL207" s="175">
        <v>0.024851603973652922</v>
      </c>
      <c r="AM207" s="175">
        <v>0</v>
      </c>
      <c r="AN207" s="175">
        <v>13</v>
      </c>
      <c r="AO207" s="175">
        <v>2</v>
      </c>
      <c r="AP207" s="175">
        <v>0</v>
      </c>
      <c r="AQ207" s="175">
        <v>0</v>
      </c>
      <c r="AR207" s="175">
        <v>1014.38</v>
      </c>
      <c r="AS207" s="175">
        <v>24.45927561663282</v>
      </c>
      <c r="AT207" s="175">
        <v>0.7420711236669021</v>
      </c>
      <c r="AU207" s="175">
        <v>824</v>
      </c>
      <c r="AV207" s="175">
        <v>7044</v>
      </c>
      <c r="AW207" s="175">
        <v>0.11697898921067575</v>
      </c>
      <c r="AX207" s="175">
        <v>0.06151775548119074</v>
      </c>
      <c r="AY207" s="175">
        <v>0</v>
      </c>
      <c r="AZ207" s="207">
        <v>10439</v>
      </c>
      <c r="BA207" s="175">
        <v>9018</v>
      </c>
      <c r="BB207" s="175">
        <v>1.1575737414060767</v>
      </c>
      <c r="BC207" s="175">
        <v>0.7678788939823649</v>
      </c>
      <c r="BD207" s="175">
        <v>0</v>
      </c>
      <c r="BE207" s="175">
        <v>2</v>
      </c>
      <c r="BF207" s="207">
        <v>-157756.31</v>
      </c>
      <c r="BG207" s="207">
        <v>-193007.72</v>
      </c>
      <c r="BH207" s="207">
        <v>-101725.09999999999</v>
      </c>
      <c r="BI207" s="207">
        <v>-417516.69999999995</v>
      </c>
      <c r="BJ207" s="207">
        <v>0</v>
      </c>
      <c r="BK207" s="207">
        <v>0</v>
      </c>
      <c r="BL207" s="207">
        <v>619971</v>
      </c>
      <c r="BM207" s="207">
        <v>-1057852.181478681</v>
      </c>
      <c r="BN207" s="207">
        <v>-1055956.1600000001</v>
      </c>
      <c r="BO207" s="207">
        <v>-262736.8353430629</v>
      </c>
      <c r="BP207" s="207">
        <v>1718173</v>
      </c>
      <c r="BQ207" s="207">
        <v>523096</v>
      </c>
      <c r="BR207" s="207">
        <v>1194796.575612194</v>
      </c>
      <c r="BS207" s="207">
        <v>48400.668529056275</v>
      </c>
      <c r="BT207" s="207">
        <v>88377.66139206645</v>
      </c>
      <c r="BU207" s="207">
        <v>693320.6224758168</v>
      </c>
      <c r="BV207" s="207">
        <v>1030296.7893436988</v>
      </c>
      <c r="BW207" s="207">
        <v>1749558.4975446665</v>
      </c>
      <c r="BX207" s="207">
        <v>422834.2612383189</v>
      </c>
      <c r="BY207" s="207">
        <v>858606.1745617748</v>
      </c>
      <c r="BZ207" s="207">
        <v>2232.99</v>
      </c>
      <c r="CA207" s="207">
        <v>191267.64606360756</v>
      </c>
      <c r="CB207" s="207">
        <v>550734.8007205446</v>
      </c>
      <c r="CC207" s="207">
        <v>-3193784.630758136</v>
      </c>
      <c r="CD207" s="207">
        <v>0</v>
      </c>
      <c r="CE207" s="207">
        <v>1286850.045633532</v>
      </c>
      <c r="CF207" s="207">
        <v>0</v>
      </c>
      <c r="CG207" s="207">
        <v>11208687.621459916</v>
      </c>
      <c r="CH207" s="207">
        <v>-1418377</v>
      </c>
      <c r="CI207" s="207">
        <v>289815.9784000001</v>
      </c>
      <c r="CJ207" s="207">
        <v>472473.45034</v>
      </c>
      <c r="CK207" s="207">
        <v>-182657.4719399999</v>
      </c>
      <c r="CL207" s="207">
        <v>53617174.51820429</v>
      </c>
      <c r="CM207" s="207">
        <v>57250483.6614042</v>
      </c>
      <c r="CN207" s="207">
        <v>25001</v>
      </c>
    </row>
    <row r="208" spans="1:92" ht="9.75">
      <c r="A208" s="207">
        <v>710</v>
      </c>
      <c r="B208" s="207" t="s">
        <v>264</v>
      </c>
      <c r="C208" s="207">
        <v>27592</v>
      </c>
      <c r="D208" s="207">
        <v>99269849.05</v>
      </c>
      <c r="E208" s="207">
        <v>30272887.554940302</v>
      </c>
      <c r="F208" s="207">
        <v>12402008.888648333</v>
      </c>
      <c r="G208" s="207">
        <v>141944745.49358863</v>
      </c>
      <c r="H208" s="207">
        <v>3654.72</v>
      </c>
      <c r="I208" s="207">
        <v>100841034.24</v>
      </c>
      <c r="J208" s="207">
        <v>41103711.25358863</v>
      </c>
      <c r="K208" s="207">
        <v>868332.3405678015</v>
      </c>
      <c r="L208" s="207">
        <v>-4246540.562018834</v>
      </c>
      <c r="M208" s="207">
        <v>0</v>
      </c>
      <c r="N208" s="207">
        <v>37725503.0321376</v>
      </c>
      <c r="O208" s="207">
        <v>9699689.462004825</v>
      </c>
      <c r="P208" s="207">
        <v>47425192.49414243</v>
      </c>
      <c r="Q208" s="207">
        <v>1401</v>
      </c>
      <c r="R208" s="207">
        <v>269</v>
      </c>
      <c r="S208" s="207">
        <v>1807</v>
      </c>
      <c r="T208" s="207">
        <v>935</v>
      </c>
      <c r="U208" s="207">
        <v>834</v>
      </c>
      <c r="V208" s="207">
        <v>14983</v>
      </c>
      <c r="W208" s="207">
        <v>4075</v>
      </c>
      <c r="X208" s="207">
        <v>2304</v>
      </c>
      <c r="Y208" s="207">
        <v>984</v>
      </c>
      <c r="Z208" s="207">
        <v>17832</v>
      </c>
      <c r="AA208" s="207">
        <v>1</v>
      </c>
      <c r="AB208" s="207">
        <v>8517</v>
      </c>
      <c r="AC208" s="207">
        <v>1242</v>
      </c>
      <c r="AD208" s="207">
        <v>7363</v>
      </c>
      <c r="AE208" s="480">
        <v>0.9313767146815858</v>
      </c>
      <c r="AF208" s="207">
        <v>30272887.554940302</v>
      </c>
      <c r="AG208" s="175">
        <v>1130</v>
      </c>
      <c r="AH208" s="175">
        <v>12945</v>
      </c>
      <c r="AI208" s="175">
        <v>0.8947477760237627</v>
      </c>
      <c r="AJ208" s="175">
        <v>1242</v>
      </c>
      <c r="AK208" s="175">
        <v>0.045013047260075385</v>
      </c>
      <c r="AL208" s="175">
        <v>0.041731968149612386</v>
      </c>
      <c r="AM208" s="175">
        <v>3</v>
      </c>
      <c r="AN208" s="175">
        <v>17832</v>
      </c>
      <c r="AO208" s="175">
        <v>1</v>
      </c>
      <c r="AP208" s="175">
        <v>3</v>
      </c>
      <c r="AQ208" s="175">
        <v>1842</v>
      </c>
      <c r="AR208" s="175">
        <v>1148.27</v>
      </c>
      <c r="AS208" s="175">
        <v>24.029191740618497</v>
      </c>
      <c r="AT208" s="175">
        <v>0.7553530029989262</v>
      </c>
      <c r="AU208" s="175">
        <v>1403</v>
      </c>
      <c r="AV208" s="175">
        <v>8261</v>
      </c>
      <c r="AW208" s="175">
        <v>0.16983416051325506</v>
      </c>
      <c r="AX208" s="175">
        <v>0.11437292678377006</v>
      </c>
      <c r="AY208" s="175">
        <v>0</v>
      </c>
      <c r="AZ208" s="207">
        <v>9931</v>
      </c>
      <c r="BA208" s="175">
        <v>11409</v>
      </c>
      <c r="BB208" s="175">
        <v>0.8704531510211236</v>
      </c>
      <c r="BC208" s="175">
        <v>0.4807583035974118</v>
      </c>
      <c r="BD208" s="175">
        <v>0</v>
      </c>
      <c r="BE208" s="175">
        <v>1</v>
      </c>
      <c r="BF208" s="207">
        <v>-175739.81</v>
      </c>
      <c r="BG208" s="207">
        <v>-215009.72</v>
      </c>
      <c r="BH208" s="207">
        <v>-113127.2</v>
      </c>
      <c r="BI208" s="207">
        <v>-465111.69999999995</v>
      </c>
      <c r="BJ208" s="207">
        <v>0</v>
      </c>
      <c r="BK208" s="207">
        <v>0</v>
      </c>
      <c r="BL208" s="207">
        <v>-62333</v>
      </c>
      <c r="BM208" s="207">
        <v>-1470622.9046484549</v>
      </c>
      <c r="BN208" s="207">
        <v>-1174315.52</v>
      </c>
      <c r="BO208" s="207">
        <v>100751.36435972154</v>
      </c>
      <c r="BP208" s="207">
        <v>2274555</v>
      </c>
      <c r="BQ208" s="207">
        <v>774472</v>
      </c>
      <c r="BR208" s="207">
        <v>1740977.2657312586</v>
      </c>
      <c r="BS208" s="207">
        <v>55966.14853698343</v>
      </c>
      <c r="BT208" s="207">
        <v>183065.70473621695</v>
      </c>
      <c r="BU208" s="207">
        <v>718511.309927462</v>
      </c>
      <c r="BV208" s="207">
        <v>1375150.3688940979</v>
      </c>
      <c r="BW208" s="207">
        <v>2388585.246096866</v>
      </c>
      <c r="BX208" s="207">
        <v>737475.7514669271</v>
      </c>
      <c r="BY208" s="207">
        <v>1230032.8171418419</v>
      </c>
      <c r="BZ208" s="207">
        <v>2483.2799999999997</v>
      </c>
      <c r="CA208" s="207">
        <v>172455.36826989887</v>
      </c>
      <c r="CB208" s="207">
        <v>213357.0126296204</v>
      </c>
      <c r="CC208" s="207">
        <v>-4246540.562018834</v>
      </c>
      <c r="CD208" s="207">
        <v>0</v>
      </c>
      <c r="CE208" s="207">
        <v>1550371.8240211143</v>
      </c>
      <c r="CF208" s="207">
        <v>0</v>
      </c>
      <c r="CG208" s="207">
        <v>9699689.462004825</v>
      </c>
      <c r="CH208" s="207">
        <v>-982980</v>
      </c>
      <c r="CI208" s="207">
        <v>307487.6844</v>
      </c>
      <c r="CJ208" s="207">
        <v>1375832.029992</v>
      </c>
      <c r="CK208" s="207">
        <v>-1068344.345592</v>
      </c>
      <c r="CL208" s="207">
        <v>46442212.49414243</v>
      </c>
      <c r="CM208" s="207">
        <v>53315971.10102454</v>
      </c>
      <c r="CN208" s="207">
        <v>27851</v>
      </c>
    </row>
    <row r="209" spans="1:92" ht="9.75">
      <c r="A209" s="207">
        <v>680</v>
      </c>
      <c r="B209" s="207" t="s">
        <v>265</v>
      </c>
      <c r="C209" s="207">
        <v>24178</v>
      </c>
      <c r="D209" s="207">
        <v>82461190.98</v>
      </c>
      <c r="E209" s="207">
        <v>27910238.030185927</v>
      </c>
      <c r="F209" s="207">
        <v>6137777.300926174</v>
      </c>
      <c r="G209" s="207">
        <v>116509206.3111121</v>
      </c>
      <c r="H209" s="207">
        <v>3654.72</v>
      </c>
      <c r="I209" s="207">
        <v>88363820.16</v>
      </c>
      <c r="J209" s="207">
        <v>28145386.15111211</v>
      </c>
      <c r="K209" s="207">
        <v>924447.3618765102</v>
      </c>
      <c r="L209" s="207">
        <v>-4542831.4719429035</v>
      </c>
      <c r="M209" s="207">
        <v>0</v>
      </c>
      <c r="N209" s="207">
        <v>24527002.041045718</v>
      </c>
      <c r="O209" s="207">
        <v>-6128.007698246244</v>
      </c>
      <c r="P209" s="207">
        <v>24520874.033347473</v>
      </c>
      <c r="Q209" s="207">
        <v>1451</v>
      </c>
      <c r="R209" s="207">
        <v>267</v>
      </c>
      <c r="S209" s="207">
        <v>1579</v>
      </c>
      <c r="T209" s="207">
        <v>767</v>
      </c>
      <c r="U209" s="207">
        <v>810</v>
      </c>
      <c r="V209" s="207">
        <v>13935</v>
      </c>
      <c r="W209" s="207">
        <v>3058</v>
      </c>
      <c r="X209" s="207">
        <v>1659</v>
      </c>
      <c r="Y209" s="207">
        <v>652</v>
      </c>
      <c r="Z209" s="207">
        <v>342</v>
      </c>
      <c r="AA209" s="207">
        <v>0</v>
      </c>
      <c r="AB209" s="207">
        <v>21969</v>
      </c>
      <c r="AC209" s="207">
        <v>1867</v>
      </c>
      <c r="AD209" s="207">
        <v>5369</v>
      </c>
      <c r="AE209" s="480">
        <v>0.9799363699908308</v>
      </c>
      <c r="AF209" s="207">
        <v>27910238.030185927</v>
      </c>
      <c r="AG209" s="175">
        <v>910</v>
      </c>
      <c r="AH209" s="175">
        <v>11771</v>
      </c>
      <c r="AI209" s="175">
        <v>0.792414240199675</v>
      </c>
      <c r="AJ209" s="175">
        <v>1867</v>
      </c>
      <c r="AK209" s="175">
        <v>0.07721895938456448</v>
      </c>
      <c r="AL209" s="175">
        <v>0.07393788027410149</v>
      </c>
      <c r="AM209" s="175">
        <v>0</v>
      </c>
      <c r="AN209" s="175">
        <v>342</v>
      </c>
      <c r="AO209" s="175">
        <v>0</v>
      </c>
      <c r="AP209" s="175">
        <v>0</v>
      </c>
      <c r="AQ209" s="175">
        <v>0</v>
      </c>
      <c r="AR209" s="175">
        <v>48.76</v>
      </c>
      <c r="AS209" s="175">
        <v>495.8572600492207</v>
      </c>
      <c r="AT209" s="175">
        <v>0.036604328711676994</v>
      </c>
      <c r="AU209" s="175">
        <v>1065</v>
      </c>
      <c r="AV209" s="175">
        <v>7742</v>
      </c>
      <c r="AW209" s="175">
        <v>0.13756135365538621</v>
      </c>
      <c r="AX209" s="175">
        <v>0.08210011992590122</v>
      </c>
      <c r="AY209" s="175">
        <v>0</v>
      </c>
      <c r="AZ209" s="207">
        <v>10367</v>
      </c>
      <c r="BA209" s="175">
        <v>10646</v>
      </c>
      <c r="BB209" s="175">
        <v>0.9737929738869059</v>
      </c>
      <c r="BC209" s="175">
        <v>0.584098126463194</v>
      </c>
      <c r="BD209" s="175">
        <v>0</v>
      </c>
      <c r="BE209" s="175">
        <v>0</v>
      </c>
      <c r="BF209" s="207">
        <v>-152916.53999999998</v>
      </c>
      <c r="BG209" s="207">
        <v>-187086.47999999998</v>
      </c>
      <c r="BH209" s="207">
        <v>-99129.79999999999</v>
      </c>
      <c r="BI209" s="207">
        <v>-404707.8</v>
      </c>
      <c r="BJ209" s="207">
        <v>0</v>
      </c>
      <c r="BK209" s="207">
        <v>0</v>
      </c>
      <c r="BL209" s="207">
        <v>-382405</v>
      </c>
      <c r="BM209" s="207">
        <v>-1303444.1239640212</v>
      </c>
      <c r="BN209" s="207">
        <v>-1029015.68</v>
      </c>
      <c r="BO209" s="207">
        <v>-208527.08328069</v>
      </c>
      <c r="BP209" s="207">
        <v>1528954</v>
      </c>
      <c r="BQ209" s="207">
        <v>539128</v>
      </c>
      <c r="BR209" s="207">
        <v>1052685.2707331371</v>
      </c>
      <c r="BS209" s="207">
        <v>26314.82731204461</v>
      </c>
      <c r="BT209" s="207">
        <v>-43151.45647350224</v>
      </c>
      <c r="BU209" s="207">
        <v>577164.9349497573</v>
      </c>
      <c r="BV209" s="207">
        <v>1044890.0202465078</v>
      </c>
      <c r="BW209" s="207">
        <v>1811262.2017673086</v>
      </c>
      <c r="BX209" s="207">
        <v>522894.02766410855</v>
      </c>
      <c r="BY209" s="207">
        <v>949681.4101408351</v>
      </c>
      <c r="BZ209" s="207">
        <v>2176.02</v>
      </c>
      <c r="CA209" s="207">
        <v>-36477.504698191886</v>
      </c>
      <c r="CB209" s="207">
        <v>-625233.5679788819</v>
      </c>
      <c r="CC209" s="207">
        <v>-4542831.4719429035</v>
      </c>
      <c r="CD209" s="207">
        <v>0</v>
      </c>
      <c r="CE209" s="207">
        <v>1144307.0500356471</v>
      </c>
      <c r="CF209" s="207">
        <v>0</v>
      </c>
      <c r="CG209" s="207">
        <v>-6128.007698246244</v>
      </c>
      <c r="CH209" s="207">
        <v>-1703686</v>
      </c>
      <c r="CI209" s="207">
        <v>408012.50430000003</v>
      </c>
      <c r="CJ209" s="207">
        <v>1662431.7579000003</v>
      </c>
      <c r="CK209" s="207">
        <v>-1254419.2536000004</v>
      </c>
      <c r="CL209" s="207">
        <v>22817188.033347473</v>
      </c>
      <c r="CM209" s="207">
        <v>27304014.642045178</v>
      </c>
      <c r="CN209" s="207">
        <v>24234</v>
      </c>
    </row>
    <row r="210" spans="1:92" ht="9.75">
      <c r="A210" s="207">
        <v>681</v>
      </c>
      <c r="B210" s="207" t="s">
        <v>266</v>
      </c>
      <c r="C210" s="207">
        <v>3514</v>
      </c>
      <c r="D210" s="207">
        <v>12871653.21</v>
      </c>
      <c r="E210" s="207">
        <v>5418622.25043564</v>
      </c>
      <c r="F210" s="207">
        <v>1121000.2861228245</v>
      </c>
      <c r="G210" s="207">
        <v>19411275.746558465</v>
      </c>
      <c r="H210" s="207">
        <v>3654.72</v>
      </c>
      <c r="I210" s="207">
        <v>12842686.08</v>
      </c>
      <c r="J210" s="207">
        <v>6568589.666558465</v>
      </c>
      <c r="K210" s="207">
        <v>500412.4674807803</v>
      </c>
      <c r="L210" s="207">
        <v>-476033.2921190464</v>
      </c>
      <c r="M210" s="207">
        <v>0</v>
      </c>
      <c r="N210" s="207">
        <v>6592968.841920199</v>
      </c>
      <c r="O210" s="207">
        <v>3208107.965993104</v>
      </c>
      <c r="P210" s="207">
        <v>9801076.807913303</v>
      </c>
      <c r="Q210" s="207">
        <v>135</v>
      </c>
      <c r="R210" s="207">
        <v>46</v>
      </c>
      <c r="S210" s="207">
        <v>167</v>
      </c>
      <c r="T210" s="207">
        <v>96</v>
      </c>
      <c r="U210" s="207">
        <v>107</v>
      </c>
      <c r="V210" s="207">
        <v>1786</v>
      </c>
      <c r="W210" s="207">
        <v>666</v>
      </c>
      <c r="X210" s="207">
        <v>344</v>
      </c>
      <c r="Y210" s="207">
        <v>167</v>
      </c>
      <c r="Z210" s="207">
        <v>6</v>
      </c>
      <c r="AA210" s="207">
        <v>0</v>
      </c>
      <c r="AB210" s="207">
        <v>3404</v>
      </c>
      <c r="AC210" s="207">
        <v>104</v>
      </c>
      <c r="AD210" s="207">
        <v>1177</v>
      </c>
      <c r="AE210" s="480">
        <v>1.3090065762744898</v>
      </c>
      <c r="AF210" s="207">
        <v>5418622.25043564</v>
      </c>
      <c r="AG210" s="175">
        <v>173</v>
      </c>
      <c r="AH210" s="175">
        <v>1555</v>
      </c>
      <c r="AI210" s="175">
        <v>1.1403546784216352</v>
      </c>
      <c r="AJ210" s="175">
        <v>104</v>
      </c>
      <c r="AK210" s="175">
        <v>0.029595902105862264</v>
      </c>
      <c r="AL210" s="175">
        <v>0.026314822995399268</v>
      </c>
      <c r="AM210" s="175">
        <v>0</v>
      </c>
      <c r="AN210" s="175">
        <v>6</v>
      </c>
      <c r="AO210" s="175">
        <v>0</v>
      </c>
      <c r="AP210" s="175">
        <v>0</v>
      </c>
      <c r="AQ210" s="175">
        <v>0</v>
      </c>
      <c r="AR210" s="175">
        <v>559.2</v>
      </c>
      <c r="AS210" s="175">
        <v>6.283977110157367</v>
      </c>
      <c r="AT210" s="175">
        <v>2.888381326465182</v>
      </c>
      <c r="AU210" s="175">
        <v>147</v>
      </c>
      <c r="AV210" s="175">
        <v>854</v>
      </c>
      <c r="AW210" s="175">
        <v>0.1721311475409836</v>
      </c>
      <c r="AX210" s="175">
        <v>0.1166699138114986</v>
      </c>
      <c r="AY210" s="175">
        <v>0.5637333333333333</v>
      </c>
      <c r="AZ210" s="207">
        <v>888</v>
      </c>
      <c r="BA210" s="175">
        <v>1255</v>
      </c>
      <c r="BB210" s="175">
        <v>0.7075697211155378</v>
      </c>
      <c r="BC210" s="175">
        <v>0.317874873691826</v>
      </c>
      <c r="BD210" s="175">
        <v>0</v>
      </c>
      <c r="BE210" s="175">
        <v>0</v>
      </c>
      <c r="BF210" s="207">
        <v>-22419.43</v>
      </c>
      <c r="BG210" s="207">
        <v>-27429.16</v>
      </c>
      <c r="BH210" s="207">
        <v>-14407.4</v>
      </c>
      <c r="BI210" s="207">
        <v>-59335.1</v>
      </c>
      <c r="BJ210" s="207">
        <v>0</v>
      </c>
      <c r="BK210" s="207">
        <v>0</v>
      </c>
      <c r="BL210" s="207">
        <v>-61714</v>
      </c>
      <c r="BM210" s="207">
        <v>-106973.36456201426</v>
      </c>
      <c r="BN210" s="207">
        <v>-149555.84</v>
      </c>
      <c r="BO210" s="207">
        <v>78566.64100998268</v>
      </c>
      <c r="BP210" s="207">
        <v>411804</v>
      </c>
      <c r="BQ210" s="207">
        <v>130474</v>
      </c>
      <c r="BR210" s="207">
        <v>344562.1825584938</v>
      </c>
      <c r="BS210" s="207">
        <v>19231.41621597007</v>
      </c>
      <c r="BT210" s="207">
        <v>10822.416604734512</v>
      </c>
      <c r="BU210" s="207">
        <v>149765.78572192296</v>
      </c>
      <c r="BV210" s="207">
        <v>221860.94889061732</v>
      </c>
      <c r="BW210" s="207">
        <v>352014.0620886088</v>
      </c>
      <c r="BX210" s="207">
        <v>109483.44561055586</v>
      </c>
      <c r="BY210" s="207">
        <v>181810.03428081225</v>
      </c>
      <c r="BZ210" s="207">
        <v>316.26</v>
      </c>
      <c r="CA210" s="207">
        <v>-5342.658567014834</v>
      </c>
      <c r="CB210" s="207">
        <v>11826.24244296784</v>
      </c>
      <c r="CC210" s="207">
        <v>-476033.2921190464</v>
      </c>
      <c r="CD210" s="207">
        <v>0</v>
      </c>
      <c r="CE210" s="207">
        <v>257046.2133631319</v>
      </c>
      <c r="CF210" s="207">
        <v>75444.89361739349</v>
      </c>
      <c r="CG210" s="207">
        <v>3208107.965993104</v>
      </c>
      <c r="CH210" s="207">
        <v>-163137</v>
      </c>
      <c r="CI210" s="207">
        <v>0</v>
      </c>
      <c r="CJ210" s="207">
        <v>145519.7021</v>
      </c>
      <c r="CK210" s="207">
        <v>-145519.7021</v>
      </c>
      <c r="CL210" s="207">
        <v>9637939.807913303</v>
      </c>
      <c r="CM210" s="207">
        <v>11373202.020928623</v>
      </c>
      <c r="CN210" s="207">
        <v>3553</v>
      </c>
    </row>
    <row r="211" spans="1:92" ht="9.75">
      <c r="A211" s="207">
        <v>683</v>
      </c>
      <c r="B211" s="207" t="s">
        <v>267</v>
      </c>
      <c r="C211" s="207">
        <v>3896</v>
      </c>
      <c r="D211" s="207">
        <v>15253462.860000001</v>
      </c>
      <c r="E211" s="207">
        <v>5423488.01592349</v>
      </c>
      <c r="F211" s="207">
        <v>3222761.429916168</v>
      </c>
      <c r="G211" s="207">
        <v>23899712.30583966</v>
      </c>
      <c r="H211" s="207">
        <v>3654.72</v>
      </c>
      <c r="I211" s="207">
        <v>14238789.12</v>
      </c>
      <c r="J211" s="207">
        <v>9660923.185839662</v>
      </c>
      <c r="K211" s="207">
        <v>4351422.106708594</v>
      </c>
      <c r="L211" s="207">
        <v>-253566.0351106397</v>
      </c>
      <c r="M211" s="207">
        <v>0</v>
      </c>
      <c r="N211" s="207">
        <v>13758779.257437617</v>
      </c>
      <c r="O211" s="207">
        <v>4971087.029642983</v>
      </c>
      <c r="P211" s="207">
        <v>18729866.2870806</v>
      </c>
      <c r="Q211" s="207">
        <v>217</v>
      </c>
      <c r="R211" s="207">
        <v>51</v>
      </c>
      <c r="S211" s="207">
        <v>339</v>
      </c>
      <c r="T211" s="207">
        <v>181</v>
      </c>
      <c r="U211" s="207">
        <v>157</v>
      </c>
      <c r="V211" s="207">
        <v>1915</v>
      </c>
      <c r="W211" s="207">
        <v>588</v>
      </c>
      <c r="X211" s="207">
        <v>324</v>
      </c>
      <c r="Y211" s="207">
        <v>124</v>
      </c>
      <c r="Z211" s="207">
        <v>1</v>
      </c>
      <c r="AA211" s="207">
        <v>0</v>
      </c>
      <c r="AB211" s="207">
        <v>3858</v>
      </c>
      <c r="AC211" s="207">
        <v>37</v>
      </c>
      <c r="AD211" s="207">
        <v>1036</v>
      </c>
      <c r="AE211" s="480">
        <v>1.1817196201239637</v>
      </c>
      <c r="AF211" s="207">
        <v>5423488.01592349</v>
      </c>
      <c r="AG211" s="175">
        <v>215</v>
      </c>
      <c r="AH211" s="175">
        <v>1539</v>
      </c>
      <c r="AI211" s="175">
        <v>1.4319375537125794</v>
      </c>
      <c r="AJ211" s="175">
        <v>37</v>
      </c>
      <c r="AK211" s="175">
        <v>0.009496919917864477</v>
      </c>
      <c r="AL211" s="175">
        <v>0.00621584080740148</v>
      </c>
      <c r="AM211" s="175">
        <v>0</v>
      </c>
      <c r="AN211" s="175">
        <v>1</v>
      </c>
      <c r="AO211" s="175">
        <v>0</v>
      </c>
      <c r="AP211" s="175">
        <v>0</v>
      </c>
      <c r="AQ211" s="175">
        <v>0</v>
      </c>
      <c r="AR211" s="175">
        <v>3453.62</v>
      </c>
      <c r="AS211" s="175">
        <v>1.1280916835088979</v>
      </c>
      <c r="AT211" s="175">
        <v>16.08958066640158</v>
      </c>
      <c r="AU211" s="175">
        <v>136</v>
      </c>
      <c r="AV211" s="175">
        <v>851</v>
      </c>
      <c r="AW211" s="175">
        <v>0.1598119858989424</v>
      </c>
      <c r="AX211" s="175">
        <v>0.10435075216945741</v>
      </c>
      <c r="AY211" s="175">
        <v>1.6678666666666668</v>
      </c>
      <c r="AZ211" s="207">
        <v>1218</v>
      </c>
      <c r="BA211" s="175">
        <v>1263</v>
      </c>
      <c r="BB211" s="175">
        <v>0.9643705463182898</v>
      </c>
      <c r="BC211" s="175">
        <v>0.5746756988945779</v>
      </c>
      <c r="BD211" s="175">
        <v>0</v>
      </c>
      <c r="BE211" s="175">
        <v>0</v>
      </c>
      <c r="BF211" s="207">
        <v>-25063.32</v>
      </c>
      <c r="BG211" s="207">
        <v>-30663.84</v>
      </c>
      <c r="BH211" s="207">
        <v>-15973.599999999999</v>
      </c>
      <c r="BI211" s="207">
        <v>-66332.4</v>
      </c>
      <c r="BJ211" s="207">
        <v>0</v>
      </c>
      <c r="BK211" s="207">
        <v>0</v>
      </c>
      <c r="BL211" s="207">
        <v>230009</v>
      </c>
      <c r="BM211" s="207">
        <v>-119486.38136340556</v>
      </c>
      <c r="BN211" s="207">
        <v>-165813.76</v>
      </c>
      <c r="BO211" s="207">
        <v>26685.365200374275</v>
      </c>
      <c r="BP211" s="207">
        <v>390442</v>
      </c>
      <c r="BQ211" s="207">
        <v>122609</v>
      </c>
      <c r="BR211" s="207">
        <v>347331.21264556574</v>
      </c>
      <c r="BS211" s="207">
        <v>19520.681091053913</v>
      </c>
      <c r="BT211" s="207">
        <v>49288.64328394005</v>
      </c>
      <c r="BU211" s="207">
        <v>162882.72037355308</v>
      </c>
      <c r="BV211" s="207">
        <v>214276.4605479164</v>
      </c>
      <c r="BW211" s="207">
        <v>320128.6243718793</v>
      </c>
      <c r="BX211" s="207">
        <v>93831.44175977557</v>
      </c>
      <c r="BY211" s="207">
        <v>177882.02778664883</v>
      </c>
      <c r="BZ211" s="207">
        <v>350.64</v>
      </c>
      <c r="CA211" s="207">
        <v>32173.621052391634</v>
      </c>
      <c r="CB211" s="207">
        <v>289218.62625276594</v>
      </c>
      <c r="CC211" s="207">
        <v>-253566.0351106397</v>
      </c>
      <c r="CD211" s="207">
        <v>0</v>
      </c>
      <c r="CE211" s="207">
        <v>252353.83534358026</v>
      </c>
      <c r="CF211" s="207">
        <v>0</v>
      </c>
      <c r="CG211" s="207">
        <v>4971087.029642983</v>
      </c>
      <c r="CH211" s="207">
        <v>185939</v>
      </c>
      <c r="CI211" s="207">
        <v>80270.3261</v>
      </c>
      <c r="CJ211" s="207">
        <v>108871.30258</v>
      </c>
      <c r="CK211" s="207">
        <v>-28600.976479999998</v>
      </c>
      <c r="CL211" s="207">
        <v>18915805.2870806</v>
      </c>
      <c r="CM211" s="207">
        <v>20484338.237136595</v>
      </c>
      <c r="CN211" s="207">
        <v>3972</v>
      </c>
    </row>
    <row r="212" spans="1:92" ht="9.75">
      <c r="A212" s="207">
        <v>684</v>
      </c>
      <c r="B212" s="207" t="s">
        <v>268</v>
      </c>
      <c r="C212" s="207">
        <v>39360</v>
      </c>
      <c r="D212" s="207">
        <v>136467637.39999998</v>
      </c>
      <c r="E212" s="207">
        <v>43456403.35664429</v>
      </c>
      <c r="F212" s="207">
        <v>9244495.397859648</v>
      </c>
      <c r="G212" s="207">
        <v>189168536.15450388</v>
      </c>
      <c r="H212" s="207">
        <v>3654.72</v>
      </c>
      <c r="I212" s="207">
        <v>143849779.2</v>
      </c>
      <c r="J212" s="207">
        <v>45318756.954503894</v>
      </c>
      <c r="K212" s="207">
        <v>1575564.8625394297</v>
      </c>
      <c r="L212" s="207">
        <v>-5381198.222592845</v>
      </c>
      <c r="M212" s="207">
        <v>0</v>
      </c>
      <c r="N212" s="207">
        <v>41513123.59445048</v>
      </c>
      <c r="O212" s="207">
        <v>-4698854.1528605195</v>
      </c>
      <c r="P212" s="207">
        <v>36814269.44158996</v>
      </c>
      <c r="Q212" s="207">
        <v>2086</v>
      </c>
      <c r="R212" s="207">
        <v>411</v>
      </c>
      <c r="S212" s="207">
        <v>2469</v>
      </c>
      <c r="T212" s="207">
        <v>1174</v>
      </c>
      <c r="U212" s="207">
        <v>1165</v>
      </c>
      <c r="V212" s="207">
        <v>22105</v>
      </c>
      <c r="W212" s="207">
        <v>5594</v>
      </c>
      <c r="X212" s="207">
        <v>3065</v>
      </c>
      <c r="Y212" s="207">
        <v>1291</v>
      </c>
      <c r="Z212" s="207">
        <v>118</v>
      </c>
      <c r="AA212" s="207">
        <v>2</v>
      </c>
      <c r="AB212" s="207">
        <v>37018</v>
      </c>
      <c r="AC212" s="207">
        <v>2222</v>
      </c>
      <c r="AD212" s="207">
        <v>9950</v>
      </c>
      <c r="AE212" s="480">
        <v>0.9372455760039298</v>
      </c>
      <c r="AF212" s="207">
        <v>43456403.35664429</v>
      </c>
      <c r="AG212" s="175">
        <v>1623</v>
      </c>
      <c r="AH212" s="175">
        <v>18396</v>
      </c>
      <c r="AI212" s="175">
        <v>0.904314215388234</v>
      </c>
      <c r="AJ212" s="175">
        <v>2222</v>
      </c>
      <c r="AK212" s="175">
        <v>0.05645325203252032</v>
      </c>
      <c r="AL212" s="175">
        <v>0.05317217292205732</v>
      </c>
      <c r="AM212" s="175">
        <v>0</v>
      </c>
      <c r="AN212" s="175">
        <v>118</v>
      </c>
      <c r="AO212" s="175">
        <v>2</v>
      </c>
      <c r="AP212" s="175">
        <v>0</v>
      </c>
      <c r="AQ212" s="175">
        <v>0</v>
      </c>
      <c r="AR212" s="175">
        <v>495.83</v>
      </c>
      <c r="AS212" s="175">
        <v>79.38204626585726</v>
      </c>
      <c r="AT212" s="175">
        <v>0.22864769799616308</v>
      </c>
      <c r="AU212" s="175">
        <v>1749</v>
      </c>
      <c r="AV212" s="175">
        <v>11808</v>
      </c>
      <c r="AW212" s="175">
        <v>0.148119918699187</v>
      </c>
      <c r="AX212" s="175">
        <v>0.092658684969702</v>
      </c>
      <c r="AY212" s="175">
        <v>0</v>
      </c>
      <c r="AZ212" s="207">
        <v>16588</v>
      </c>
      <c r="BA212" s="175">
        <v>16568</v>
      </c>
      <c r="BB212" s="175">
        <v>1.0012071463061323</v>
      </c>
      <c r="BC212" s="175">
        <v>0.6115122988824204</v>
      </c>
      <c r="BD212" s="175">
        <v>0</v>
      </c>
      <c r="BE212" s="175">
        <v>2</v>
      </c>
      <c r="BF212" s="207">
        <v>-250002.19999999998</v>
      </c>
      <c r="BG212" s="207">
        <v>-305866.39999999997</v>
      </c>
      <c r="BH212" s="207">
        <v>-161376</v>
      </c>
      <c r="BI212" s="207">
        <v>-661654</v>
      </c>
      <c r="BJ212" s="207">
        <v>0</v>
      </c>
      <c r="BK212" s="207">
        <v>0</v>
      </c>
      <c r="BL212" s="207">
        <v>819888</v>
      </c>
      <c r="BM212" s="207">
        <v>-1711948.3644707515</v>
      </c>
      <c r="BN212" s="207">
        <v>-1675161.6</v>
      </c>
      <c r="BO212" s="207">
        <v>441723.179392606</v>
      </c>
      <c r="BP212" s="207">
        <v>2791678</v>
      </c>
      <c r="BQ212" s="207">
        <v>1004850</v>
      </c>
      <c r="BR212" s="207">
        <v>2239849.184151838</v>
      </c>
      <c r="BS212" s="207">
        <v>98973.14985240079</v>
      </c>
      <c r="BT212" s="207">
        <v>-246556.0515552825</v>
      </c>
      <c r="BU212" s="207">
        <v>955269.0614246762</v>
      </c>
      <c r="BV212" s="207">
        <v>1905271.7645717259</v>
      </c>
      <c r="BW212" s="207">
        <v>3014864.1932441685</v>
      </c>
      <c r="BX212" s="207">
        <v>1134287.80984504</v>
      </c>
      <c r="BY212" s="207">
        <v>1813915.256291316</v>
      </c>
      <c r="BZ212" s="207">
        <v>3542.4</v>
      </c>
      <c r="CA212" s="207">
        <v>-673565.637514699</v>
      </c>
      <c r="CB212" s="207">
        <v>591587.9418779069</v>
      </c>
      <c r="CC212" s="207">
        <v>-5381198.222592845</v>
      </c>
      <c r="CD212" s="207">
        <v>0</v>
      </c>
      <c r="CE212" s="207">
        <v>4724703.557312804</v>
      </c>
      <c r="CF212" s="207">
        <v>0</v>
      </c>
      <c r="CG212" s="207">
        <v>-4698854.1528605195</v>
      </c>
      <c r="CH212" s="207">
        <v>-1941558</v>
      </c>
      <c r="CI212" s="207">
        <v>660717.9001</v>
      </c>
      <c r="CJ212" s="207">
        <v>3727218.355456</v>
      </c>
      <c r="CK212" s="207">
        <v>-3066500.455356</v>
      </c>
      <c r="CL212" s="207">
        <v>34872711.44158996</v>
      </c>
      <c r="CM212" s="207">
        <v>42761332.76631597</v>
      </c>
      <c r="CN212" s="207">
        <v>39620</v>
      </c>
    </row>
    <row r="213" spans="1:92" ht="9.75">
      <c r="A213" s="207">
        <v>686</v>
      </c>
      <c r="B213" s="207" t="s">
        <v>269</v>
      </c>
      <c r="C213" s="207">
        <v>3196</v>
      </c>
      <c r="D213" s="207">
        <v>12041909.540000001</v>
      </c>
      <c r="E213" s="207">
        <v>5975872.6372938715</v>
      </c>
      <c r="F213" s="207">
        <v>936593.7978594478</v>
      </c>
      <c r="G213" s="207">
        <v>18954375.975153323</v>
      </c>
      <c r="H213" s="207">
        <v>3654.72</v>
      </c>
      <c r="I213" s="207">
        <v>11680485.12</v>
      </c>
      <c r="J213" s="207">
        <v>7273890.855153324</v>
      </c>
      <c r="K213" s="207">
        <v>227760.03047109835</v>
      </c>
      <c r="L213" s="207">
        <v>-307265.00080254243</v>
      </c>
      <c r="M213" s="207">
        <v>0</v>
      </c>
      <c r="N213" s="207">
        <v>7194385.884821881</v>
      </c>
      <c r="O213" s="207">
        <v>3023841.142815588</v>
      </c>
      <c r="P213" s="207">
        <v>10218227.027637469</v>
      </c>
      <c r="Q213" s="207">
        <v>124</v>
      </c>
      <c r="R213" s="207">
        <v>32</v>
      </c>
      <c r="S213" s="207">
        <v>193</v>
      </c>
      <c r="T213" s="207">
        <v>109</v>
      </c>
      <c r="U213" s="207">
        <v>111</v>
      </c>
      <c r="V213" s="207">
        <v>1536</v>
      </c>
      <c r="W213" s="207">
        <v>621</v>
      </c>
      <c r="X213" s="207">
        <v>333</v>
      </c>
      <c r="Y213" s="207">
        <v>137</v>
      </c>
      <c r="Z213" s="207">
        <v>3</v>
      </c>
      <c r="AA213" s="207">
        <v>0</v>
      </c>
      <c r="AB213" s="207">
        <v>3096</v>
      </c>
      <c r="AC213" s="207">
        <v>97</v>
      </c>
      <c r="AD213" s="207">
        <v>1091</v>
      </c>
      <c r="AE213" s="480">
        <v>1.5872643853665425</v>
      </c>
      <c r="AF213" s="207">
        <v>5975872.6372938715</v>
      </c>
      <c r="AG213" s="175">
        <v>112</v>
      </c>
      <c r="AH213" s="175">
        <v>1234</v>
      </c>
      <c r="AI213" s="175">
        <v>0.9303087416920957</v>
      </c>
      <c r="AJ213" s="175">
        <v>97</v>
      </c>
      <c r="AK213" s="175">
        <v>0.03035043804755945</v>
      </c>
      <c r="AL213" s="175">
        <v>0.027069358937096454</v>
      </c>
      <c r="AM213" s="175">
        <v>0</v>
      </c>
      <c r="AN213" s="175">
        <v>3</v>
      </c>
      <c r="AO213" s="175">
        <v>0</v>
      </c>
      <c r="AP213" s="175">
        <v>0</v>
      </c>
      <c r="AQ213" s="175">
        <v>0</v>
      </c>
      <c r="AR213" s="175">
        <v>538.96</v>
      </c>
      <c r="AS213" s="175">
        <v>5.929939142051357</v>
      </c>
      <c r="AT213" s="175">
        <v>3.0608277262411034</v>
      </c>
      <c r="AU213" s="175">
        <v>111</v>
      </c>
      <c r="AV213" s="175">
        <v>823</v>
      </c>
      <c r="AW213" s="175">
        <v>0.13487241798298907</v>
      </c>
      <c r="AX213" s="175">
        <v>0.07941118425350407</v>
      </c>
      <c r="AY213" s="175">
        <v>0.19326666666666667</v>
      </c>
      <c r="AZ213" s="207">
        <v>908</v>
      </c>
      <c r="BA213" s="175">
        <v>1079</v>
      </c>
      <c r="BB213" s="175">
        <v>0.8415199258572753</v>
      </c>
      <c r="BC213" s="175">
        <v>0.45182507843356345</v>
      </c>
      <c r="BD213" s="175">
        <v>0</v>
      </c>
      <c r="BE213" s="175">
        <v>0</v>
      </c>
      <c r="BF213" s="207">
        <v>-20539.05</v>
      </c>
      <c r="BG213" s="207">
        <v>-25128.6</v>
      </c>
      <c r="BH213" s="207">
        <v>-13103.599999999999</v>
      </c>
      <c r="BI213" s="207">
        <v>-54358.5</v>
      </c>
      <c r="BJ213" s="207">
        <v>0</v>
      </c>
      <c r="BK213" s="207">
        <v>0</v>
      </c>
      <c r="BL213" s="207">
        <v>82080</v>
      </c>
      <c r="BM213" s="207">
        <v>-96826.3184672748</v>
      </c>
      <c r="BN213" s="207">
        <v>-136021.76</v>
      </c>
      <c r="BO213" s="207">
        <v>44659.95051725209</v>
      </c>
      <c r="BP213" s="207">
        <v>362670</v>
      </c>
      <c r="BQ213" s="207">
        <v>102000</v>
      </c>
      <c r="BR213" s="207">
        <v>267642.6833515385</v>
      </c>
      <c r="BS213" s="207">
        <v>13261.625876543416</v>
      </c>
      <c r="BT213" s="207">
        <v>41439.79547026726</v>
      </c>
      <c r="BU213" s="207">
        <v>141735.98122573993</v>
      </c>
      <c r="BV213" s="207">
        <v>170023.73389113502</v>
      </c>
      <c r="BW213" s="207">
        <v>295831.9159426533</v>
      </c>
      <c r="BX213" s="207">
        <v>79431.95436947807</v>
      </c>
      <c r="BY213" s="207">
        <v>154362.25998894344</v>
      </c>
      <c r="BZ213" s="207">
        <v>287.64</v>
      </c>
      <c r="CA213" s="207">
        <v>9674.597147480374</v>
      </c>
      <c r="CB213" s="207">
        <v>136702.18766473245</v>
      </c>
      <c r="CC213" s="207">
        <v>-307265.00080254243</v>
      </c>
      <c r="CD213" s="207">
        <v>0</v>
      </c>
      <c r="CE213" s="207">
        <v>220006.05179252618</v>
      </c>
      <c r="CF213" s="207">
        <v>0</v>
      </c>
      <c r="CG213" s="207">
        <v>3023841.142815588</v>
      </c>
      <c r="CH213" s="207">
        <v>123549</v>
      </c>
      <c r="CI213" s="207">
        <v>97942.03210000001</v>
      </c>
      <c r="CJ213" s="207">
        <v>37654.3274</v>
      </c>
      <c r="CK213" s="207">
        <v>60287.70470000001</v>
      </c>
      <c r="CL213" s="207">
        <v>10341776.027637469</v>
      </c>
      <c r="CM213" s="207">
        <v>11538909.901162624</v>
      </c>
      <c r="CN213" s="207">
        <v>3255</v>
      </c>
    </row>
    <row r="214" spans="1:92" ht="9.75">
      <c r="A214" s="207">
        <v>687</v>
      </c>
      <c r="B214" s="207" t="s">
        <v>270</v>
      </c>
      <c r="C214" s="207">
        <v>1651</v>
      </c>
      <c r="D214" s="207">
        <v>6060314.88</v>
      </c>
      <c r="E214" s="207">
        <v>4241350.445563862</v>
      </c>
      <c r="F214" s="207">
        <v>1179307.6302284696</v>
      </c>
      <c r="G214" s="207">
        <v>11480972.955792332</v>
      </c>
      <c r="H214" s="207">
        <v>3654.72</v>
      </c>
      <c r="I214" s="207">
        <v>6033942.72</v>
      </c>
      <c r="J214" s="207">
        <v>5447030.235792332</v>
      </c>
      <c r="K214" s="207">
        <v>667797.2440623998</v>
      </c>
      <c r="L214" s="207">
        <v>-152065.8675799971</v>
      </c>
      <c r="M214" s="207">
        <v>0</v>
      </c>
      <c r="N214" s="207">
        <v>5962761.612274734</v>
      </c>
      <c r="O214" s="207">
        <v>1296036.0085953865</v>
      </c>
      <c r="P214" s="207">
        <v>7258797.620870121</v>
      </c>
      <c r="Q214" s="207">
        <v>50</v>
      </c>
      <c r="R214" s="207">
        <v>8</v>
      </c>
      <c r="S214" s="207">
        <v>80</v>
      </c>
      <c r="T214" s="207">
        <v>39</v>
      </c>
      <c r="U214" s="207">
        <v>46</v>
      </c>
      <c r="V214" s="207">
        <v>782</v>
      </c>
      <c r="W214" s="207">
        <v>347</v>
      </c>
      <c r="X214" s="207">
        <v>221</v>
      </c>
      <c r="Y214" s="207">
        <v>78</v>
      </c>
      <c r="Z214" s="207">
        <v>1</v>
      </c>
      <c r="AA214" s="207">
        <v>0</v>
      </c>
      <c r="AB214" s="207">
        <v>1632</v>
      </c>
      <c r="AC214" s="207">
        <v>18</v>
      </c>
      <c r="AD214" s="207">
        <v>646</v>
      </c>
      <c r="AE214" s="480">
        <v>2.1807796918695477</v>
      </c>
      <c r="AF214" s="207">
        <v>4241350.445563862</v>
      </c>
      <c r="AG214" s="175">
        <v>81</v>
      </c>
      <c r="AH214" s="175">
        <v>611</v>
      </c>
      <c r="AI214" s="175">
        <v>1.3588391391029304</v>
      </c>
      <c r="AJ214" s="175">
        <v>18</v>
      </c>
      <c r="AK214" s="175">
        <v>0.010902483343428226</v>
      </c>
      <c r="AL214" s="175">
        <v>0.00762140423296523</v>
      </c>
      <c r="AM214" s="175">
        <v>0</v>
      </c>
      <c r="AN214" s="175">
        <v>1</v>
      </c>
      <c r="AO214" s="175">
        <v>0</v>
      </c>
      <c r="AP214" s="175">
        <v>0</v>
      </c>
      <c r="AQ214" s="175">
        <v>0</v>
      </c>
      <c r="AR214" s="175">
        <v>1150.95</v>
      </c>
      <c r="AS214" s="175">
        <v>1.434467179286676</v>
      </c>
      <c r="AT214" s="175">
        <v>12.653145643903102</v>
      </c>
      <c r="AU214" s="175">
        <v>87</v>
      </c>
      <c r="AV214" s="175">
        <v>380</v>
      </c>
      <c r="AW214" s="175">
        <v>0.22894736842105262</v>
      </c>
      <c r="AX214" s="175">
        <v>0.17348613469156762</v>
      </c>
      <c r="AY214" s="175">
        <v>1.1493166666666665</v>
      </c>
      <c r="AZ214" s="207">
        <v>444</v>
      </c>
      <c r="BA214" s="175">
        <v>500</v>
      </c>
      <c r="BB214" s="175">
        <v>0.888</v>
      </c>
      <c r="BC214" s="175">
        <v>0.49830515257628816</v>
      </c>
      <c r="BD214" s="175">
        <v>0</v>
      </c>
      <c r="BE214" s="175">
        <v>0</v>
      </c>
      <c r="BF214" s="207">
        <v>-10714.38</v>
      </c>
      <c r="BG214" s="207">
        <v>-13108.56</v>
      </c>
      <c r="BH214" s="207">
        <v>-6769.099999999999</v>
      </c>
      <c r="BI214" s="207">
        <v>-28356.6</v>
      </c>
      <c r="BJ214" s="207">
        <v>0</v>
      </c>
      <c r="BK214" s="207">
        <v>0</v>
      </c>
      <c r="BL214" s="207">
        <v>60400</v>
      </c>
      <c r="BM214" s="207">
        <v>-77047.94972423911</v>
      </c>
      <c r="BN214" s="207">
        <v>-70266.56</v>
      </c>
      <c r="BO214" s="207">
        <v>78279.17512978334</v>
      </c>
      <c r="BP214" s="207">
        <v>218394</v>
      </c>
      <c r="BQ214" s="207">
        <v>59737</v>
      </c>
      <c r="BR214" s="207">
        <v>173456.8360217028</v>
      </c>
      <c r="BS214" s="207">
        <v>9949.982020102858</v>
      </c>
      <c r="BT214" s="207">
        <v>29351.961617280187</v>
      </c>
      <c r="BU214" s="207">
        <v>82980.82958067652</v>
      </c>
      <c r="BV214" s="207">
        <v>94923.59479533053</v>
      </c>
      <c r="BW214" s="207">
        <v>146572.1957154571</v>
      </c>
      <c r="BX214" s="207">
        <v>46860.10976919556</v>
      </c>
      <c r="BY214" s="207">
        <v>87182.78062056549</v>
      </c>
      <c r="BZ214" s="207">
        <v>148.59</v>
      </c>
      <c r="CA214" s="207">
        <v>-34010.82298554135</v>
      </c>
      <c r="CB214" s="207">
        <v>104816.94214424198</v>
      </c>
      <c r="CC214" s="207">
        <v>-152065.8675799971</v>
      </c>
      <c r="CD214" s="207">
        <v>0</v>
      </c>
      <c r="CE214" s="207">
        <v>125192.00739380659</v>
      </c>
      <c r="CF214" s="207">
        <v>0</v>
      </c>
      <c r="CG214" s="207">
        <v>1296036.0085953865</v>
      </c>
      <c r="CH214" s="207">
        <v>45391</v>
      </c>
      <c r="CI214" s="207">
        <v>134576.838</v>
      </c>
      <c r="CJ214" s="207">
        <v>24468.516000000003</v>
      </c>
      <c r="CK214" s="207">
        <v>110108.32199999999</v>
      </c>
      <c r="CL214" s="207">
        <v>7304188.620870121</v>
      </c>
      <c r="CM214" s="207">
        <v>7887061.413825994</v>
      </c>
      <c r="CN214" s="207">
        <v>1698</v>
      </c>
    </row>
    <row r="215" spans="1:92" ht="9.75">
      <c r="A215" s="207">
        <v>689</v>
      </c>
      <c r="B215" s="207" t="s">
        <v>271</v>
      </c>
      <c r="C215" s="207">
        <v>3335</v>
      </c>
      <c r="D215" s="207">
        <v>12140562.970000003</v>
      </c>
      <c r="E215" s="207">
        <v>6392893.41768143</v>
      </c>
      <c r="F215" s="207">
        <v>1016057.7780458151</v>
      </c>
      <c r="G215" s="207">
        <v>19549514.165727247</v>
      </c>
      <c r="H215" s="207">
        <v>3654.72</v>
      </c>
      <c r="I215" s="207">
        <v>12188491.2</v>
      </c>
      <c r="J215" s="207">
        <v>7361022.965727247</v>
      </c>
      <c r="K215" s="207">
        <v>567958.7606008336</v>
      </c>
      <c r="L215" s="207">
        <v>-513637.3131124876</v>
      </c>
      <c r="M215" s="207">
        <v>0</v>
      </c>
      <c r="N215" s="207">
        <v>7415344.4132155925</v>
      </c>
      <c r="O215" s="207">
        <v>1300352.255387193</v>
      </c>
      <c r="P215" s="207">
        <v>8715696.668602785</v>
      </c>
      <c r="Q215" s="207">
        <v>99</v>
      </c>
      <c r="R215" s="207">
        <v>23</v>
      </c>
      <c r="S215" s="207">
        <v>149</v>
      </c>
      <c r="T215" s="207">
        <v>75</v>
      </c>
      <c r="U215" s="207">
        <v>77</v>
      </c>
      <c r="V215" s="207">
        <v>1677</v>
      </c>
      <c r="W215" s="207">
        <v>680</v>
      </c>
      <c r="X215" s="207">
        <v>377</v>
      </c>
      <c r="Y215" s="207">
        <v>178</v>
      </c>
      <c r="Z215" s="207">
        <v>3</v>
      </c>
      <c r="AA215" s="207">
        <v>0</v>
      </c>
      <c r="AB215" s="207">
        <v>3246</v>
      </c>
      <c r="AC215" s="207">
        <v>86</v>
      </c>
      <c r="AD215" s="207">
        <v>1235</v>
      </c>
      <c r="AE215" s="480">
        <v>1.627257699931383</v>
      </c>
      <c r="AF215" s="207">
        <v>6392893.41768143</v>
      </c>
      <c r="AG215" s="175">
        <v>202</v>
      </c>
      <c r="AH215" s="175">
        <v>1337</v>
      </c>
      <c r="AI215" s="175">
        <v>1.5486176369277254</v>
      </c>
      <c r="AJ215" s="175">
        <v>86</v>
      </c>
      <c r="AK215" s="175">
        <v>0.025787106446776613</v>
      </c>
      <c r="AL215" s="175">
        <v>0.022506027336313617</v>
      </c>
      <c r="AM215" s="175">
        <v>0</v>
      </c>
      <c r="AN215" s="175">
        <v>3</v>
      </c>
      <c r="AO215" s="175">
        <v>0</v>
      </c>
      <c r="AP215" s="175">
        <v>0</v>
      </c>
      <c r="AQ215" s="175">
        <v>0</v>
      </c>
      <c r="AR215" s="175">
        <v>351.51</v>
      </c>
      <c r="AS215" s="175">
        <v>9.487639042985975</v>
      </c>
      <c r="AT215" s="175">
        <v>1.913070476087673</v>
      </c>
      <c r="AU215" s="175">
        <v>126</v>
      </c>
      <c r="AV215" s="175">
        <v>792</v>
      </c>
      <c r="AW215" s="175">
        <v>0.1590909090909091</v>
      </c>
      <c r="AX215" s="175">
        <v>0.10362967536142409</v>
      </c>
      <c r="AY215" s="175">
        <v>0.6465333333333334</v>
      </c>
      <c r="AZ215" s="207">
        <v>916</v>
      </c>
      <c r="BA215" s="175">
        <v>1064</v>
      </c>
      <c r="BB215" s="175">
        <v>0.8609022556390977</v>
      </c>
      <c r="BC215" s="175">
        <v>0.47120740821538587</v>
      </c>
      <c r="BD215" s="175">
        <v>0</v>
      </c>
      <c r="BE215" s="175">
        <v>0</v>
      </c>
      <c r="BF215" s="207">
        <v>-21681.16</v>
      </c>
      <c r="BG215" s="207">
        <v>-26525.92</v>
      </c>
      <c r="BH215" s="207">
        <v>-13673.499999999998</v>
      </c>
      <c r="BI215" s="207">
        <v>-57381.2</v>
      </c>
      <c r="BJ215" s="207">
        <v>0</v>
      </c>
      <c r="BK215" s="207">
        <v>0</v>
      </c>
      <c r="BL215" s="207">
        <v>20434</v>
      </c>
      <c r="BM215" s="207">
        <v>-136143.2425714315</v>
      </c>
      <c r="BN215" s="207">
        <v>-141937.6</v>
      </c>
      <c r="BO215" s="207">
        <v>-30003.020192259923</v>
      </c>
      <c r="BP215" s="207">
        <v>325681</v>
      </c>
      <c r="BQ215" s="207">
        <v>97347</v>
      </c>
      <c r="BR215" s="207">
        <v>241802.7511438312</v>
      </c>
      <c r="BS215" s="207">
        <v>12693.207108820638</v>
      </c>
      <c r="BT215" s="207">
        <v>48835.58689050997</v>
      </c>
      <c r="BU215" s="207">
        <v>132015.90703346976</v>
      </c>
      <c r="BV215" s="207">
        <v>166885.05560943205</v>
      </c>
      <c r="BW215" s="207">
        <v>280292.94047990604</v>
      </c>
      <c r="BX215" s="207">
        <v>76194.95326775785</v>
      </c>
      <c r="BY215" s="207">
        <v>135895.78831440024</v>
      </c>
      <c r="BZ215" s="207">
        <v>300.15</v>
      </c>
      <c r="CA215" s="207">
        <v>-4774.720348796178</v>
      </c>
      <c r="CB215" s="207">
        <v>-14043.5905410561</v>
      </c>
      <c r="CC215" s="207">
        <v>-513637.3131124876</v>
      </c>
      <c r="CD215" s="207">
        <v>0</v>
      </c>
      <c r="CE215" s="207">
        <v>172840.80402792315</v>
      </c>
      <c r="CF215" s="207">
        <v>91202.00320430283</v>
      </c>
      <c r="CG215" s="207">
        <v>1300352.255387193</v>
      </c>
      <c r="CH215" s="207">
        <v>-419979</v>
      </c>
      <c r="CI215" s="207">
        <v>70754.7921</v>
      </c>
      <c r="CJ215" s="207">
        <v>86346.67424</v>
      </c>
      <c r="CK215" s="207">
        <v>-15591.882139999987</v>
      </c>
      <c r="CL215" s="207">
        <v>8295717.668602785</v>
      </c>
      <c r="CM215" s="207">
        <v>10120214.728039224</v>
      </c>
      <c r="CN215" s="207">
        <v>3436</v>
      </c>
    </row>
    <row r="216" spans="1:92" ht="9.75">
      <c r="A216" s="207">
        <v>691</v>
      </c>
      <c r="B216" s="207" t="s">
        <v>272</v>
      </c>
      <c r="C216" s="207">
        <v>2743</v>
      </c>
      <c r="D216" s="207">
        <v>10961777.649999999</v>
      </c>
      <c r="E216" s="207">
        <v>4934187.884895721</v>
      </c>
      <c r="F216" s="207">
        <v>646352.206174228</v>
      </c>
      <c r="G216" s="207">
        <v>16542317.741069948</v>
      </c>
      <c r="H216" s="207">
        <v>3654.72</v>
      </c>
      <c r="I216" s="207">
        <v>10024896.959999999</v>
      </c>
      <c r="J216" s="207">
        <v>6517420.781069949</v>
      </c>
      <c r="K216" s="207">
        <v>415747.17217388126</v>
      </c>
      <c r="L216" s="207">
        <v>-344909.93931686145</v>
      </c>
      <c r="M216" s="207">
        <v>0</v>
      </c>
      <c r="N216" s="207">
        <v>6588258.013926969</v>
      </c>
      <c r="O216" s="207">
        <v>3106801.2429046547</v>
      </c>
      <c r="P216" s="207">
        <v>9695059.256831624</v>
      </c>
      <c r="Q216" s="207">
        <v>178</v>
      </c>
      <c r="R216" s="207">
        <v>38</v>
      </c>
      <c r="S216" s="207">
        <v>210</v>
      </c>
      <c r="T216" s="207">
        <v>128</v>
      </c>
      <c r="U216" s="207">
        <v>122</v>
      </c>
      <c r="V216" s="207">
        <v>1355</v>
      </c>
      <c r="W216" s="207">
        <v>384</v>
      </c>
      <c r="X216" s="207">
        <v>231</v>
      </c>
      <c r="Y216" s="207">
        <v>97</v>
      </c>
      <c r="Z216" s="207">
        <v>3</v>
      </c>
      <c r="AA216" s="207">
        <v>0</v>
      </c>
      <c r="AB216" s="207">
        <v>2731</v>
      </c>
      <c r="AC216" s="207">
        <v>9</v>
      </c>
      <c r="AD216" s="207">
        <v>712</v>
      </c>
      <c r="AE216" s="480">
        <v>1.5270195053981277</v>
      </c>
      <c r="AF216" s="207">
        <v>4934187.884895721</v>
      </c>
      <c r="AG216" s="175">
        <v>74</v>
      </c>
      <c r="AH216" s="175">
        <v>1154</v>
      </c>
      <c r="AI216" s="175">
        <v>0.6572795947044087</v>
      </c>
      <c r="AJ216" s="175">
        <v>9</v>
      </c>
      <c r="AK216" s="175">
        <v>0.0032810791104629965</v>
      </c>
      <c r="AL216" s="175">
        <v>0</v>
      </c>
      <c r="AM216" s="175">
        <v>0</v>
      </c>
      <c r="AN216" s="175">
        <v>3</v>
      </c>
      <c r="AO216" s="175">
        <v>0</v>
      </c>
      <c r="AP216" s="175">
        <v>0</v>
      </c>
      <c r="AQ216" s="175">
        <v>0</v>
      </c>
      <c r="AR216" s="175">
        <v>474.45</v>
      </c>
      <c r="AS216" s="175">
        <v>5.781431130783012</v>
      </c>
      <c r="AT216" s="175">
        <v>3.1394514144208</v>
      </c>
      <c r="AU216" s="175">
        <v>123</v>
      </c>
      <c r="AV216" s="175">
        <v>685</v>
      </c>
      <c r="AW216" s="175">
        <v>0.17956204379562044</v>
      </c>
      <c r="AX216" s="175">
        <v>0.12410081006613544</v>
      </c>
      <c r="AY216" s="175">
        <v>0.5479833333333334</v>
      </c>
      <c r="AZ216" s="207">
        <v>930</v>
      </c>
      <c r="BA216" s="175">
        <v>1034</v>
      </c>
      <c r="BB216" s="175">
        <v>0.8994197292069632</v>
      </c>
      <c r="BC216" s="175">
        <v>0.5097248817832514</v>
      </c>
      <c r="BD216" s="175">
        <v>0</v>
      </c>
      <c r="BE216" s="175">
        <v>0</v>
      </c>
      <c r="BF216" s="207">
        <v>-17750.03</v>
      </c>
      <c r="BG216" s="207">
        <v>-21716.36</v>
      </c>
      <c r="BH216" s="207">
        <v>-11246.3</v>
      </c>
      <c r="BI216" s="207">
        <v>-46977.1</v>
      </c>
      <c r="BJ216" s="207">
        <v>0</v>
      </c>
      <c r="BK216" s="207">
        <v>0</v>
      </c>
      <c r="BL216" s="207">
        <v>1125</v>
      </c>
      <c r="BM216" s="207">
        <v>-73390.72768612395</v>
      </c>
      <c r="BN216" s="207">
        <v>-116742.08</v>
      </c>
      <c r="BO216" s="207">
        <v>17542.227682605386</v>
      </c>
      <c r="BP216" s="207">
        <v>279753</v>
      </c>
      <c r="BQ216" s="207">
        <v>82585</v>
      </c>
      <c r="BR216" s="207">
        <v>234894.54925491245</v>
      </c>
      <c r="BS216" s="207">
        <v>11397.25428446925</v>
      </c>
      <c r="BT216" s="207">
        <v>43223.19502340273</v>
      </c>
      <c r="BU216" s="207">
        <v>116300.28153997274</v>
      </c>
      <c r="BV216" s="207">
        <v>159182.77197731164</v>
      </c>
      <c r="BW216" s="207">
        <v>290154.133997758</v>
      </c>
      <c r="BX216" s="207">
        <v>74547.25512168124</v>
      </c>
      <c r="BY216" s="207">
        <v>137589.4888417758</v>
      </c>
      <c r="BZ216" s="207">
        <v>246.87</v>
      </c>
      <c r="CA216" s="207">
        <v>8098.940686657092</v>
      </c>
      <c r="CB216" s="207">
        <v>27013.038369262475</v>
      </c>
      <c r="CC216" s="207">
        <v>-344909.93931686145</v>
      </c>
      <c r="CD216" s="207">
        <v>0</v>
      </c>
      <c r="CE216" s="207">
        <v>194956.26325318945</v>
      </c>
      <c r="CF216" s="207">
        <v>0</v>
      </c>
      <c r="CG216" s="207">
        <v>3106801.2429046547</v>
      </c>
      <c r="CH216" s="207">
        <v>-151537</v>
      </c>
      <c r="CI216" s="207">
        <v>92504.58410000001</v>
      </c>
      <c r="CJ216" s="207">
        <v>156326.63000000003</v>
      </c>
      <c r="CK216" s="207">
        <v>-63822.04590000003</v>
      </c>
      <c r="CL216" s="207">
        <v>9543522.256831624</v>
      </c>
      <c r="CM216" s="207">
        <v>14050013.40650975</v>
      </c>
      <c r="CN216" s="207">
        <v>2813</v>
      </c>
    </row>
    <row r="217" spans="1:92" ht="9.75">
      <c r="A217" s="207">
        <v>694</v>
      </c>
      <c r="B217" s="207" t="s">
        <v>273</v>
      </c>
      <c r="C217" s="207">
        <v>28736</v>
      </c>
      <c r="D217" s="207">
        <v>98298163.47000001</v>
      </c>
      <c r="E217" s="207">
        <v>32603307.291302975</v>
      </c>
      <c r="F217" s="207">
        <v>6113039.960992967</v>
      </c>
      <c r="G217" s="207">
        <v>137014510.72229597</v>
      </c>
      <c r="H217" s="207">
        <v>3654.72</v>
      </c>
      <c r="I217" s="207">
        <v>105022033.91999999</v>
      </c>
      <c r="J217" s="207">
        <v>31992476.802295983</v>
      </c>
      <c r="K217" s="207">
        <v>948834.4816950127</v>
      </c>
      <c r="L217" s="207">
        <v>-4799085.595682444</v>
      </c>
      <c r="M217" s="207">
        <v>0</v>
      </c>
      <c r="N217" s="207">
        <v>28142225.688308552</v>
      </c>
      <c r="O217" s="207">
        <v>1107414.697355457</v>
      </c>
      <c r="P217" s="207">
        <v>29249640.38566401</v>
      </c>
      <c r="Q217" s="207">
        <v>1596</v>
      </c>
      <c r="R217" s="207">
        <v>316</v>
      </c>
      <c r="S217" s="207">
        <v>2072</v>
      </c>
      <c r="T217" s="207">
        <v>994</v>
      </c>
      <c r="U217" s="207">
        <v>973</v>
      </c>
      <c r="V217" s="207">
        <v>16612</v>
      </c>
      <c r="W217" s="207">
        <v>3617</v>
      </c>
      <c r="X217" s="207">
        <v>1791</v>
      </c>
      <c r="Y217" s="207">
        <v>765</v>
      </c>
      <c r="Z217" s="207">
        <v>114</v>
      </c>
      <c r="AA217" s="207">
        <v>0</v>
      </c>
      <c r="AB217" s="207">
        <v>27189</v>
      </c>
      <c r="AC217" s="207">
        <v>1433</v>
      </c>
      <c r="AD217" s="207">
        <v>6173</v>
      </c>
      <c r="AE217" s="480">
        <v>0.963141401618025</v>
      </c>
      <c r="AF217" s="207">
        <v>32603307.291302975</v>
      </c>
      <c r="AG217" s="175">
        <v>1217</v>
      </c>
      <c r="AH217" s="175">
        <v>14165</v>
      </c>
      <c r="AI217" s="175">
        <v>0.8806396560189048</v>
      </c>
      <c r="AJ217" s="175">
        <v>1433</v>
      </c>
      <c r="AK217" s="175">
        <v>0.049867761692650336</v>
      </c>
      <c r="AL217" s="175">
        <v>0.04658668258218734</v>
      </c>
      <c r="AM217" s="175">
        <v>0</v>
      </c>
      <c r="AN217" s="175">
        <v>114</v>
      </c>
      <c r="AO217" s="175">
        <v>0</v>
      </c>
      <c r="AP217" s="175">
        <v>0</v>
      </c>
      <c r="AQ217" s="175">
        <v>0</v>
      </c>
      <c r="AR217" s="175">
        <v>121.01</v>
      </c>
      <c r="AS217" s="175">
        <v>237.46797785306998</v>
      </c>
      <c r="AT217" s="175">
        <v>0.07643355666313695</v>
      </c>
      <c r="AU217" s="175">
        <v>1322</v>
      </c>
      <c r="AV217" s="175">
        <v>9053</v>
      </c>
      <c r="AW217" s="175">
        <v>0.14602894068264663</v>
      </c>
      <c r="AX217" s="175">
        <v>0.09056770695316163</v>
      </c>
      <c r="AY217" s="175">
        <v>0</v>
      </c>
      <c r="AZ217" s="207">
        <v>11036</v>
      </c>
      <c r="BA217" s="175">
        <v>12343</v>
      </c>
      <c r="BB217" s="175">
        <v>0.8941100218747469</v>
      </c>
      <c r="BC217" s="175">
        <v>0.504415174451035</v>
      </c>
      <c r="BD217" s="175">
        <v>0</v>
      </c>
      <c r="BE217" s="175">
        <v>0</v>
      </c>
      <c r="BF217" s="207">
        <v>-183122.50999999998</v>
      </c>
      <c r="BG217" s="207">
        <v>-224042.12</v>
      </c>
      <c r="BH217" s="207">
        <v>-117817.59999999999</v>
      </c>
      <c r="BI217" s="207">
        <v>-484650.69999999995</v>
      </c>
      <c r="BJ217" s="207">
        <v>0</v>
      </c>
      <c r="BK217" s="207">
        <v>0</v>
      </c>
      <c r="BL217" s="207">
        <v>658284</v>
      </c>
      <c r="BM217" s="207">
        <v>-2474370.345729028</v>
      </c>
      <c r="BN217" s="207">
        <v>-1223004.1600000001</v>
      </c>
      <c r="BO217" s="207">
        <v>-40213.59984558821</v>
      </c>
      <c r="BP217" s="207">
        <v>1862094</v>
      </c>
      <c r="BQ217" s="207">
        <v>644858</v>
      </c>
      <c r="BR217" s="207">
        <v>1377691.1378719537</v>
      </c>
      <c r="BS217" s="207">
        <v>37343.72389893481</v>
      </c>
      <c r="BT217" s="207">
        <v>125027.78905120381</v>
      </c>
      <c r="BU217" s="207">
        <v>564070.1081007131</v>
      </c>
      <c r="BV217" s="207">
        <v>1348464.5471801157</v>
      </c>
      <c r="BW217" s="207">
        <v>2106124.3002889347</v>
      </c>
      <c r="BX217" s="207">
        <v>643405.0512731222</v>
      </c>
      <c r="BY217" s="207">
        <v>1110852.129278579</v>
      </c>
      <c r="BZ217" s="207">
        <v>2586.24</v>
      </c>
      <c r="CA217" s="207">
        <v>168310.95989217295</v>
      </c>
      <c r="CB217" s="207">
        <v>788967.6000465847</v>
      </c>
      <c r="CC217" s="207">
        <v>-4799085.595682444</v>
      </c>
      <c r="CD217" s="207">
        <v>0</v>
      </c>
      <c r="CE217" s="207">
        <v>1349792.11827776</v>
      </c>
      <c r="CF217" s="207">
        <v>0</v>
      </c>
      <c r="CG217" s="207">
        <v>1107414.697355457</v>
      </c>
      <c r="CH217" s="207">
        <v>-847776</v>
      </c>
      <c r="CI217" s="207">
        <v>934085.5983000002</v>
      </c>
      <c r="CJ217" s="207">
        <v>633676.1118340002</v>
      </c>
      <c r="CK217" s="207">
        <v>300409.486466</v>
      </c>
      <c r="CL217" s="207">
        <v>28401864.38566401</v>
      </c>
      <c r="CM217" s="207">
        <v>34767983.20763087</v>
      </c>
      <c r="CN217" s="207">
        <v>29021</v>
      </c>
    </row>
    <row r="218" spans="1:92" ht="9.75">
      <c r="A218" s="207">
        <v>697</v>
      </c>
      <c r="B218" s="207" t="s">
        <v>274</v>
      </c>
      <c r="C218" s="207">
        <v>1288</v>
      </c>
      <c r="D218" s="207">
        <v>5351045.24</v>
      </c>
      <c r="E218" s="207">
        <v>3040209.325716334</v>
      </c>
      <c r="F218" s="207">
        <v>756998.0314645978</v>
      </c>
      <c r="G218" s="207">
        <v>9148252.59718093</v>
      </c>
      <c r="H218" s="207">
        <v>3654.72</v>
      </c>
      <c r="I218" s="207">
        <v>4707279.359999999</v>
      </c>
      <c r="J218" s="207">
        <v>4440973.2371809315</v>
      </c>
      <c r="K218" s="207">
        <v>211854.45518101155</v>
      </c>
      <c r="L218" s="207">
        <v>-39598.728029803286</v>
      </c>
      <c r="M218" s="207">
        <v>0</v>
      </c>
      <c r="N218" s="207">
        <v>4613228.96433214</v>
      </c>
      <c r="O218" s="207">
        <v>947362.1201427381</v>
      </c>
      <c r="P218" s="207">
        <v>5560591.084474878</v>
      </c>
      <c r="Q218" s="207">
        <v>51</v>
      </c>
      <c r="R218" s="207">
        <v>13</v>
      </c>
      <c r="S218" s="207">
        <v>57</v>
      </c>
      <c r="T218" s="207">
        <v>30</v>
      </c>
      <c r="U218" s="207">
        <v>29</v>
      </c>
      <c r="V218" s="207">
        <v>637</v>
      </c>
      <c r="W218" s="207">
        <v>244</v>
      </c>
      <c r="X218" s="207">
        <v>123</v>
      </c>
      <c r="Y218" s="207">
        <v>104</v>
      </c>
      <c r="Z218" s="207">
        <v>0</v>
      </c>
      <c r="AA218" s="207">
        <v>0</v>
      </c>
      <c r="AB218" s="207">
        <v>1277</v>
      </c>
      <c r="AC218" s="207">
        <v>11</v>
      </c>
      <c r="AD218" s="207">
        <v>471</v>
      </c>
      <c r="AE218" s="480">
        <v>2.0037444543048104</v>
      </c>
      <c r="AF218" s="207">
        <v>3040209.325716334</v>
      </c>
      <c r="AG218" s="175">
        <v>53</v>
      </c>
      <c r="AH218" s="175">
        <v>540</v>
      </c>
      <c r="AI218" s="175">
        <v>1.0060193836664426</v>
      </c>
      <c r="AJ218" s="175">
        <v>11</v>
      </c>
      <c r="AK218" s="175">
        <v>0.008540372670807454</v>
      </c>
      <c r="AL218" s="175">
        <v>0.005259293560344457</v>
      </c>
      <c r="AM218" s="175">
        <v>0</v>
      </c>
      <c r="AN218" s="175">
        <v>0</v>
      </c>
      <c r="AO218" s="175">
        <v>0</v>
      </c>
      <c r="AP218" s="175">
        <v>0</v>
      </c>
      <c r="AQ218" s="175">
        <v>0</v>
      </c>
      <c r="AR218" s="175">
        <v>835.64</v>
      </c>
      <c r="AS218" s="175">
        <v>1.5413335886266815</v>
      </c>
      <c r="AT218" s="175">
        <v>11.775855839932209</v>
      </c>
      <c r="AU218" s="175">
        <v>26</v>
      </c>
      <c r="AV218" s="175">
        <v>276</v>
      </c>
      <c r="AW218" s="175">
        <v>0.09420289855072464</v>
      </c>
      <c r="AX218" s="175">
        <v>0.038741664821239634</v>
      </c>
      <c r="AY218" s="175">
        <v>0.6791666666666667</v>
      </c>
      <c r="AZ218" s="207">
        <v>303</v>
      </c>
      <c r="BA218" s="175">
        <v>456</v>
      </c>
      <c r="BB218" s="175">
        <v>0.6644736842105263</v>
      </c>
      <c r="BC218" s="175">
        <v>0.2747788367868145</v>
      </c>
      <c r="BD218" s="175">
        <v>0</v>
      </c>
      <c r="BE218" s="175">
        <v>0</v>
      </c>
      <c r="BF218" s="207">
        <v>-8310.269999999999</v>
      </c>
      <c r="BG218" s="207">
        <v>-10167.24</v>
      </c>
      <c r="BH218" s="207">
        <v>-5280.799999999999</v>
      </c>
      <c r="BI218" s="207">
        <v>-21993.899999999998</v>
      </c>
      <c r="BJ218" s="207">
        <v>0</v>
      </c>
      <c r="BK218" s="207">
        <v>0</v>
      </c>
      <c r="BL218" s="207">
        <v>6115</v>
      </c>
      <c r="BM218" s="207">
        <v>2277.5353937282707</v>
      </c>
      <c r="BN218" s="207">
        <v>-54817.280000000006</v>
      </c>
      <c r="BO218" s="207">
        <v>104403.79041090794</v>
      </c>
      <c r="BP218" s="207">
        <v>160754</v>
      </c>
      <c r="BQ218" s="207">
        <v>49462</v>
      </c>
      <c r="BR218" s="207">
        <v>124485.65817589301</v>
      </c>
      <c r="BS218" s="207">
        <v>7172.206036784499</v>
      </c>
      <c r="BT218" s="207">
        <v>22496.753395076463</v>
      </c>
      <c r="BU218" s="207">
        <v>55433.95561615519</v>
      </c>
      <c r="BV218" s="207">
        <v>80855.7585815372</v>
      </c>
      <c r="BW218" s="207">
        <v>122685.15994105836</v>
      </c>
      <c r="BX218" s="207">
        <v>38672.47767793816</v>
      </c>
      <c r="BY218" s="207">
        <v>64114.954434536216</v>
      </c>
      <c r="BZ218" s="207">
        <v>115.92</v>
      </c>
      <c r="CA218" s="207">
        <v>-12451.403834439503</v>
      </c>
      <c r="CB218" s="207">
        <v>98183.30657646843</v>
      </c>
      <c r="CC218" s="207">
        <v>-39598.728029803286</v>
      </c>
      <c r="CD218" s="207">
        <v>0</v>
      </c>
      <c r="CE218" s="207">
        <v>88317.9876084759</v>
      </c>
      <c r="CF218" s="207">
        <v>0</v>
      </c>
      <c r="CG218" s="207">
        <v>947362.1201427381</v>
      </c>
      <c r="CH218" s="207">
        <v>-246955</v>
      </c>
      <c r="CI218" s="207">
        <v>38062.136</v>
      </c>
      <c r="CJ218" s="207">
        <v>21749.792</v>
      </c>
      <c r="CK218" s="207">
        <v>16312.343999999997</v>
      </c>
      <c r="CL218" s="207">
        <v>5313636.084474878</v>
      </c>
      <c r="CM218" s="207">
        <v>5804771.283528687</v>
      </c>
      <c r="CN218" s="207">
        <v>1317</v>
      </c>
    </row>
    <row r="219" spans="1:92" ht="9.75">
      <c r="A219" s="207">
        <v>698</v>
      </c>
      <c r="B219" s="207" t="s">
        <v>275</v>
      </c>
      <c r="C219" s="207">
        <v>62922</v>
      </c>
      <c r="D219" s="207">
        <v>207489113.64</v>
      </c>
      <c r="E219" s="207">
        <v>73486868.86762337</v>
      </c>
      <c r="F219" s="207">
        <v>16918327.662755586</v>
      </c>
      <c r="G219" s="207">
        <v>297894310.170379</v>
      </c>
      <c r="H219" s="207">
        <v>3654.72</v>
      </c>
      <c r="I219" s="207">
        <v>229962291.83999997</v>
      </c>
      <c r="J219" s="207">
        <v>67932018.33037901</v>
      </c>
      <c r="K219" s="207">
        <v>2450600.5068135723</v>
      </c>
      <c r="L219" s="207">
        <v>-10036797.834903978</v>
      </c>
      <c r="M219" s="207">
        <v>0</v>
      </c>
      <c r="N219" s="207">
        <v>60345821.0022886</v>
      </c>
      <c r="O219" s="207">
        <v>23200500.03974348</v>
      </c>
      <c r="P219" s="207">
        <v>83546321.04203208</v>
      </c>
      <c r="Q219" s="207">
        <v>3839</v>
      </c>
      <c r="R219" s="207">
        <v>728</v>
      </c>
      <c r="S219" s="207">
        <v>4496</v>
      </c>
      <c r="T219" s="207">
        <v>1917</v>
      </c>
      <c r="U219" s="207">
        <v>2108</v>
      </c>
      <c r="V219" s="207">
        <v>37903</v>
      </c>
      <c r="W219" s="207">
        <v>6824</v>
      </c>
      <c r="X219" s="207">
        <v>3709</v>
      </c>
      <c r="Y219" s="207">
        <v>1398</v>
      </c>
      <c r="Z219" s="207">
        <v>128</v>
      </c>
      <c r="AA219" s="207">
        <v>168</v>
      </c>
      <c r="AB219" s="207">
        <v>60524</v>
      </c>
      <c r="AC219" s="207">
        <v>2102</v>
      </c>
      <c r="AD219" s="207">
        <v>11931</v>
      </c>
      <c r="AE219" s="480">
        <v>0.9914297221037696</v>
      </c>
      <c r="AF219" s="207">
        <v>73486868.86762337</v>
      </c>
      <c r="AG219" s="175">
        <v>3477</v>
      </c>
      <c r="AH219" s="175">
        <v>30373</v>
      </c>
      <c r="AI219" s="175">
        <v>1.173386911031607</v>
      </c>
      <c r="AJ219" s="175">
        <v>2102</v>
      </c>
      <c r="AK219" s="175">
        <v>0.033406439719017196</v>
      </c>
      <c r="AL219" s="175">
        <v>0.0301253606085542</v>
      </c>
      <c r="AM219" s="175">
        <v>0</v>
      </c>
      <c r="AN219" s="175">
        <v>128</v>
      </c>
      <c r="AO219" s="175">
        <v>168</v>
      </c>
      <c r="AP219" s="175">
        <v>0</v>
      </c>
      <c r="AQ219" s="175">
        <v>0</v>
      </c>
      <c r="AR219" s="175">
        <v>7581.51</v>
      </c>
      <c r="AS219" s="175">
        <v>8.299402097998946</v>
      </c>
      <c r="AT219" s="175">
        <v>2.186967437725353</v>
      </c>
      <c r="AU219" s="175">
        <v>1712</v>
      </c>
      <c r="AV219" s="175">
        <v>18745</v>
      </c>
      <c r="AW219" s="175">
        <v>0.09133102160576154</v>
      </c>
      <c r="AX219" s="175">
        <v>0.03586978787627653</v>
      </c>
      <c r="AY219" s="175">
        <v>0</v>
      </c>
      <c r="AZ219" s="207">
        <v>26195</v>
      </c>
      <c r="BA219" s="175">
        <v>26603</v>
      </c>
      <c r="BB219" s="175">
        <v>0.9846633838288915</v>
      </c>
      <c r="BC219" s="175">
        <v>0.5949685364051797</v>
      </c>
      <c r="BD219" s="175">
        <v>0</v>
      </c>
      <c r="BE219" s="175">
        <v>168</v>
      </c>
      <c r="BF219" s="207">
        <v>-393870.19999999995</v>
      </c>
      <c r="BG219" s="207">
        <v>-481882.39999999997</v>
      </c>
      <c r="BH219" s="207">
        <v>-257980.19999999998</v>
      </c>
      <c r="BI219" s="207">
        <v>-1042414</v>
      </c>
      <c r="BJ219" s="207">
        <v>0</v>
      </c>
      <c r="BK219" s="207">
        <v>0</v>
      </c>
      <c r="BL219" s="207">
        <v>760982</v>
      </c>
      <c r="BM219" s="207">
        <v>-3781715.4897175813</v>
      </c>
      <c r="BN219" s="207">
        <v>-2677960.3200000003</v>
      </c>
      <c r="BO219" s="207">
        <v>-851137.8510162681</v>
      </c>
      <c r="BP219" s="207">
        <v>4170263</v>
      </c>
      <c r="BQ219" s="207">
        <v>1400370</v>
      </c>
      <c r="BR219" s="207">
        <v>3556984.1957876254</v>
      </c>
      <c r="BS219" s="207">
        <v>130689.61392386896</v>
      </c>
      <c r="BT219" s="207">
        <v>170271.45091107712</v>
      </c>
      <c r="BU219" s="207">
        <v>1530495.8688007353</v>
      </c>
      <c r="BV219" s="207">
        <v>3039795.0447149575</v>
      </c>
      <c r="BW219" s="207">
        <v>4487658.940840116</v>
      </c>
      <c r="BX219" s="207">
        <v>1486426.2087844117</v>
      </c>
      <c r="BY219" s="207">
        <v>2651524.056084899</v>
      </c>
      <c r="BZ219" s="207">
        <v>5662.98</v>
      </c>
      <c r="CA219" s="207">
        <v>612706.1658298711</v>
      </c>
      <c r="CB219" s="207">
        <v>528213.2948136029</v>
      </c>
      <c r="CC219" s="207">
        <v>-10036797.834903978</v>
      </c>
      <c r="CD219" s="207">
        <v>0</v>
      </c>
      <c r="CE219" s="207">
        <v>3383597.7885625116</v>
      </c>
      <c r="CF219" s="207">
        <v>0</v>
      </c>
      <c r="CG219" s="207">
        <v>23200500.03974348</v>
      </c>
      <c r="CH219" s="207">
        <v>-4352919</v>
      </c>
      <c r="CI219" s="207">
        <v>511391.98440000013</v>
      </c>
      <c r="CJ219" s="207">
        <v>5323870.586176001</v>
      </c>
      <c r="CK219" s="207">
        <v>-4812478.601776</v>
      </c>
      <c r="CL219" s="207">
        <v>79193402.04203208</v>
      </c>
      <c r="CM219" s="207">
        <v>94976517.74351336</v>
      </c>
      <c r="CN219" s="207">
        <v>62420</v>
      </c>
    </row>
    <row r="220" spans="1:92" ht="9.75">
      <c r="A220" s="207">
        <v>700</v>
      </c>
      <c r="B220" s="207" t="s">
        <v>276</v>
      </c>
      <c r="C220" s="207">
        <v>5099</v>
      </c>
      <c r="D220" s="207">
        <v>19609703.61</v>
      </c>
      <c r="E220" s="207">
        <v>7883046.75813453</v>
      </c>
      <c r="F220" s="207">
        <v>1677647.9339234687</v>
      </c>
      <c r="G220" s="207">
        <v>29170398.302057996</v>
      </c>
      <c r="H220" s="207">
        <v>3654.72</v>
      </c>
      <c r="I220" s="207">
        <v>18635417.279999997</v>
      </c>
      <c r="J220" s="207">
        <v>10534981.022057999</v>
      </c>
      <c r="K220" s="207">
        <v>51744.321592126864</v>
      </c>
      <c r="L220" s="207">
        <v>-678344.5465985158</v>
      </c>
      <c r="M220" s="207">
        <v>0</v>
      </c>
      <c r="N220" s="207">
        <v>9908380.797051609</v>
      </c>
      <c r="O220" s="207">
        <v>848503.9504044383</v>
      </c>
      <c r="P220" s="207">
        <v>10756884.747456048</v>
      </c>
      <c r="Q220" s="207">
        <v>192</v>
      </c>
      <c r="R220" s="207">
        <v>34</v>
      </c>
      <c r="S220" s="207">
        <v>320</v>
      </c>
      <c r="T220" s="207">
        <v>162</v>
      </c>
      <c r="U220" s="207">
        <v>124</v>
      </c>
      <c r="V220" s="207">
        <v>2566</v>
      </c>
      <c r="W220" s="207">
        <v>906</v>
      </c>
      <c r="X220" s="207">
        <v>527</v>
      </c>
      <c r="Y220" s="207">
        <v>268</v>
      </c>
      <c r="Z220" s="207">
        <v>10</v>
      </c>
      <c r="AA220" s="207">
        <v>0</v>
      </c>
      <c r="AB220" s="207">
        <v>4938</v>
      </c>
      <c r="AC220" s="207">
        <v>151</v>
      </c>
      <c r="AD220" s="207">
        <v>1701</v>
      </c>
      <c r="AE220" s="480">
        <v>1.3123926822987246</v>
      </c>
      <c r="AF220" s="207">
        <v>7883046.75813453</v>
      </c>
      <c r="AG220" s="175">
        <v>220</v>
      </c>
      <c r="AH220" s="175">
        <v>2149</v>
      </c>
      <c r="AI220" s="175">
        <v>1.0493261699568326</v>
      </c>
      <c r="AJ220" s="175">
        <v>151</v>
      </c>
      <c r="AK220" s="175">
        <v>0.029613649735242203</v>
      </c>
      <c r="AL220" s="175">
        <v>0.026332570624779207</v>
      </c>
      <c r="AM220" s="175">
        <v>0</v>
      </c>
      <c r="AN220" s="175">
        <v>10</v>
      </c>
      <c r="AO220" s="175">
        <v>0</v>
      </c>
      <c r="AP220" s="175">
        <v>3</v>
      </c>
      <c r="AQ220" s="175">
        <v>336</v>
      </c>
      <c r="AR220" s="175">
        <v>942.27</v>
      </c>
      <c r="AS220" s="175">
        <v>5.411400129474567</v>
      </c>
      <c r="AT220" s="175">
        <v>3.3541267891190936</v>
      </c>
      <c r="AU220" s="175">
        <v>175</v>
      </c>
      <c r="AV220" s="175">
        <v>1397</v>
      </c>
      <c r="AW220" s="175">
        <v>0.12526843235504653</v>
      </c>
      <c r="AX220" s="175">
        <v>0.06980719862556153</v>
      </c>
      <c r="AY220" s="175">
        <v>0</v>
      </c>
      <c r="AZ220" s="207">
        <v>1011</v>
      </c>
      <c r="BA220" s="175">
        <v>1856</v>
      </c>
      <c r="BB220" s="175">
        <v>0.5447198275862069</v>
      </c>
      <c r="BC220" s="175">
        <v>0.155024980162495</v>
      </c>
      <c r="BD220" s="175">
        <v>0</v>
      </c>
      <c r="BE220" s="175">
        <v>0</v>
      </c>
      <c r="BF220" s="207">
        <v>-32925.579999999994</v>
      </c>
      <c r="BG220" s="207">
        <v>-40282.96</v>
      </c>
      <c r="BH220" s="207">
        <v>-20905.899999999998</v>
      </c>
      <c r="BI220" s="207">
        <v>-87140.59999999999</v>
      </c>
      <c r="BJ220" s="207">
        <v>0</v>
      </c>
      <c r="BK220" s="207">
        <v>0</v>
      </c>
      <c r="BL220" s="207">
        <v>56412</v>
      </c>
      <c r="BM220" s="207">
        <v>-143408.48975830752</v>
      </c>
      <c r="BN220" s="207">
        <v>-217013.44</v>
      </c>
      <c r="BO220" s="207">
        <v>-18757.48855673708</v>
      </c>
      <c r="BP220" s="207">
        <v>450007</v>
      </c>
      <c r="BQ220" s="207">
        <v>136482</v>
      </c>
      <c r="BR220" s="207">
        <v>271197.13744083105</v>
      </c>
      <c r="BS220" s="207">
        <v>13584.735741688815</v>
      </c>
      <c r="BT220" s="207">
        <v>29722.57333317358</v>
      </c>
      <c r="BU220" s="207">
        <v>156223.5218588037</v>
      </c>
      <c r="BV220" s="207">
        <v>258715.99132247956</v>
      </c>
      <c r="BW220" s="207">
        <v>425231.14270262397</v>
      </c>
      <c r="BX220" s="207">
        <v>110087.1294553271</v>
      </c>
      <c r="BY220" s="207">
        <v>194251.75467668803</v>
      </c>
      <c r="BZ220" s="207">
        <v>458.90999999999997</v>
      </c>
      <c r="CA220" s="207">
        <v>-18445.65828347118</v>
      </c>
      <c r="CB220" s="207">
        <v>19667.763159791743</v>
      </c>
      <c r="CC220" s="207">
        <v>-678344.5465985158</v>
      </c>
      <c r="CD220" s="207">
        <v>0</v>
      </c>
      <c r="CE220" s="207">
        <v>247547.689599453</v>
      </c>
      <c r="CF220" s="207">
        <v>0</v>
      </c>
      <c r="CG220" s="207">
        <v>848503.9504044383</v>
      </c>
      <c r="CH220" s="207">
        <v>-1098005</v>
      </c>
      <c r="CI220" s="207">
        <v>122410.54810000001</v>
      </c>
      <c r="CJ220" s="207">
        <v>198562.00734</v>
      </c>
      <c r="CK220" s="207">
        <v>-76151.45924</v>
      </c>
      <c r="CL220" s="207">
        <v>9658879.747456048</v>
      </c>
      <c r="CM220" s="207">
        <v>11183395.805062057</v>
      </c>
      <c r="CN220" s="207">
        <v>5218</v>
      </c>
    </row>
    <row r="221" spans="1:92" ht="9.75">
      <c r="A221" s="207">
        <v>702</v>
      </c>
      <c r="B221" s="207" t="s">
        <v>277</v>
      </c>
      <c r="C221" s="207">
        <v>4398</v>
      </c>
      <c r="D221" s="207">
        <v>16925555.04</v>
      </c>
      <c r="E221" s="207">
        <v>7232913.717685157</v>
      </c>
      <c r="F221" s="207">
        <v>1080052.8685929726</v>
      </c>
      <c r="G221" s="207">
        <v>25238521.62627813</v>
      </c>
      <c r="H221" s="207">
        <v>3654.72</v>
      </c>
      <c r="I221" s="207">
        <v>16073458.559999999</v>
      </c>
      <c r="J221" s="207">
        <v>9165063.06627813</v>
      </c>
      <c r="K221" s="207">
        <v>444728.74160916155</v>
      </c>
      <c r="L221" s="207">
        <v>-678744.3934378487</v>
      </c>
      <c r="M221" s="207">
        <v>0</v>
      </c>
      <c r="N221" s="207">
        <v>8931047.414449442</v>
      </c>
      <c r="O221" s="207">
        <v>2750202.5718407314</v>
      </c>
      <c r="P221" s="207">
        <v>11681249.986290174</v>
      </c>
      <c r="Q221" s="207">
        <v>184</v>
      </c>
      <c r="R221" s="207">
        <v>23</v>
      </c>
      <c r="S221" s="207">
        <v>237</v>
      </c>
      <c r="T221" s="207">
        <v>129</v>
      </c>
      <c r="U221" s="207">
        <v>127</v>
      </c>
      <c r="V221" s="207">
        <v>2133</v>
      </c>
      <c r="W221" s="207">
        <v>826</v>
      </c>
      <c r="X221" s="207">
        <v>511</v>
      </c>
      <c r="Y221" s="207">
        <v>228</v>
      </c>
      <c r="Z221" s="207">
        <v>12</v>
      </c>
      <c r="AA221" s="207">
        <v>1</v>
      </c>
      <c r="AB221" s="207">
        <v>4320</v>
      </c>
      <c r="AC221" s="207">
        <v>65</v>
      </c>
      <c r="AD221" s="207">
        <v>1565</v>
      </c>
      <c r="AE221" s="480">
        <v>1.396087918818856</v>
      </c>
      <c r="AF221" s="207">
        <v>7232913.717685157</v>
      </c>
      <c r="AG221" s="175">
        <v>123</v>
      </c>
      <c r="AH221" s="175">
        <v>1793</v>
      </c>
      <c r="AI221" s="175">
        <v>0.703151748025604</v>
      </c>
      <c r="AJ221" s="175">
        <v>65</v>
      </c>
      <c r="AK221" s="175">
        <v>0.01477944520236471</v>
      </c>
      <c r="AL221" s="175">
        <v>0.011498366091901715</v>
      </c>
      <c r="AM221" s="175">
        <v>0</v>
      </c>
      <c r="AN221" s="175">
        <v>12</v>
      </c>
      <c r="AO221" s="175">
        <v>1</v>
      </c>
      <c r="AP221" s="175">
        <v>0</v>
      </c>
      <c r="AQ221" s="175">
        <v>0</v>
      </c>
      <c r="AR221" s="175">
        <v>776.98</v>
      </c>
      <c r="AS221" s="175">
        <v>5.660377358490566</v>
      </c>
      <c r="AT221" s="175">
        <v>3.206592244894661</v>
      </c>
      <c r="AU221" s="175">
        <v>142</v>
      </c>
      <c r="AV221" s="175">
        <v>1085</v>
      </c>
      <c r="AW221" s="175">
        <v>0.13087557603686636</v>
      </c>
      <c r="AX221" s="175">
        <v>0.07541434230738137</v>
      </c>
      <c r="AY221" s="175">
        <v>0.28826666666666667</v>
      </c>
      <c r="AZ221" s="207">
        <v>1533</v>
      </c>
      <c r="BA221" s="175">
        <v>1557</v>
      </c>
      <c r="BB221" s="175">
        <v>0.9845857418111753</v>
      </c>
      <c r="BC221" s="175">
        <v>0.5948908943874635</v>
      </c>
      <c r="BD221" s="175">
        <v>0</v>
      </c>
      <c r="BE221" s="175">
        <v>1</v>
      </c>
      <c r="BF221" s="207">
        <v>-28136.289999999997</v>
      </c>
      <c r="BG221" s="207">
        <v>-34423.479999999996</v>
      </c>
      <c r="BH221" s="207">
        <v>-18031.8</v>
      </c>
      <c r="BI221" s="207">
        <v>-74465.3</v>
      </c>
      <c r="BJ221" s="207">
        <v>0</v>
      </c>
      <c r="BK221" s="207">
        <v>0</v>
      </c>
      <c r="BL221" s="207">
        <v>-29452</v>
      </c>
      <c r="BM221" s="207">
        <v>-91946.56466162157</v>
      </c>
      <c r="BN221" s="207">
        <v>-187178.88</v>
      </c>
      <c r="BO221" s="207">
        <v>-42497.95249035582</v>
      </c>
      <c r="BP221" s="207">
        <v>482033</v>
      </c>
      <c r="BQ221" s="207">
        <v>141231</v>
      </c>
      <c r="BR221" s="207">
        <v>359715.4068817046</v>
      </c>
      <c r="BS221" s="207">
        <v>16850.194763104068</v>
      </c>
      <c r="BT221" s="207">
        <v>65127.400944814086</v>
      </c>
      <c r="BU221" s="207">
        <v>181748.09925467972</v>
      </c>
      <c r="BV221" s="207">
        <v>240034.11603973378</v>
      </c>
      <c r="BW221" s="207">
        <v>413638.0373383276</v>
      </c>
      <c r="BX221" s="207">
        <v>119454.53586719323</v>
      </c>
      <c r="BY221" s="207">
        <v>216746.83981150473</v>
      </c>
      <c r="BZ221" s="207">
        <v>395.82</v>
      </c>
      <c r="CA221" s="207">
        <v>-38165.26628587129</v>
      </c>
      <c r="CB221" s="207">
        <v>-109719.3987762271</v>
      </c>
      <c r="CC221" s="207">
        <v>-678744.3934378487</v>
      </c>
      <c r="CD221" s="207">
        <v>0</v>
      </c>
      <c r="CE221" s="207">
        <v>281044.9296071902</v>
      </c>
      <c r="CF221" s="207">
        <v>0</v>
      </c>
      <c r="CG221" s="207">
        <v>2750202.5718407314</v>
      </c>
      <c r="CH221" s="207">
        <v>-834863</v>
      </c>
      <c r="CI221" s="207">
        <v>32692.6561</v>
      </c>
      <c r="CJ221" s="207">
        <v>89944.90545399999</v>
      </c>
      <c r="CK221" s="207">
        <v>-57252.24935399999</v>
      </c>
      <c r="CL221" s="207">
        <v>10846386.986290174</v>
      </c>
      <c r="CM221" s="207">
        <v>13059213.707653679</v>
      </c>
      <c r="CN221" s="207">
        <v>4459</v>
      </c>
    </row>
    <row r="222" spans="1:92" ht="9.75">
      <c r="A222" s="207">
        <v>704</v>
      </c>
      <c r="B222" s="207" t="s">
        <v>278</v>
      </c>
      <c r="C222" s="207">
        <v>6251</v>
      </c>
      <c r="D222" s="207">
        <v>22408837.209999997</v>
      </c>
      <c r="E222" s="207">
        <v>5222809.71209427</v>
      </c>
      <c r="F222" s="207">
        <v>683959.0444355399</v>
      </c>
      <c r="G222" s="207">
        <v>28315605.966529805</v>
      </c>
      <c r="H222" s="207">
        <v>3654.72</v>
      </c>
      <c r="I222" s="207">
        <v>22845654.72</v>
      </c>
      <c r="J222" s="207">
        <v>5469951.246529806</v>
      </c>
      <c r="K222" s="207">
        <v>105351.59761832538</v>
      </c>
      <c r="L222" s="207">
        <v>-852054.742146073</v>
      </c>
      <c r="M222" s="207">
        <v>0</v>
      </c>
      <c r="N222" s="207">
        <v>4723248.102002059</v>
      </c>
      <c r="O222" s="207">
        <v>113941.75309586847</v>
      </c>
      <c r="P222" s="207">
        <v>4837189.855097927</v>
      </c>
      <c r="Q222" s="207">
        <v>462</v>
      </c>
      <c r="R222" s="207">
        <v>99</v>
      </c>
      <c r="S222" s="207">
        <v>505</v>
      </c>
      <c r="T222" s="207">
        <v>256</v>
      </c>
      <c r="U222" s="207">
        <v>246</v>
      </c>
      <c r="V222" s="207">
        <v>3505</v>
      </c>
      <c r="W222" s="207">
        <v>726</v>
      </c>
      <c r="X222" s="207">
        <v>320</v>
      </c>
      <c r="Y222" s="207">
        <v>132</v>
      </c>
      <c r="Z222" s="207">
        <v>102</v>
      </c>
      <c r="AA222" s="207">
        <v>0</v>
      </c>
      <c r="AB222" s="207">
        <v>6016</v>
      </c>
      <c r="AC222" s="207">
        <v>133</v>
      </c>
      <c r="AD222" s="207">
        <v>1178</v>
      </c>
      <c r="AE222" s="480">
        <v>0.7092664443087096</v>
      </c>
      <c r="AF222" s="207">
        <v>5222809.71209427</v>
      </c>
      <c r="AG222" s="175">
        <v>147</v>
      </c>
      <c r="AH222" s="175">
        <v>3053</v>
      </c>
      <c r="AI222" s="175">
        <v>0.493531377583708</v>
      </c>
      <c r="AJ222" s="175">
        <v>133</v>
      </c>
      <c r="AK222" s="175">
        <v>0.02127659574468085</v>
      </c>
      <c r="AL222" s="175">
        <v>0.017995516634217855</v>
      </c>
      <c r="AM222" s="175">
        <v>0</v>
      </c>
      <c r="AN222" s="175">
        <v>102</v>
      </c>
      <c r="AO222" s="175">
        <v>0</v>
      </c>
      <c r="AP222" s="175">
        <v>0</v>
      </c>
      <c r="AQ222" s="175">
        <v>0</v>
      </c>
      <c r="AR222" s="175">
        <v>127.15</v>
      </c>
      <c r="AS222" s="175">
        <v>49.162406606370425</v>
      </c>
      <c r="AT222" s="175">
        <v>0.36919515121054397</v>
      </c>
      <c r="AU222" s="175">
        <v>200</v>
      </c>
      <c r="AV222" s="175">
        <v>2232</v>
      </c>
      <c r="AW222" s="175">
        <v>0.08960573476702509</v>
      </c>
      <c r="AX222" s="175">
        <v>0.03414450103754008</v>
      </c>
      <c r="AY222" s="175">
        <v>0</v>
      </c>
      <c r="AZ222" s="207">
        <v>1913</v>
      </c>
      <c r="BA222" s="175">
        <v>2956</v>
      </c>
      <c r="BB222" s="175">
        <v>0.6471583220568335</v>
      </c>
      <c r="BC222" s="175">
        <v>0.2574634746331217</v>
      </c>
      <c r="BD222" s="175">
        <v>0</v>
      </c>
      <c r="BE222" s="175">
        <v>0</v>
      </c>
      <c r="BF222" s="207">
        <v>-39519.53</v>
      </c>
      <c r="BG222" s="207">
        <v>-48350.36</v>
      </c>
      <c r="BH222" s="207">
        <v>-25629.1</v>
      </c>
      <c r="BI222" s="207">
        <v>-104592.09999999999</v>
      </c>
      <c r="BJ222" s="207">
        <v>0</v>
      </c>
      <c r="BK222" s="207">
        <v>0</v>
      </c>
      <c r="BL222" s="207">
        <v>39883</v>
      </c>
      <c r="BM222" s="207">
        <v>-61070.23403196913</v>
      </c>
      <c r="BN222" s="207">
        <v>-266042.56</v>
      </c>
      <c r="BO222" s="207">
        <v>-138690.0078582205</v>
      </c>
      <c r="BP222" s="207">
        <v>387043</v>
      </c>
      <c r="BQ222" s="207">
        <v>126882</v>
      </c>
      <c r="BR222" s="207">
        <v>241368.28376477773</v>
      </c>
      <c r="BS222" s="207">
        <v>4103.035289727531</v>
      </c>
      <c r="BT222" s="207">
        <v>27149.87359443658</v>
      </c>
      <c r="BU222" s="207">
        <v>119934.73479326064</v>
      </c>
      <c r="BV222" s="207">
        <v>275731.56641233416</v>
      </c>
      <c r="BW222" s="207">
        <v>473017.7979280093</v>
      </c>
      <c r="BX222" s="207">
        <v>126067.88854329768</v>
      </c>
      <c r="BY222" s="207">
        <v>214989.74805185717</v>
      </c>
      <c r="BZ222" s="207">
        <v>562.59</v>
      </c>
      <c r="CA222" s="207">
        <v>-16950.780255883357</v>
      </c>
      <c r="CB222" s="207">
        <v>-115195.19811410384</v>
      </c>
      <c r="CC222" s="207">
        <v>-852054.742146073</v>
      </c>
      <c r="CD222" s="207">
        <v>0</v>
      </c>
      <c r="CE222" s="207">
        <v>278526.286331744</v>
      </c>
      <c r="CF222" s="207">
        <v>0</v>
      </c>
      <c r="CG222" s="207">
        <v>113941.75309586847</v>
      </c>
      <c r="CH222" s="207">
        <v>-1188832</v>
      </c>
      <c r="CI222" s="207">
        <v>382116.65820000006</v>
      </c>
      <c r="CJ222" s="207">
        <v>370072.71088</v>
      </c>
      <c r="CK222" s="207">
        <v>12043.947320000036</v>
      </c>
      <c r="CL222" s="207">
        <v>3648357.855097927</v>
      </c>
      <c r="CM222" s="207">
        <v>4525106.743453989</v>
      </c>
      <c r="CN222" s="207">
        <v>6263</v>
      </c>
    </row>
    <row r="223" spans="1:92" ht="9.75">
      <c r="A223" s="207">
        <v>707</v>
      </c>
      <c r="B223" s="207" t="s">
        <v>279</v>
      </c>
      <c r="C223" s="207">
        <v>2181</v>
      </c>
      <c r="D223" s="207">
        <v>7864494.199999999</v>
      </c>
      <c r="E223" s="207">
        <v>4385832.410109253</v>
      </c>
      <c r="F223" s="207">
        <v>970212.4317700572</v>
      </c>
      <c r="G223" s="207">
        <v>13220539.041879307</v>
      </c>
      <c r="H223" s="207">
        <v>3654.72</v>
      </c>
      <c r="I223" s="207">
        <v>7970944.319999999</v>
      </c>
      <c r="J223" s="207">
        <v>5249594.721879308</v>
      </c>
      <c r="K223" s="207">
        <v>237000.95632968147</v>
      </c>
      <c r="L223" s="207">
        <v>32820.21077853406</v>
      </c>
      <c r="M223" s="207">
        <v>0</v>
      </c>
      <c r="N223" s="207">
        <v>5519415.888987524</v>
      </c>
      <c r="O223" s="207">
        <v>2867248.866634318</v>
      </c>
      <c r="P223" s="207">
        <v>8386664.755621843</v>
      </c>
      <c r="Q223" s="207">
        <v>62</v>
      </c>
      <c r="R223" s="207">
        <v>18</v>
      </c>
      <c r="S223" s="207">
        <v>81</v>
      </c>
      <c r="T223" s="207">
        <v>58</v>
      </c>
      <c r="U223" s="207">
        <v>48</v>
      </c>
      <c r="V223" s="207">
        <v>1073</v>
      </c>
      <c r="W223" s="207">
        <v>486</v>
      </c>
      <c r="X223" s="207">
        <v>244</v>
      </c>
      <c r="Y223" s="207">
        <v>111</v>
      </c>
      <c r="Z223" s="207">
        <v>3</v>
      </c>
      <c r="AA223" s="207">
        <v>0</v>
      </c>
      <c r="AB223" s="207">
        <v>2106</v>
      </c>
      <c r="AC223" s="207">
        <v>72</v>
      </c>
      <c r="AD223" s="207">
        <v>841</v>
      </c>
      <c r="AE223" s="480">
        <v>1.7070690031399642</v>
      </c>
      <c r="AF223" s="207">
        <v>4385832.410109253</v>
      </c>
      <c r="AG223" s="175">
        <v>134</v>
      </c>
      <c r="AH223" s="175">
        <v>847</v>
      </c>
      <c r="AI223" s="175">
        <v>1.62160706159595</v>
      </c>
      <c r="AJ223" s="175">
        <v>72</v>
      </c>
      <c r="AK223" s="175">
        <v>0.033012379642365884</v>
      </c>
      <c r="AL223" s="175">
        <v>0.02973130053190289</v>
      </c>
      <c r="AM223" s="175">
        <v>0</v>
      </c>
      <c r="AN223" s="175">
        <v>3</v>
      </c>
      <c r="AO223" s="175">
        <v>0</v>
      </c>
      <c r="AP223" s="175">
        <v>3</v>
      </c>
      <c r="AQ223" s="175">
        <v>374</v>
      </c>
      <c r="AR223" s="175">
        <v>427.61</v>
      </c>
      <c r="AS223" s="175">
        <v>5.100441991534342</v>
      </c>
      <c r="AT223" s="175">
        <v>3.5586175023731696</v>
      </c>
      <c r="AU223" s="175">
        <v>85</v>
      </c>
      <c r="AV223" s="175">
        <v>497</v>
      </c>
      <c r="AW223" s="175">
        <v>0.1710261569416499</v>
      </c>
      <c r="AX223" s="175">
        <v>0.11556492321216491</v>
      </c>
      <c r="AY223" s="175">
        <v>0.37853333333333333</v>
      </c>
      <c r="AZ223" s="207">
        <v>532</v>
      </c>
      <c r="BA223" s="175">
        <v>663</v>
      </c>
      <c r="BB223" s="175">
        <v>0.8024132730015083</v>
      </c>
      <c r="BC223" s="175">
        <v>0.4127184255777965</v>
      </c>
      <c r="BD223" s="175">
        <v>0</v>
      </c>
      <c r="BE223" s="175">
        <v>0</v>
      </c>
      <c r="BF223" s="207">
        <v>-14134.4</v>
      </c>
      <c r="BG223" s="207">
        <v>-17292.8</v>
      </c>
      <c r="BH223" s="207">
        <v>-8942.099999999999</v>
      </c>
      <c r="BI223" s="207">
        <v>-37408</v>
      </c>
      <c r="BJ223" s="207">
        <v>0</v>
      </c>
      <c r="BK223" s="207">
        <v>0</v>
      </c>
      <c r="BL223" s="207">
        <v>200161</v>
      </c>
      <c r="BM223" s="207">
        <v>-113353.92089579234</v>
      </c>
      <c r="BN223" s="207">
        <v>-92823.36</v>
      </c>
      <c r="BO223" s="207">
        <v>152966.38367605582</v>
      </c>
      <c r="BP223" s="207">
        <v>302843</v>
      </c>
      <c r="BQ223" s="207">
        <v>87748</v>
      </c>
      <c r="BR223" s="207">
        <v>236964.1114700343</v>
      </c>
      <c r="BS223" s="207">
        <v>12584.419830805715</v>
      </c>
      <c r="BT223" s="207">
        <v>39572.3615710929</v>
      </c>
      <c r="BU223" s="207">
        <v>110909.52963556179</v>
      </c>
      <c r="BV223" s="207">
        <v>139255.8619116213</v>
      </c>
      <c r="BW223" s="207">
        <v>209563.8503822768</v>
      </c>
      <c r="BX223" s="207">
        <v>68562.92220370976</v>
      </c>
      <c r="BY223" s="207">
        <v>114765.60193857328</v>
      </c>
      <c r="BZ223" s="207">
        <v>196.29</v>
      </c>
      <c r="CA223" s="207">
        <v>30320.577998270594</v>
      </c>
      <c r="CB223" s="207">
        <v>383644.25167432637</v>
      </c>
      <c r="CC223" s="207">
        <v>32820.21077853406</v>
      </c>
      <c r="CD223" s="207">
        <v>0</v>
      </c>
      <c r="CE223" s="207">
        <v>162854.27178432132</v>
      </c>
      <c r="CF223" s="207">
        <v>0</v>
      </c>
      <c r="CG223" s="207">
        <v>2867248.866634318</v>
      </c>
      <c r="CH223" s="207">
        <v>-528502</v>
      </c>
      <c r="CI223" s="207">
        <v>0</v>
      </c>
      <c r="CJ223" s="207">
        <v>34527.7948</v>
      </c>
      <c r="CK223" s="207">
        <v>-34527.7948</v>
      </c>
      <c r="CL223" s="207">
        <v>7858162.755621843</v>
      </c>
      <c r="CM223" s="207">
        <v>8977307.978173953</v>
      </c>
      <c r="CN223" s="207">
        <v>2240</v>
      </c>
    </row>
    <row r="224" spans="1:92" ht="9.75">
      <c r="A224" s="207">
        <v>729</v>
      </c>
      <c r="B224" s="207" t="s">
        <v>280</v>
      </c>
      <c r="C224" s="207">
        <v>9415</v>
      </c>
      <c r="D224" s="207">
        <v>35553167.55</v>
      </c>
      <c r="E224" s="207">
        <v>14598689.394069232</v>
      </c>
      <c r="F224" s="207">
        <v>2724577.1864498737</v>
      </c>
      <c r="G224" s="207">
        <v>52876434.1305191</v>
      </c>
      <c r="H224" s="207">
        <v>3654.72</v>
      </c>
      <c r="I224" s="207">
        <v>34409188.8</v>
      </c>
      <c r="J224" s="207">
        <v>18467245.330519103</v>
      </c>
      <c r="K224" s="207">
        <v>575960.0705871838</v>
      </c>
      <c r="L224" s="207">
        <v>-806516.4140597676</v>
      </c>
      <c r="M224" s="207">
        <v>0</v>
      </c>
      <c r="N224" s="207">
        <v>18236688.987046517</v>
      </c>
      <c r="O224" s="207">
        <v>8617091.40808447</v>
      </c>
      <c r="P224" s="207">
        <v>26853780.39513099</v>
      </c>
      <c r="Q224" s="207">
        <v>463</v>
      </c>
      <c r="R224" s="207">
        <v>87</v>
      </c>
      <c r="S224" s="207">
        <v>579</v>
      </c>
      <c r="T224" s="207">
        <v>308</v>
      </c>
      <c r="U224" s="207">
        <v>269</v>
      </c>
      <c r="V224" s="207">
        <v>4819</v>
      </c>
      <c r="W224" s="207">
        <v>1550</v>
      </c>
      <c r="X224" s="207">
        <v>925</v>
      </c>
      <c r="Y224" s="207">
        <v>415</v>
      </c>
      <c r="Z224" s="207">
        <v>14</v>
      </c>
      <c r="AA224" s="207">
        <v>0</v>
      </c>
      <c r="AB224" s="207">
        <v>9291</v>
      </c>
      <c r="AC224" s="207">
        <v>110</v>
      </c>
      <c r="AD224" s="207">
        <v>2890</v>
      </c>
      <c r="AE224" s="480">
        <v>1.3162799125829834</v>
      </c>
      <c r="AF224" s="207">
        <v>14598689.394069232</v>
      </c>
      <c r="AG224" s="175">
        <v>604</v>
      </c>
      <c r="AH224" s="175">
        <v>4143</v>
      </c>
      <c r="AI224" s="175">
        <v>1.4943290668809261</v>
      </c>
      <c r="AJ224" s="175">
        <v>110</v>
      </c>
      <c r="AK224" s="175">
        <v>0.01168348380244291</v>
      </c>
      <c r="AL224" s="175">
        <v>0.008402404691979913</v>
      </c>
      <c r="AM224" s="175">
        <v>0</v>
      </c>
      <c r="AN224" s="175">
        <v>14</v>
      </c>
      <c r="AO224" s="175">
        <v>0</v>
      </c>
      <c r="AP224" s="175">
        <v>0</v>
      </c>
      <c r="AQ224" s="175">
        <v>0</v>
      </c>
      <c r="AR224" s="175">
        <v>1251.72</v>
      </c>
      <c r="AS224" s="175">
        <v>7.521650209311987</v>
      </c>
      <c r="AT224" s="175">
        <v>2.413103725355692</v>
      </c>
      <c r="AU224" s="175">
        <v>362</v>
      </c>
      <c r="AV224" s="175">
        <v>2359</v>
      </c>
      <c r="AW224" s="175">
        <v>0.15345485375158965</v>
      </c>
      <c r="AX224" s="175">
        <v>0.09799362002210465</v>
      </c>
      <c r="AY224" s="175">
        <v>0.127</v>
      </c>
      <c r="AZ224" s="207">
        <v>2931</v>
      </c>
      <c r="BA224" s="175">
        <v>3236</v>
      </c>
      <c r="BB224" s="175">
        <v>0.9057478368355995</v>
      </c>
      <c r="BC224" s="175">
        <v>0.5160529894118876</v>
      </c>
      <c r="BD224" s="175">
        <v>0</v>
      </c>
      <c r="BE224" s="175">
        <v>0</v>
      </c>
      <c r="BF224" s="207">
        <v>-60506.59</v>
      </c>
      <c r="BG224" s="207">
        <v>-74027.08</v>
      </c>
      <c r="BH224" s="207">
        <v>-38601.5</v>
      </c>
      <c r="BI224" s="207">
        <v>-160136.3</v>
      </c>
      <c r="BJ224" s="207">
        <v>0</v>
      </c>
      <c r="BK224" s="207">
        <v>0</v>
      </c>
      <c r="BL224" s="207">
        <v>321957</v>
      </c>
      <c r="BM224" s="207">
        <v>-426342.7594782232</v>
      </c>
      <c r="BN224" s="207">
        <v>-400702.4</v>
      </c>
      <c r="BO224" s="207">
        <v>251383.7136722952</v>
      </c>
      <c r="BP224" s="207">
        <v>954489</v>
      </c>
      <c r="BQ224" s="207">
        <v>293114</v>
      </c>
      <c r="BR224" s="207">
        <v>743309.2555429272</v>
      </c>
      <c r="BS224" s="207">
        <v>41048.66335412597</v>
      </c>
      <c r="BT224" s="207">
        <v>106843.04163109911</v>
      </c>
      <c r="BU224" s="207">
        <v>374059.29699343286</v>
      </c>
      <c r="BV224" s="207">
        <v>564756.2980729024</v>
      </c>
      <c r="BW224" s="207">
        <v>868628.6008690046</v>
      </c>
      <c r="BX224" s="207">
        <v>262472.32790500263</v>
      </c>
      <c r="BY224" s="207">
        <v>452921.7387245435</v>
      </c>
      <c r="BZ224" s="207">
        <v>847.35</v>
      </c>
      <c r="CA224" s="207">
        <v>68276.05174616053</v>
      </c>
      <c r="CB224" s="207">
        <v>642464.1154184557</v>
      </c>
      <c r="CC224" s="207">
        <v>-806516.4140597676</v>
      </c>
      <c r="CD224" s="207">
        <v>0</v>
      </c>
      <c r="CE224" s="207">
        <v>616123.8278801544</v>
      </c>
      <c r="CF224" s="207">
        <v>0</v>
      </c>
      <c r="CG224" s="207">
        <v>8617091.40808447</v>
      </c>
      <c r="CH224" s="207">
        <v>-60232</v>
      </c>
      <c r="CI224" s="207">
        <v>95155.34000000003</v>
      </c>
      <c r="CJ224" s="207">
        <v>207329.89224000004</v>
      </c>
      <c r="CK224" s="207">
        <v>-112174.55224000002</v>
      </c>
      <c r="CL224" s="207">
        <v>26793548.39513099</v>
      </c>
      <c r="CM224" s="207">
        <v>29907104.412044976</v>
      </c>
      <c r="CN224" s="207">
        <v>9589</v>
      </c>
    </row>
    <row r="225" spans="1:92" ht="9.75">
      <c r="A225" s="207">
        <v>732</v>
      </c>
      <c r="B225" s="207" t="s">
        <v>281</v>
      </c>
      <c r="C225" s="207">
        <v>3491</v>
      </c>
      <c r="D225" s="207">
        <v>13035704.4</v>
      </c>
      <c r="E225" s="207">
        <v>7246902.639412366</v>
      </c>
      <c r="F225" s="207">
        <v>3582691.55255686</v>
      </c>
      <c r="G225" s="207">
        <v>23865298.591969226</v>
      </c>
      <c r="H225" s="207">
        <v>3654.72</v>
      </c>
      <c r="I225" s="207">
        <v>12758627.52</v>
      </c>
      <c r="J225" s="207">
        <v>11106671.071969226</v>
      </c>
      <c r="K225" s="207">
        <v>4032525.895426185</v>
      </c>
      <c r="L225" s="207">
        <v>321588.0867124168</v>
      </c>
      <c r="M225" s="207">
        <v>0</v>
      </c>
      <c r="N225" s="207">
        <v>15460785.054107826</v>
      </c>
      <c r="O225" s="207">
        <v>3137737.7202902143</v>
      </c>
      <c r="P225" s="207">
        <v>18598522.77439804</v>
      </c>
      <c r="Q225" s="207">
        <v>111</v>
      </c>
      <c r="R225" s="207">
        <v>22</v>
      </c>
      <c r="S225" s="207">
        <v>151</v>
      </c>
      <c r="T225" s="207">
        <v>85</v>
      </c>
      <c r="U225" s="207">
        <v>66</v>
      </c>
      <c r="V225" s="207">
        <v>1739</v>
      </c>
      <c r="W225" s="207">
        <v>692</v>
      </c>
      <c r="X225" s="207">
        <v>431</v>
      </c>
      <c r="Y225" s="207">
        <v>194</v>
      </c>
      <c r="Z225" s="207">
        <v>11</v>
      </c>
      <c r="AA225" s="207">
        <v>4</v>
      </c>
      <c r="AB225" s="207">
        <v>3399</v>
      </c>
      <c r="AC225" s="207">
        <v>77</v>
      </c>
      <c r="AD225" s="207">
        <v>1317</v>
      </c>
      <c r="AE225" s="480">
        <v>1.7622084825963746</v>
      </c>
      <c r="AF225" s="207">
        <v>7246902.639412366</v>
      </c>
      <c r="AG225" s="175">
        <v>222</v>
      </c>
      <c r="AH225" s="175">
        <v>1486</v>
      </c>
      <c r="AI225" s="175">
        <v>1.5312933760879293</v>
      </c>
      <c r="AJ225" s="175">
        <v>77</v>
      </c>
      <c r="AK225" s="175">
        <v>0.02205671727298768</v>
      </c>
      <c r="AL225" s="175">
        <v>0.018775638162524685</v>
      </c>
      <c r="AM225" s="175">
        <v>0</v>
      </c>
      <c r="AN225" s="175">
        <v>11</v>
      </c>
      <c r="AO225" s="175">
        <v>4</v>
      </c>
      <c r="AP225" s="175">
        <v>0</v>
      </c>
      <c r="AQ225" s="175">
        <v>0</v>
      </c>
      <c r="AR225" s="175">
        <v>5729.66</v>
      </c>
      <c r="AS225" s="175">
        <v>0.6092857167790061</v>
      </c>
      <c r="AT225" s="175">
        <v>29.789836920625774</v>
      </c>
      <c r="AU225" s="175">
        <v>137</v>
      </c>
      <c r="AV225" s="175">
        <v>751</v>
      </c>
      <c r="AW225" s="175">
        <v>0.18242343541944075</v>
      </c>
      <c r="AX225" s="175">
        <v>0.12696220168995576</v>
      </c>
      <c r="AY225" s="175">
        <v>1.7266833333333333</v>
      </c>
      <c r="AZ225" s="207">
        <v>1110</v>
      </c>
      <c r="BA225" s="175">
        <v>1148</v>
      </c>
      <c r="BB225" s="175">
        <v>0.9668989547038328</v>
      </c>
      <c r="BC225" s="175">
        <v>0.577204107280121</v>
      </c>
      <c r="BD225" s="175">
        <v>0</v>
      </c>
      <c r="BE225" s="175">
        <v>4</v>
      </c>
      <c r="BF225" s="207">
        <v>-22558.25</v>
      </c>
      <c r="BG225" s="207">
        <v>-27599</v>
      </c>
      <c r="BH225" s="207">
        <v>-14313.099999999999</v>
      </c>
      <c r="BI225" s="207">
        <v>-59702.5</v>
      </c>
      <c r="BJ225" s="207">
        <v>0</v>
      </c>
      <c r="BK225" s="207">
        <v>0</v>
      </c>
      <c r="BL225" s="207">
        <v>258365</v>
      </c>
      <c r="BM225" s="207">
        <v>-59796.68331646586</v>
      </c>
      <c r="BN225" s="207">
        <v>-148576.96000000002</v>
      </c>
      <c r="BO225" s="207">
        <v>501435.70851542056</v>
      </c>
      <c r="BP225" s="207">
        <v>397132</v>
      </c>
      <c r="BQ225" s="207">
        <v>120884</v>
      </c>
      <c r="BR225" s="207">
        <v>323961.8783023534</v>
      </c>
      <c r="BS225" s="207">
        <v>18056.029456748154</v>
      </c>
      <c r="BT225" s="207">
        <v>65713.15219817025</v>
      </c>
      <c r="BU225" s="207">
        <v>160800.97622708709</v>
      </c>
      <c r="BV225" s="207">
        <v>206884.00489435552</v>
      </c>
      <c r="BW225" s="207">
        <v>312809.4833913017</v>
      </c>
      <c r="BX225" s="207">
        <v>103830.8701499441</v>
      </c>
      <c r="BY225" s="207">
        <v>177671.04133237439</v>
      </c>
      <c r="BZ225" s="207">
        <v>314.19</v>
      </c>
      <c r="CA225" s="207">
        <v>1053.7415134621988</v>
      </c>
      <c r="CB225" s="207">
        <v>761168.6400288827</v>
      </c>
      <c r="CC225" s="207">
        <v>321588.0867124168</v>
      </c>
      <c r="CD225" s="207">
        <v>0</v>
      </c>
      <c r="CE225" s="207">
        <v>237633.23338444397</v>
      </c>
      <c r="CF225" s="207">
        <v>0</v>
      </c>
      <c r="CG225" s="207">
        <v>3137737.7202902143</v>
      </c>
      <c r="CH225" s="207">
        <v>-39012</v>
      </c>
      <c r="CI225" s="207">
        <v>21749.792</v>
      </c>
      <c r="CJ225" s="207">
        <v>112609.54808000001</v>
      </c>
      <c r="CK225" s="207">
        <v>-90859.75608</v>
      </c>
      <c r="CL225" s="207">
        <v>18559510.77439804</v>
      </c>
      <c r="CM225" s="207">
        <v>20027120.721691463</v>
      </c>
      <c r="CN225" s="207">
        <v>3575</v>
      </c>
    </row>
    <row r="226" spans="1:92" ht="9.75">
      <c r="A226" s="207">
        <v>734</v>
      </c>
      <c r="B226" s="207" t="s">
        <v>282</v>
      </c>
      <c r="C226" s="207">
        <v>52321</v>
      </c>
      <c r="D226" s="207">
        <v>185708990.52</v>
      </c>
      <c r="E226" s="207">
        <v>63977761.541803434</v>
      </c>
      <c r="F226" s="207">
        <v>15062795.692482015</v>
      </c>
      <c r="G226" s="207">
        <v>264749547.75428548</v>
      </c>
      <c r="H226" s="207">
        <v>3654.72</v>
      </c>
      <c r="I226" s="207">
        <v>191218605.11999997</v>
      </c>
      <c r="J226" s="207">
        <v>73530942.63428551</v>
      </c>
      <c r="K226" s="207">
        <v>1751234.002498421</v>
      </c>
      <c r="L226" s="207">
        <v>-7478018.262679281</v>
      </c>
      <c r="M226" s="207">
        <v>0</v>
      </c>
      <c r="N226" s="207">
        <v>67804158.37410465</v>
      </c>
      <c r="O226" s="207">
        <v>26753592.47312246</v>
      </c>
      <c r="P226" s="207">
        <v>94557750.84722711</v>
      </c>
      <c r="Q226" s="207">
        <v>2444</v>
      </c>
      <c r="R226" s="207">
        <v>499</v>
      </c>
      <c r="S226" s="207">
        <v>3572</v>
      </c>
      <c r="T226" s="207">
        <v>1786</v>
      </c>
      <c r="U226" s="207">
        <v>1869</v>
      </c>
      <c r="V226" s="207">
        <v>28360</v>
      </c>
      <c r="W226" s="207">
        <v>7852</v>
      </c>
      <c r="X226" s="207">
        <v>4190</v>
      </c>
      <c r="Y226" s="207">
        <v>1749</v>
      </c>
      <c r="Z226" s="207">
        <v>588</v>
      </c>
      <c r="AA226" s="207">
        <v>1</v>
      </c>
      <c r="AB226" s="207">
        <v>48563</v>
      </c>
      <c r="AC226" s="207">
        <v>3169</v>
      </c>
      <c r="AD226" s="207">
        <v>13791</v>
      </c>
      <c r="AE226" s="480">
        <v>1.0380247638379145</v>
      </c>
      <c r="AF226" s="207">
        <v>63977761.541803434</v>
      </c>
      <c r="AG226" s="175">
        <v>2777</v>
      </c>
      <c r="AH226" s="175">
        <v>24336</v>
      </c>
      <c r="AI226" s="175">
        <v>1.1696365252491254</v>
      </c>
      <c r="AJ226" s="175">
        <v>3169</v>
      </c>
      <c r="AK226" s="175">
        <v>0.06056841421226659</v>
      </c>
      <c r="AL226" s="175">
        <v>0.05728733510180359</v>
      </c>
      <c r="AM226" s="175">
        <v>0</v>
      </c>
      <c r="AN226" s="175">
        <v>588</v>
      </c>
      <c r="AO226" s="175">
        <v>1</v>
      </c>
      <c r="AP226" s="175">
        <v>3</v>
      </c>
      <c r="AQ226" s="175">
        <v>605</v>
      </c>
      <c r="AR226" s="175">
        <v>1986.6</v>
      </c>
      <c r="AS226" s="175">
        <v>26.336957616027384</v>
      </c>
      <c r="AT226" s="175">
        <v>0.6891654839383443</v>
      </c>
      <c r="AU226" s="175">
        <v>2338</v>
      </c>
      <c r="AV226" s="175">
        <v>16072</v>
      </c>
      <c r="AW226" s="175">
        <v>0.14547038327526132</v>
      </c>
      <c r="AX226" s="175">
        <v>0.09000914954577632</v>
      </c>
      <c r="AY226" s="175">
        <v>0</v>
      </c>
      <c r="AZ226" s="207">
        <v>18214</v>
      </c>
      <c r="BA226" s="175">
        <v>20215</v>
      </c>
      <c r="BB226" s="175">
        <v>0.9010140984417512</v>
      </c>
      <c r="BC226" s="175">
        <v>0.5113192510180393</v>
      </c>
      <c r="BD226" s="175">
        <v>0</v>
      </c>
      <c r="BE226" s="175">
        <v>1</v>
      </c>
      <c r="BF226" s="207">
        <v>-334329.04</v>
      </c>
      <c r="BG226" s="207">
        <v>-409036.48</v>
      </c>
      <c r="BH226" s="207">
        <v>-214516.09999999998</v>
      </c>
      <c r="BI226" s="207">
        <v>-884832.7999999999</v>
      </c>
      <c r="BJ226" s="207">
        <v>0</v>
      </c>
      <c r="BK226" s="207">
        <v>0</v>
      </c>
      <c r="BL226" s="207">
        <v>-333760</v>
      </c>
      <c r="BM226" s="207">
        <v>-2773429.585703103</v>
      </c>
      <c r="BN226" s="207">
        <v>-2226781.7600000002</v>
      </c>
      <c r="BO226" s="207">
        <v>825981.7808151245</v>
      </c>
      <c r="BP226" s="207">
        <v>4035158</v>
      </c>
      <c r="BQ226" s="207">
        <v>1360728</v>
      </c>
      <c r="BR226" s="207">
        <v>3108333.4400907625</v>
      </c>
      <c r="BS226" s="207">
        <v>109870.08065928429</v>
      </c>
      <c r="BT226" s="207">
        <v>143591.84511297155</v>
      </c>
      <c r="BU226" s="207">
        <v>1435082.5456556936</v>
      </c>
      <c r="BV226" s="207">
        <v>2764155.9394521797</v>
      </c>
      <c r="BW226" s="207">
        <v>4385553.091347926</v>
      </c>
      <c r="BX226" s="207">
        <v>1357506.7920240066</v>
      </c>
      <c r="BY226" s="207">
        <v>2418070.2994944337</v>
      </c>
      <c r="BZ226" s="207">
        <v>4708.889999999999</v>
      </c>
      <c r="CA226" s="207">
        <v>472138.69220869715</v>
      </c>
      <c r="CB226" s="207">
        <v>969069.3630238217</v>
      </c>
      <c r="CC226" s="207">
        <v>-7478018.262679281</v>
      </c>
      <c r="CD226" s="207">
        <v>0</v>
      </c>
      <c r="CE226" s="207">
        <v>3087603.991114954</v>
      </c>
      <c r="CF226" s="207">
        <v>0</v>
      </c>
      <c r="CG226" s="207">
        <v>26753592.47312246</v>
      </c>
      <c r="CH226" s="207">
        <v>-2437999</v>
      </c>
      <c r="CI226" s="207">
        <v>392991.55420000013</v>
      </c>
      <c r="CJ226" s="207">
        <v>999126.9919140002</v>
      </c>
      <c r="CK226" s="207">
        <v>-606135.4377140001</v>
      </c>
      <c r="CL226" s="207">
        <v>92119751.84722711</v>
      </c>
      <c r="CM226" s="207">
        <v>107748508.24024537</v>
      </c>
      <c r="CN226" s="207">
        <v>52984</v>
      </c>
    </row>
    <row r="227" spans="1:92" ht="9.75">
      <c r="A227" s="207">
        <v>790</v>
      </c>
      <c r="B227" s="207" t="s">
        <v>283</v>
      </c>
      <c r="C227" s="207">
        <v>24651</v>
      </c>
      <c r="D227" s="207">
        <v>92150925.91</v>
      </c>
      <c r="E227" s="207">
        <v>35319521.92918446</v>
      </c>
      <c r="F227" s="207">
        <v>4490459.457347764</v>
      </c>
      <c r="G227" s="207">
        <v>131960907.29653223</v>
      </c>
      <c r="H227" s="207">
        <v>3654.72</v>
      </c>
      <c r="I227" s="207">
        <v>90092502.72</v>
      </c>
      <c r="J227" s="207">
        <v>41868404.57653223</v>
      </c>
      <c r="K227" s="207">
        <v>794528.1652179288</v>
      </c>
      <c r="L227" s="207">
        <v>-3777392.388165704</v>
      </c>
      <c r="M227" s="207">
        <v>0</v>
      </c>
      <c r="N227" s="207">
        <v>38885540.35358445</v>
      </c>
      <c r="O227" s="207">
        <v>16978431.038687956</v>
      </c>
      <c r="P227" s="207">
        <v>55863971.39227241</v>
      </c>
      <c r="Q227" s="207">
        <v>1275</v>
      </c>
      <c r="R227" s="207">
        <v>264</v>
      </c>
      <c r="S227" s="207">
        <v>1617</v>
      </c>
      <c r="T227" s="207">
        <v>821</v>
      </c>
      <c r="U227" s="207">
        <v>825</v>
      </c>
      <c r="V227" s="207">
        <v>12839</v>
      </c>
      <c r="W227" s="207">
        <v>3857</v>
      </c>
      <c r="X227" s="207">
        <v>2144</v>
      </c>
      <c r="Y227" s="207">
        <v>1009</v>
      </c>
      <c r="Z227" s="207">
        <v>35</v>
      </c>
      <c r="AA227" s="207">
        <v>0</v>
      </c>
      <c r="AB227" s="207">
        <v>23958</v>
      </c>
      <c r="AC227" s="207">
        <v>658</v>
      </c>
      <c r="AD227" s="207">
        <v>7010</v>
      </c>
      <c r="AE227" s="480">
        <v>1.2162839738224205</v>
      </c>
      <c r="AF227" s="207">
        <v>35319521.92918446</v>
      </c>
      <c r="AG227" s="175">
        <v>688</v>
      </c>
      <c r="AH227" s="175">
        <v>10643</v>
      </c>
      <c r="AI227" s="175">
        <v>0.662595702764607</v>
      </c>
      <c r="AJ227" s="175">
        <v>658</v>
      </c>
      <c r="AK227" s="175">
        <v>0.026692629102267655</v>
      </c>
      <c r="AL227" s="175">
        <v>0.02341154999180466</v>
      </c>
      <c r="AM227" s="175">
        <v>0</v>
      </c>
      <c r="AN227" s="175">
        <v>35</v>
      </c>
      <c r="AO227" s="175">
        <v>0</v>
      </c>
      <c r="AP227" s="175">
        <v>0</v>
      </c>
      <c r="AQ227" s="175">
        <v>0</v>
      </c>
      <c r="AR227" s="175">
        <v>1429.04</v>
      </c>
      <c r="AS227" s="175">
        <v>17.250041986228517</v>
      </c>
      <c r="AT227" s="175">
        <v>1.0522016210397374</v>
      </c>
      <c r="AU227" s="175">
        <v>954</v>
      </c>
      <c r="AV227" s="175">
        <v>6952</v>
      </c>
      <c r="AW227" s="175">
        <v>0.13722669735327964</v>
      </c>
      <c r="AX227" s="175">
        <v>0.08176546362379464</v>
      </c>
      <c r="AY227" s="175">
        <v>0</v>
      </c>
      <c r="AZ227" s="207">
        <v>8340</v>
      </c>
      <c r="BA227" s="175">
        <v>9455</v>
      </c>
      <c r="BB227" s="175">
        <v>0.8820729772607087</v>
      </c>
      <c r="BC227" s="175">
        <v>0.4923781298369968</v>
      </c>
      <c r="BD227" s="175">
        <v>0</v>
      </c>
      <c r="BE227" s="175">
        <v>0</v>
      </c>
      <c r="BF227" s="207">
        <v>-156614.19999999998</v>
      </c>
      <c r="BG227" s="207">
        <v>-191610.4</v>
      </c>
      <c r="BH227" s="207">
        <v>-101069.09999999999</v>
      </c>
      <c r="BI227" s="207">
        <v>-414494</v>
      </c>
      <c r="BJ227" s="207">
        <v>0</v>
      </c>
      <c r="BK227" s="207">
        <v>0</v>
      </c>
      <c r="BL227" s="207">
        <v>109921</v>
      </c>
      <c r="BM227" s="207">
        <v>-1487887.0693535246</v>
      </c>
      <c r="BN227" s="207">
        <v>-1049146.56</v>
      </c>
      <c r="BO227" s="207">
        <v>314590.4163180054</v>
      </c>
      <c r="BP227" s="207">
        <v>2132215</v>
      </c>
      <c r="BQ227" s="207">
        <v>693692</v>
      </c>
      <c r="BR227" s="207">
        <v>1590061.451839151</v>
      </c>
      <c r="BS227" s="207">
        <v>77740.95422471622</v>
      </c>
      <c r="BT227" s="207">
        <v>165931.79737755808</v>
      </c>
      <c r="BU227" s="207">
        <v>756892.1389919305</v>
      </c>
      <c r="BV227" s="207">
        <v>1316770.0858104366</v>
      </c>
      <c r="BW227" s="207">
        <v>2130936.0600489173</v>
      </c>
      <c r="BX227" s="207">
        <v>642333.5214555229</v>
      </c>
      <c r="BY227" s="207">
        <v>1104192.3558072038</v>
      </c>
      <c r="BZ227" s="207">
        <v>2218.5899999999997</v>
      </c>
      <c r="CA227" s="207">
        <v>-47501.40513018501</v>
      </c>
      <c r="CB227" s="207">
        <v>379228.60118782043</v>
      </c>
      <c r="CC227" s="207">
        <v>-3777392.388165704</v>
      </c>
      <c r="CD227" s="207">
        <v>0</v>
      </c>
      <c r="CE227" s="207">
        <v>1427117.754658832</v>
      </c>
      <c r="CF227" s="207">
        <v>0</v>
      </c>
      <c r="CG227" s="207">
        <v>16978431.038687956</v>
      </c>
      <c r="CH227" s="207">
        <v>-1990338</v>
      </c>
      <c r="CI227" s="207">
        <v>365804.3142000001</v>
      </c>
      <c r="CJ227" s="207">
        <v>290359.7232</v>
      </c>
      <c r="CK227" s="207">
        <v>75444.59100000007</v>
      </c>
      <c r="CL227" s="207">
        <v>53873633.39227241</v>
      </c>
      <c r="CM227" s="207">
        <v>61797380.43601668</v>
      </c>
      <c r="CN227" s="207">
        <v>24820</v>
      </c>
    </row>
    <row r="228" spans="1:92" ht="9.75">
      <c r="A228" s="207">
        <v>738</v>
      </c>
      <c r="B228" s="207" t="s">
        <v>284</v>
      </c>
      <c r="C228" s="207">
        <v>2994</v>
      </c>
      <c r="D228" s="207">
        <v>10611152.33</v>
      </c>
      <c r="E228" s="207">
        <v>2843769.3221121244</v>
      </c>
      <c r="F228" s="207">
        <v>583366.0383726193</v>
      </c>
      <c r="G228" s="207">
        <v>14038287.690484744</v>
      </c>
      <c r="H228" s="207">
        <v>3654.72</v>
      </c>
      <c r="I228" s="207">
        <v>10942231.68</v>
      </c>
      <c r="J228" s="207">
        <v>3096056.010484744</v>
      </c>
      <c r="K228" s="207">
        <v>37058.894798101086</v>
      </c>
      <c r="L228" s="207">
        <v>-476419.5882817371</v>
      </c>
      <c r="M228" s="207">
        <v>0</v>
      </c>
      <c r="N228" s="207">
        <v>2656695.3170011076</v>
      </c>
      <c r="O228" s="207">
        <v>1479837.5305386845</v>
      </c>
      <c r="P228" s="207">
        <v>4136532.847539792</v>
      </c>
      <c r="Q228" s="207">
        <v>167</v>
      </c>
      <c r="R228" s="207">
        <v>26</v>
      </c>
      <c r="S228" s="207">
        <v>219</v>
      </c>
      <c r="T228" s="207">
        <v>117</v>
      </c>
      <c r="U228" s="207">
        <v>100</v>
      </c>
      <c r="V228" s="207">
        <v>1610</v>
      </c>
      <c r="W228" s="207">
        <v>484</v>
      </c>
      <c r="X228" s="207">
        <v>183</v>
      </c>
      <c r="Y228" s="207">
        <v>88</v>
      </c>
      <c r="Z228" s="207">
        <v>74</v>
      </c>
      <c r="AA228" s="207">
        <v>0</v>
      </c>
      <c r="AB228" s="207">
        <v>2833</v>
      </c>
      <c r="AC228" s="207">
        <v>87</v>
      </c>
      <c r="AD228" s="207">
        <v>755</v>
      </c>
      <c r="AE228" s="480">
        <v>0.8063011484520043</v>
      </c>
      <c r="AF228" s="207">
        <v>2843769.3221121244</v>
      </c>
      <c r="AG228" s="175">
        <v>76</v>
      </c>
      <c r="AH228" s="175">
        <v>1409</v>
      </c>
      <c r="AI228" s="175">
        <v>0.55287485444877</v>
      </c>
      <c r="AJ228" s="175">
        <v>87</v>
      </c>
      <c r="AK228" s="175">
        <v>0.02905811623246493</v>
      </c>
      <c r="AL228" s="175">
        <v>0.025777037122001936</v>
      </c>
      <c r="AM228" s="175">
        <v>0</v>
      </c>
      <c r="AN228" s="175">
        <v>74</v>
      </c>
      <c r="AO228" s="175">
        <v>0</v>
      </c>
      <c r="AP228" s="175">
        <v>0</v>
      </c>
      <c r="AQ228" s="175">
        <v>0</v>
      </c>
      <c r="AR228" s="175">
        <v>252.61</v>
      </c>
      <c r="AS228" s="175">
        <v>11.852262380745021</v>
      </c>
      <c r="AT228" s="175">
        <v>1.531397260526412</v>
      </c>
      <c r="AU228" s="175">
        <v>128</v>
      </c>
      <c r="AV228" s="175">
        <v>951</v>
      </c>
      <c r="AW228" s="175">
        <v>0.13459516298633017</v>
      </c>
      <c r="AX228" s="175">
        <v>0.07913392925684518</v>
      </c>
      <c r="AY228" s="175">
        <v>0</v>
      </c>
      <c r="AZ228" s="207">
        <v>742</v>
      </c>
      <c r="BA228" s="175">
        <v>1282</v>
      </c>
      <c r="BB228" s="175">
        <v>0.5787831513260531</v>
      </c>
      <c r="BC228" s="175">
        <v>0.18908830390234121</v>
      </c>
      <c r="BD228" s="175">
        <v>0</v>
      </c>
      <c r="BE228" s="175">
        <v>0</v>
      </c>
      <c r="BF228" s="207">
        <v>-18974.17</v>
      </c>
      <c r="BG228" s="207">
        <v>-23214.04</v>
      </c>
      <c r="BH228" s="207">
        <v>-12275.4</v>
      </c>
      <c r="BI228" s="207">
        <v>-50216.9</v>
      </c>
      <c r="BJ228" s="207">
        <v>0</v>
      </c>
      <c r="BK228" s="207">
        <v>0</v>
      </c>
      <c r="BL228" s="207">
        <v>-87894</v>
      </c>
      <c r="BM228" s="207">
        <v>-43831.22001598853</v>
      </c>
      <c r="BN228" s="207">
        <v>-127424.64000000001</v>
      </c>
      <c r="BO228" s="207">
        <v>-25972.495480962098</v>
      </c>
      <c r="BP228" s="207">
        <v>275701</v>
      </c>
      <c r="BQ228" s="207">
        <v>85382</v>
      </c>
      <c r="BR228" s="207">
        <v>191068.64161105533</v>
      </c>
      <c r="BS228" s="207">
        <v>6790.062972697254</v>
      </c>
      <c r="BT228" s="207">
        <v>2703.277612326673</v>
      </c>
      <c r="BU228" s="207">
        <v>71784.76699329968</v>
      </c>
      <c r="BV228" s="207">
        <v>173816.3424855337</v>
      </c>
      <c r="BW228" s="207">
        <v>286153.1203409527</v>
      </c>
      <c r="BX228" s="207">
        <v>85582.37018853595</v>
      </c>
      <c r="BY228" s="207">
        <v>140795.53337546438</v>
      </c>
      <c r="BZ228" s="207">
        <v>269.46</v>
      </c>
      <c r="CA228" s="207">
        <v>4909.857215213526</v>
      </c>
      <c r="CB228" s="207">
        <v>-108687.17826574856</v>
      </c>
      <c r="CC228" s="207">
        <v>-476419.5882817371</v>
      </c>
      <c r="CD228" s="207">
        <v>0</v>
      </c>
      <c r="CE228" s="207">
        <v>194516.62543783686</v>
      </c>
      <c r="CF228" s="207">
        <v>0</v>
      </c>
      <c r="CG228" s="207">
        <v>1479837.5305386845</v>
      </c>
      <c r="CH228" s="207">
        <v>-631098</v>
      </c>
      <c r="CI228" s="207">
        <v>140082.2541</v>
      </c>
      <c r="CJ228" s="207">
        <v>217212.45398</v>
      </c>
      <c r="CK228" s="207">
        <v>-77130.19988</v>
      </c>
      <c r="CL228" s="207">
        <v>3505434.847539792</v>
      </c>
      <c r="CM228" s="207">
        <v>4543410.232471341</v>
      </c>
      <c r="CN228" s="207">
        <v>3007</v>
      </c>
    </row>
    <row r="229" spans="1:92" ht="9.75">
      <c r="A229" s="207">
        <v>739</v>
      </c>
      <c r="B229" s="207" t="s">
        <v>285</v>
      </c>
      <c r="C229" s="207">
        <v>3429</v>
      </c>
      <c r="D229" s="207">
        <v>13746795.19</v>
      </c>
      <c r="E229" s="207">
        <v>5820202.986798024</v>
      </c>
      <c r="F229" s="207">
        <v>885934.4901942546</v>
      </c>
      <c r="G229" s="207">
        <v>20452932.666992277</v>
      </c>
      <c r="H229" s="207">
        <v>3654.72</v>
      </c>
      <c r="I229" s="207">
        <v>12532034.879999999</v>
      </c>
      <c r="J229" s="207">
        <v>7920897.786992278</v>
      </c>
      <c r="K229" s="207">
        <v>230435.8476360633</v>
      </c>
      <c r="L229" s="207">
        <v>-377380.5678464143</v>
      </c>
      <c r="M229" s="207">
        <v>0</v>
      </c>
      <c r="N229" s="207">
        <v>7773953.066781927</v>
      </c>
      <c r="O229" s="207">
        <v>2445136.6311240117</v>
      </c>
      <c r="P229" s="207">
        <v>10219089.69790594</v>
      </c>
      <c r="Q229" s="207">
        <v>116</v>
      </c>
      <c r="R229" s="207">
        <v>32</v>
      </c>
      <c r="S229" s="207">
        <v>173</v>
      </c>
      <c r="T229" s="207">
        <v>94</v>
      </c>
      <c r="U229" s="207">
        <v>86</v>
      </c>
      <c r="V229" s="207">
        <v>1637</v>
      </c>
      <c r="W229" s="207">
        <v>629</v>
      </c>
      <c r="X229" s="207">
        <v>451</v>
      </c>
      <c r="Y229" s="207">
        <v>211</v>
      </c>
      <c r="Z229" s="207">
        <v>5</v>
      </c>
      <c r="AA229" s="207">
        <v>0</v>
      </c>
      <c r="AB229" s="207">
        <v>3380</v>
      </c>
      <c r="AC229" s="207">
        <v>44</v>
      </c>
      <c r="AD229" s="207">
        <v>1291</v>
      </c>
      <c r="AE229" s="480">
        <v>1.4408718472862854</v>
      </c>
      <c r="AF229" s="207">
        <v>5820202.986798024</v>
      </c>
      <c r="AG229" s="175">
        <v>136</v>
      </c>
      <c r="AH229" s="175">
        <v>1436</v>
      </c>
      <c r="AI229" s="175">
        <v>0.9707529239562666</v>
      </c>
      <c r="AJ229" s="175">
        <v>44</v>
      </c>
      <c r="AK229" s="175">
        <v>0.012831729367162438</v>
      </c>
      <c r="AL229" s="175">
        <v>0.00955065025669944</v>
      </c>
      <c r="AM229" s="175">
        <v>0</v>
      </c>
      <c r="AN229" s="175">
        <v>5</v>
      </c>
      <c r="AO229" s="175">
        <v>0</v>
      </c>
      <c r="AP229" s="175">
        <v>0</v>
      </c>
      <c r="AQ229" s="175">
        <v>0</v>
      </c>
      <c r="AR229" s="175">
        <v>539.18</v>
      </c>
      <c r="AS229" s="175">
        <v>6.359657257316667</v>
      </c>
      <c r="AT229" s="175">
        <v>2.854009486129357</v>
      </c>
      <c r="AU229" s="175">
        <v>119</v>
      </c>
      <c r="AV229" s="175">
        <v>814</v>
      </c>
      <c r="AW229" s="175">
        <v>0.14619164619164618</v>
      </c>
      <c r="AX229" s="175">
        <v>0.09073041246216118</v>
      </c>
      <c r="AY229" s="175">
        <v>0.1726</v>
      </c>
      <c r="AZ229" s="207">
        <v>1062</v>
      </c>
      <c r="BA229" s="175">
        <v>1253</v>
      </c>
      <c r="BB229" s="175">
        <v>0.8475658419792498</v>
      </c>
      <c r="BC229" s="175">
        <v>0.4578709945555379</v>
      </c>
      <c r="BD229" s="175">
        <v>0</v>
      </c>
      <c r="BE229" s="175">
        <v>0</v>
      </c>
      <c r="BF229" s="207">
        <v>-21958.8</v>
      </c>
      <c r="BG229" s="207">
        <v>-26865.6</v>
      </c>
      <c r="BH229" s="207">
        <v>-14058.9</v>
      </c>
      <c r="BI229" s="207">
        <v>-58116</v>
      </c>
      <c r="BJ229" s="207">
        <v>0</v>
      </c>
      <c r="BK229" s="207">
        <v>0</v>
      </c>
      <c r="BL229" s="207">
        <v>71974</v>
      </c>
      <c r="BM229" s="207">
        <v>-100227.3636258029</v>
      </c>
      <c r="BN229" s="207">
        <v>-145938.24000000002</v>
      </c>
      <c r="BO229" s="207">
        <v>17385.44724056311</v>
      </c>
      <c r="BP229" s="207">
        <v>404465</v>
      </c>
      <c r="BQ229" s="207">
        <v>122158</v>
      </c>
      <c r="BR229" s="207">
        <v>311739.8156545589</v>
      </c>
      <c r="BS229" s="207">
        <v>16778.709372529363</v>
      </c>
      <c r="BT229" s="207">
        <v>32261.40038031776</v>
      </c>
      <c r="BU229" s="207">
        <v>141033.168890131</v>
      </c>
      <c r="BV229" s="207">
        <v>189766.33782475995</v>
      </c>
      <c r="BW229" s="207">
        <v>320605.1702299171</v>
      </c>
      <c r="BX229" s="207">
        <v>100839.90707654522</v>
      </c>
      <c r="BY229" s="207">
        <v>164273.6361678294</v>
      </c>
      <c r="BZ229" s="207">
        <v>308.61</v>
      </c>
      <c r="CA229" s="207">
        <v>5249.418538825426</v>
      </c>
      <c r="CB229" s="207">
        <v>94917.47577938854</v>
      </c>
      <c r="CC229" s="207">
        <v>-377380.5678464143</v>
      </c>
      <c r="CD229" s="207">
        <v>0</v>
      </c>
      <c r="CE229" s="207">
        <v>239437.09452532945</v>
      </c>
      <c r="CF229" s="207">
        <v>0</v>
      </c>
      <c r="CG229" s="207">
        <v>2445136.6311240117</v>
      </c>
      <c r="CH229" s="207">
        <v>249235</v>
      </c>
      <c r="CI229" s="207">
        <v>133217.476</v>
      </c>
      <c r="CJ229" s="207">
        <v>6796.81</v>
      </c>
      <c r="CK229" s="207">
        <v>126420.666</v>
      </c>
      <c r="CL229" s="207">
        <v>10468324.69790594</v>
      </c>
      <c r="CM229" s="207">
        <v>11619930.908928031</v>
      </c>
      <c r="CN229" s="207">
        <v>3480</v>
      </c>
    </row>
    <row r="230" spans="1:92" ht="9.75">
      <c r="A230" s="207">
        <v>740</v>
      </c>
      <c r="B230" s="207" t="s">
        <v>286</v>
      </c>
      <c r="C230" s="207">
        <v>33611</v>
      </c>
      <c r="D230" s="207">
        <v>119317451.70000002</v>
      </c>
      <c r="E230" s="207">
        <v>51620255.85128983</v>
      </c>
      <c r="F230" s="207">
        <v>10120657.635444686</v>
      </c>
      <c r="G230" s="207">
        <v>181058365.18673456</v>
      </c>
      <c r="H230" s="207">
        <v>3654.72</v>
      </c>
      <c r="I230" s="207">
        <v>122838793.91999999</v>
      </c>
      <c r="J230" s="207">
        <v>58219571.26673457</v>
      </c>
      <c r="K230" s="207">
        <v>2421401.8096426325</v>
      </c>
      <c r="L230" s="207">
        <v>-5112354.177821826</v>
      </c>
      <c r="M230" s="207">
        <v>0</v>
      </c>
      <c r="N230" s="207">
        <v>55528618.89855538</v>
      </c>
      <c r="O230" s="207">
        <v>18360819.736247905</v>
      </c>
      <c r="P230" s="207">
        <v>73889438.6348033</v>
      </c>
      <c r="Q230" s="207">
        <v>1405</v>
      </c>
      <c r="R230" s="207">
        <v>268</v>
      </c>
      <c r="S230" s="207">
        <v>1821</v>
      </c>
      <c r="T230" s="207">
        <v>985</v>
      </c>
      <c r="U230" s="207">
        <v>1065</v>
      </c>
      <c r="V230" s="207">
        <v>17698</v>
      </c>
      <c r="W230" s="207">
        <v>5774</v>
      </c>
      <c r="X230" s="207">
        <v>3267</v>
      </c>
      <c r="Y230" s="207">
        <v>1328</v>
      </c>
      <c r="Z230" s="207">
        <v>42</v>
      </c>
      <c r="AA230" s="207">
        <v>0</v>
      </c>
      <c r="AB230" s="207">
        <v>32344</v>
      </c>
      <c r="AC230" s="207">
        <v>1225</v>
      </c>
      <c r="AD230" s="207">
        <v>10369</v>
      </c>
      <c r="AE230" s="480">
        <v>1.3037473192438522</v>
      </c>
      <c r="AF230" s="207">
        <v>51620255.85128983</v>
      </c>
      <c r="AG230" s="175">
        <v>1929</v>
      </c>
      <c r="AH230" s="175">
        <v>15401</v>
      </c>
      <c r="AI230" s="175">
        <v>1.2838300762018473</v>
      </c>
      <c r="AJ230" s="175">
        <v>1225</v>
      </c>
      <c r="AK230" s="175">
        <v>0.03644640147570736</v>
      </c>
      <c r="AL230" s="175">
        <v>0.03316532236524436</v>
      </c>
      <c r="AM230" s="175">
        <v>0</v>
      </c>
      <c r="AN230" s="175">
        <v>42</v>
      </c>
      <c r="AO230" s="175">
        <v>0</v>
      </c>
      <c r="AP230" s="175">
        <v>3</v>
      </c>
      <c r="AQ230" s="175">
        <v>5048</v>
      </c>
      <c r="AR230" s="175">
        <v>2238.09</v>
      </c>
      <c r="AS230" s="175">
        <v>15.017715998909784</v>
      </c>
      <c r="AT230" s="175">
        <v>1.2086073636118047</v>
      </c>
      <c r="AU230" s="175">
        <v>1087</v>
      </c>
      <c r="AV230" s="175">
        <v>8911</v>
      </c>
      <c r="AW230" s="175">
        <v>0.12198406463920997</v>
      </c>
      <c r="AX230" s="175">
        <v>0.06652283090972497</v>
      </c>
      <c r="AY230" s="175">
        <v>0.14431666666666668</v>
      </c>
      <c r="AZ230" s="207">
        <v>12770</v>
      </c>
      <c r="BA230" s="175">
        <v>12585</v>
      </c>
      <c r="BB230" s="175">
        <v>1.0147000397298371</v>
      </c>
      <c r="BC230" s="175">
        <v>0.6250051923061253</v>
      </c>
      <c r="BD230" s="175">
        <v>0</v>
      </c>
      <c r="BE230" s="175">
        <v>0</v>
      </c>
      <c r="BF230" s="207">
        <v>-218729.84</v>
      </c>
      <c r="BG230" s="207">
        <v>-267606.08</v>
      </c>
      <c r="BH230" s="207">
        <v>-137805.09999999998</v>
      </c>
      <c r="BI230" s="207">
        <v>-578888.7999999999</v>
      </c>
      <c r="BJ230" s="207">
        <v>0</v>
      </c>
      <c r="BK230" s="207">
        <v>0</v>
      </c>
      <c r="BL230" s="207">
        <v>523093</v>
      </c>
      <c r="BM230" s="207">
        <v>-2301921.5757874246</v>
      </c>
      <c r="BN230" s="207">
        <v>-1430484.1600000001</v>
      </c>
      <c r="BO230" s="207">
        <v>224198.56074189395</v>
      </c>
      <c r="BP230" s="207">
        <v>3134752</v>
      </c>
      <c r="BQ230" s="207">
        <v>972657</v>
      </c>
      <c r="BR230" s="207">
        <v>2432360.2074209754</v>
      </c>
      <c r="BS230" s="207">
        <v>111060.45902521518</v>
      </c>
      <c r="BT230" s="207">
        <v>21440.63081911284</v>
      </c>
      <c r="BU230" s="207">
        <v>1185246.8266214402</v>
      </c>
      <c r="BV230" s="207">
        <v>1798370.0961450383</v>
      </c>
      <c r="BW230" s="207">
        <v>2924603.959064982</v>
      </c>
      <c r="BX230" s="207">
        <v>904618.1283445293</v>
      </c>
      <c r="BY230" s="207">
        <v>1618745.2680681061</v>
      </c>
      <c r="BZ230" s="207">
        <v>3024.99</v>
      </c>
      <c r="CA230" s="207">
        <v>103278.08722370467</v>
      </c>
      <c r="CB230" s="207">
        <v>853594.6379655986</v>
      </c>
      <c r="CC230" s="207">
        <v>-5112354.177821826</v>
      </c>
      <c r="CD230" s="207">
        <v>0</v>
      </c>
      <c r="CE230" s="207">
        <v>2081064.499108073</v>
      </c>
      <c r="CF230" s="207">
        <v>0</v>
      </c>
      <c r="CG230" s="207">
        <v>18360819.736247905</v>
      </c>
      <c r="CH230" s="207">
        <v>-2052326</v>
      </c>
      <c r="CI230" s="207">
        <v>398768.8427000001</v>
      </c>
      <c r="CJ230" s="207">
        <v>582744.89578</v>
      </c>
      <c r="CK230" s="207">
        <v>-183976.05307999993</v>
      </c>
      <c r="CL230" s="207">
        <v>71837112.6348033</v>
      </c>
      <c r="CM230" s="207">
        <v>82705353.20562766</v>
      </c>
      <c r="CN230" s="207">
        <v>34664</v>
      </c>
    </row>
    <row r="231" spans="1:92" ht="9.75">
      <c r="A231" s="207">
        <v>742</v>
      </c>
      <c r="B231" s="207" t="s">
        <v>287</v>
      </c>
      <c r="C231" s="207">
        <v>1015</v>
      </c>
      <c r="D231" s="207">
        <v>3463494.14</v>
      </c>
      <c r="E231" s="207">
        <v>1600154.973864851</v>
      </c>
      <c r="F231" s="207">
        <v>979016.2525301668</v>
      </c>
      <c r="G231" s="207">
        <v>6042665.366395018</v>
      </c>
      <c r="H231" s="207">
        <v>3654.72</v>
      </c>
      <c r="I231" s="207">
        <v>3709540.8</v>
      </c>
      <c r="J231" s="207">
        <v>2333124.5663950182</v>
      </c>
      <c r="K231" s="207">
        <v>1280767.9727061861</v>
      </c>
      <c r="L231" s="207">
        <v>60497.02438316094</v>
      </c>
      <c r="M231" s="207">
        <v>0</v>
      </c>
      <c r="N231" s="207">
        <v>3674389.563484365</v>
      </c>
      <c r="O231" s="207">
        <v>235032.52091193848</v>
      </c>
      <c r="P231" s="207">
        <v>3909422.0843963036</v>
      </c>
      <c r="Q231" s="207">
        <v>41</v>
      </c>
      <c r="R231" s="207">
        <v>10</v>
      </c>
      <c r="S231" s="207">
        <v>33</v>
      </c>
      <c r="T231" s="207">
        <v>31</v>
      </c>
      <c r="U231" s="207">
        <v>26</v>
      </c>
      <c r="V231" s="207">
        <v>537</v>
      </c>
      <c r="W231" s="207">
        <v>188</v>
      </c>
      <c r="X231" s="207">
        <v>113</v>
      </c>
      <c r="Y231" s="207">
        <v>36</v>
      </c>
      <c r="Z231" s="207">
        <v>2</v>
      </c>
      <c r="AA231" s="207">
        <v>3</v>
      </c>
      <c r="AB231" s="207">
        <v>1005</v>
      </c>
      <c r="AC231" s="207">
        <v>5</v>
      </c>
      <c r="AD231" s="207">
        <v>337</v>
      </c>
      <c r="AE231" s="480">
        <v>1.3382914799776284</v>
      </c>
      <c r="AF231" s="207">
        <v>1600154.973864851</v>
      </c>
      <c r="AG231" s="175">
        <v>68</v>
      </c>
      <c r="AH231" s="175">
        <v>462</v>
      </c>
      <c r="AI231" s="175">
        <v>1.5086593060619036</v>
      </c>
      <c r="AJ231" s="175">
        <v>5</v>
      </c>
      <c r="AK231" s="175">
        <v>0.0049261083743842365</v>
      </c>
      <c r="AL231" s="175">
        <v>0.00164502926392124</v>
      </c>
      <c r="AM231" s="175">
        <v>0</v>
      </c>
      <c r="AN231" s="175">
        <v>2</v>
      </c>
      <c r="AO231" s="175">
        <v>3</v>
      </c>
      <c r="AP231" s="175">
        <v>0</v>
      </c>
      <c r="AQ231" s="175">
        <v>0</v>
      </c>
      <c r="AR231" s="175">
        <v>6439.2</v>
      </c>
      <c r="AS231" s="175">
        <v>0.157628276804572</v>
      </c>
      <c r="AT231" s="175">
        <v>115.14762775346613</v>
      </c>
      <c r="AU231" s="175">
        <v>30</v>
      </c>
      <c r="AV231" s="175">
        <v>252</v>
      </c>
      <c r="AW231" s="175">
        <v>0.11904761904761904</v>
      </c>
      <c r="AX231" s="175">
        <v>0.06358638531813404</v>
      </c>
      <c r="AY231" s="175">
        <v>1.89785</v>
      </c>
      <c r="AZ231" s="207">
        <v>334</v>
      </c>
      <c r="BA231" s="175">
        <v>369</v>
      </c>
      <c r="BB231" s="175">
        <v>0.9051490514905149</v>
      </c>
      <c r="BC231" s="175">
        <v>0.5154542040668031</v>
      </c>
      <c r="BD231" s="175">
        <v>0</v>
      </c>
      <c r="BE231" s="175">
        <v>3</v>
      </c>
      <c r="BF231" s="207">
        <v>-6385.719999999999</v>
      </c>
      <c r="BG231" s="207">
        <v>-7812.639999999999</v>
      </c>
      <c r="BH231" s="207">
        <v>-4161.5</v>
      </c>
      <c r="BI231" s="207">
        <v>-16900.399999999998</v>
      </c>
      <c r="BJ231" s="207">
        <v>0</v>
      </c>
      <c r="BK231" s="207">
        <v>0</v>
      </c>
      <c r="BL231" s="207">
        <v>93901</v>
      </c>
      <c r="BM231" s="207">
        <v>-12908.93531804109</v>
      </c>
      <c r="BN231" s="207">
        <v>-43198.4</v>
      </c>
      <c r="BO231" s="207">
        <v>106604.61965460237</v>
      </c>
      <c r="BP231" s="207">
        <v>109834</v>
      </c>
      <c r="BQ231" s="207">
        <v>36537</v>
      </c>
      <c r="BR231" s="207">
        <v>107128.47253510478</v>
      </c>
      <c r="BS231" s="207">
        <v>6185.452639417533</v>
      </c>
      <c r="BT231" s="207">
        <v>17547.13801080827</v>
      </c>
      <c r="BU231" s="207">
        <v>43891.12617323774</v>
      </c>
      <c r="BV231" s="207">
        <v>62396.715269829845</v>
      </c>
      <c r="BW231" s="207">
        <v>97408.82513247551</v>
      </c>
      <c r="BX231" s="207">
        <v>32774.60226936166</v>
      </c>
      <c r="BY231" s="207">
        <v>55547.7924942877</v>
      </c>
      <c r="BZ231" s="207">
        <v>91.35</v>
      </c>
      <c r="CA231" s="207">
        <v>-17612.449953400366</v>
      </c>
      <c r="CB231" s="207">
        <v>182984.51970120202</v>
      </c>
      <c r="CC231" s="207">
        <v>60497.02438316094</v>
      </c>
      <c r="CD231" s="207">
        <v>0</v>
      </c>
      <c r="CE231" s="207">
        <v>73236.72557315098</v>
      </c>
      <c r="CF231" s="207">
        <v>0</v>
      </c>
      <c r="CG231" s="207">
        <v>235032.52091193848</v>
      </c>
      <c r="CH231" s="207">
        <v>68926</v>
      </c>
      <c r="CI231" s="207">
        <v>24536.4841</v>
      </c>
      <c r="CJ231" s="207">
        <v>32624.688000000002</v>
      </c>
      <c r="CK231" s="207">
        <v>-8088.2039</v>
      </c>
      <c r="CL231" s="207">
        <v>3978348.0843963036</v>
      </c>
      <c r="CM231" s="207">
        <v>4417851.590718063</v>
      </c>
      <c r="CN231" s="207">
        <v>1012</v>
      </c>
    </row>
    <row r="232" spans="1:92" ht="9.75">
      <c r="A232" s="207">
        <v>743</v>
      </c>
      <c r="B232" s="207" t="s">
        <v>288</v>
      </c>
      <c r="C232" s="207">
        <v>63288</v>
      </c>
      <c r="D232" s="207">
        <v>217798775.81</v>
      </c>
      <c r="E232" s="207">
        <v>76882454.02493975</v>
      </c>
      <c r="F232" s="207">
        <v>9347051.085652178</v>
      </c>
      <c r="G232" s="207">
        <v>304028280.9205919</v>
      </c>
      <c r="H232" s="207">
        <v>3654.72</v>
      </c>
      <c r="I232" s="207">
        <v>231299919.35999998</v>
      </c>
      <c r="J232" s="207">
        <v>72728361.5605919</v>
      </c>
      <c r="K232" s="207">
        <v>3027503.185843126</v>
      </c>
      <c r="L232" s="207">
        <v>-10039962.324240066</v>
      </c>
      <c r="M232" s="207">
        <v>0</v>
      </c>
      <c r="N232" s="207">
        <v>65715902.422194965</v>
      </c>
      <c r="O232" s="207">
        <v>17918915.55810825</v>
      </c>
      <c r="P232" s="207">
        <v>83634817.98030321</v>
      </c>
      <c r="Q232" s="207">
        <v>4267</v>
      </c>
      <c r="R232" s="207">
        <v>809</v>
      </c>
      <c r="S232" s="207">
        <v>4526</v>
      </c>
      <c r="T232" s="207">
        <v>2174</v>
      </c>
      <c r="U232" s="207">
        <v>2288</v>
      </c>
      <c r="V232" s="207">
        <v>36934</v>
      </c>
      <c r="W232" s="207">
        <v>7084</v>
      </c>
      <c r="X232" s="207">
        <v>3697</v>
      </c>
      <c r="Y232" s="207">
        <v>1509</v>
      </c>
      <c r="Z232" s="207">
        <v>132</v>
      </c>
      <c r="AA232" s="207">
        <v>4</v>
      </c>
      <c r="AB232" s="207">
        <v>61580</v>
      </c>
      <c r="AC232" s="207">
        <v>1572</v>
      </c>
      <c r="AD232" s="207">
        <v>12290</v>
      </c>
      <c r="AE232" s="480">
        <v>1.031241959103759</v>
      </c>
      <c r="AF232" s="207">
        <v>76882454.02493975</v>
      </c>
      <c r="AG232" s="175">
        <v>2465</v>
      </c>
      <c r="AH232" s="175">
        <v>30500</v>
      </c>
      <c r="AI232" s="175">
        <v>0.8284023517466141</v>
      </c>
      <c r="AJ232" s="175">
        <v>1572</v>
      </c>
      <c r="AK232" s="175">
        <v>0.024838832006067502</v>
      </c>
      <c r="AL232" s="175">
        <v>0.021557752895604507</v>
      </c>
      <c r="AM232" s="175">
        <v>0</v>
      </c>
      <c r="AN232" s="175">
        <v>132</v>
      </c>
      <c r="AO232" s="175">
        <v>4</v>
      </c>
      <c r="AP232" s="175">
        <v>0</v>
      </c>
      <c r="AQ232" s="175">
        <v>0</v>
      </c>
      <c r="AR232" s="175">
        <v>1431.78</v>
      </c>
      <c r="AS232" s="175">
        <v>44.20232158571848</v>
      </c>
      <c r="AT232" s="175">
        <v>0.41062372947346515</v>
      </c>
      <c r="AU232" s="175">
        <v>1673</v>
      </c>
      <c r="AV232" s="175">
        <v>19252</v>
      </c>
      <c r="AW232" s="175">
        <v>0.08690006233118637</v>
      </c>
      <c r="AX232" s="175">
        <v>0.031438828601701364</v>
      </c>
      <c r="AY232" s="175">
        <v>0</v>
      </c>
      <c r="AZ232" s="207">
        <v>30989</v>
      </c>
      <c r="BA232" s="175">
        <v>27657</v>
      </c>
      <c r="BB232" s="175">
        <v>1.1204758289040748</v>
      </c>
      <c r="BC232" s="175">
        <v>0.730780981480363</v>
      </c>
      <c r="BD232" s="175">
        <v>0</v>
      </c>
      <c r="BE232" s="175">
        <v>4</v>
      </c>
      <c r="BF232" s="207">
        <v>-395485.56</v>
      </c>
      <c r="BG232" s="207">
        <v>-483858.72</v>
      </c>
      <c r="BH232" s="207">
        <v>-259480.8</v>
      </c>
      <c r="BI232" s="207">
        <v>-1046689.2</v>
      </c>
      <c r="BJ232" s="207">
        <v>0</v>
      </c>
      <c r="BK232" s="207">
        <v>0</v>
      </c>
      <c r="BL232" s="207">
        <v>461848</v>
      </c>
      <c r="BM232" s="207">
        <v>-3741845.8763137897</v>
      </c>
      <c r="BN232" s="207">
        <v>-2693537.2800000003</v>
      </c>
      <c r="BO232" s="207">
        <v>89519.31668151915</v>
      </c>
      <c r="BP232" s="207">
        <v>3978804</v>
      </c>
      <c r="BQ232" s="207">
        <v>1391477</v>
      </c>
      <c r="BR232" s="207">
        <v>3226519.989374259</v>
      </c>
      <c r="BS232" s="207">
        <v>102023.61029979105</v>
      </c>
      <c r="BT232" s="207">
        <v>237407.69299697477</v>
      </c>
      <c r="BU232" s="207">
        <v>1427481.3590565426</v>
      </c>
      <c r="BV232" s="207">
        <v>3172709.9227266847</v>
      </c>
      <c r="BW232" s="207">
        <v>4787147.299027099</v>
      </c>
      <c r="BX232" s="207">
        <v>1525942.3086978707</v>
      </c>
      <c r="BY232" s="207">
        <v>2622742.824316507</v>
      </c>
      <c r="BZ232" s="207">
        <v>5695.92</v>
      </c>
      <c r="CA232" s="207">
        <v>-35718.04460779624</v>
      </c>
      <c r="CB232" s="207">
        <v>521345.19207372295</v>
      </c>
      <c r="CC232" s="207">
        <v>-10039962.324240066</v>
      </c>
      <c r="CD232" s="207">
        <v>0</v>
      </c>
      <c r="CE232" s="207">
        <v>3479615.597833192</v>
      </c>
      <c r="CF232" s="207">
        <v>0</v>
      </c>
      <c r="CG232" s="207">
        <v>17918915.55810825</v>
      </c>
      <c r="CH232" s="207">
        <v>-2978503</v>
      </c>
      <c r="CI232" s="207">
        <v>899014.0586999999</v>
      </c>
      <c r="CJ232" s="207">
        <v>1025693.0034799998</v>
      </c>
      <c r="CK232" s="207">
        <v>-126678.9447799999</v>
      </c>
      <c r="CL232" s="207">
        <v>80656314.98030321</v>
      </c>
      <c r="CM232" s="207">
        <v>95071081.25902858</v>
      </c>
      <c r="CN232" s="207">
        <v>62676</v>
      </c>
    </row>
    <row r="233" spans="1:92" ht="9.75">
      <c r="A233" s="207">
        <v>746</v>
      </c>
      <c r="B233" s="207" t="s">
        <v>289</v>
      </c>
      <c r="C233" s="207">
        <v>4980</v>
      </c>
      <c r="D233" s="207">
        <v>21413527.69</v>
      </c>
      <c r="E233" s="207">
        <v>8372566.748015198</v>
      </c>
      <c r="F233" s="207">
        <v>1217837.1956745554</v>
      </c>
      <c r="G233" s="207">
        <v>31003931.633689754</v>
      </c>
      <c r="H233" s="207">
        <v>3654.72</v>
      </c>
      <c r="I233" s="207">
        <v>18200505.599999998</v>
      </c>
      <c r="J233" s="207">
        <v>12803426.033689756</v>
      </c>
      <c r="K233" s="207">
        <v>280268.83466340794</v>
      </c>
      <c r="L233" s="207">
        <v>-820625.1738002112</v>
      </c>
      <c r="M233" s="207">
        <v>0</v>
      </c>
      <c r="N233" s="207">
        <v>12263069.694552952</v>
      </c>
      <c r="O233" s="207">
        <v>4693045.743292268</v>
      </c>
      <c r="P233" s="207">
        <v>16956115.437845223</v>
      </c>
      <c r="Q233" s="207">
        <v>434</v>
      </c>
      <c r="R233" s="207">
        <v>90</v>
      </c>
      <c r="S233" s="207">
        <v>598</v>
      </c>
      <c r="T233" s="207">
        <v>281</v>
      </c>
      <c r="U233" s="207">
        <v>244</v>
      </c>
      <c r="V233" s="207">
        <v>2390</v>
      </c>
      <c r="W233" s="207">
        <v>533</v>
      </c>
      <c r="X233" s="207">
        <v>273</v>
      </c>
      <c r="Y233" s="207">
        <v>137</v>
      </c>
      <c r="Z233" s="207">
        <v>9</v>
      </c>
      <c r="AA233" s="207">
        <v>1</v>
      </c>
      <c r="AB233" s="207">
        <v>4890</v>
      </c>
      <c r="AC233" s="207">
        <v>80</v>
      </c>
      <c r="AD233" s="207">
        <v>943</v>
      </c>
      <c r="AE233" s="480">
        <v>1.4271972010308123</v>
      </c>
      <c r="AF233" s="207">
        <v>8372566.748015198</v>
      </c>
      <c r="AG233" s="175">
        <v>160</v>
      </c>
      <c r="AH233" s="175">
        <v>1962</v>
      </c>
      <c r="AI233" s="175">
        <v>0.8358824721479876</v>
      </c>
      <c r="AJ233" s="175">
        <v>80</v>
      </c>
      <c r="AK233" s="175">
        <v>0.01606425702811245</v>
      </c>
      <c r="AL233" s="175">
        <v>0.012783177917649453</v>
      </c>
      <c r="AM233" s="175">
        <v>0</v>
      </c>
      <c r="AN233" s="175">
        <v>9</v>
      </c>
      <c r="AO233" s="175">
        <v>1</v>
      </c>
      <c r="AP233" s="175">
        <v>0</v>
      </c>
      <c r="AQ233" s="175">
        <v>0</v>
      </c>
      <c r="AR233" s="175">
        <v>787.14</v>
      </c>
      <c r="AS233" s="175">
        <v>6.32670173031481</v>
      </c>
      <c r="AT233" s="175">
        <v>2.8688759032125297</v>
      </c>
      <c r="AU233" s="175">
        <v>166</v>
      </c>
      <c r="AV233" s="175">
        <v>1325</v>
      </c>
      <c r="AW233" s="175">
        <v>0.12528301886792453</v>
      </c>
      <c r="AX233" s="175">
        <v>0.06982178513843953</v>
      </c>
      <c r="AY233" s="175">
        <v>0</v>
      </c>
      <c r="AZ233" s="207">
        <v>2229</v>
      </c>
      <c r="BA233" s="175">
        <v>1784</v>
      </c>
      <c r="BB233" s="175">
        <v>1.2494394618834082</v>
      </c>
      <c r="BC233" s="175">
        <v>0.8597446144596963</v>
      </c>
      <c r="BD233" s="175">
        <v>0</v>
      </c>
      <c r="BE233" s="175">
        <v>1</v>
      </c>
      <c r="BF233" s="207">
        <v>-31770.85</v>
      </c>
      <c r="BG233" s="207">
        <v>-38870.2</v>
      </c>
      <c r="BH233" s="207">
        <v>-20418</v>
      </c>
      <c r="BI233" s="207">
        <v>-84084.5</v>
      </c>
      <c r="BJ233" s="207">
        <v>0</v>
      </c>
      <c r="BK233" s="207">
        <v>0</v>
      </c>
      <c r="BL233" s="207">
        <v>-98522</v>
      </c>
      <c r="BM233" s="207">
        <v>-46357.5436436586</v>
      </c>
      <c r="BN233" s="207">
        <v>-211948.80000000002</v>
      </c>
      <c r="BO233" s="207">
        <v>-93567.0326451771</v>
      </c>
      <c r="BP233" s="207">
        <v>462947</v>
      </c>
      <c r="BQ233" s="207">
        <v>137655</v>
      </c>
      <c r="BR233" s="207">
        <v>343284.8799799744</v>
      </c>
      <c r="BS233" s="207">
        <v>13713.831083321365</v>
      </c>
      <c r="BT233" s="207">
        <v>41211.212880320585</v>
      </c>
      <c r="BU233" s="207">
        <v>189663.91626609047</v>
      </c>
      <c r="BV233" s="207">
        <v>254083.69828550037</v>
      </c>
      <c r="BW233" s="207">
        <v>421469.8857876907</v>
      </c>
      <c r="BX233" s="207">
        <v>98138.35132382986</v>
      </c>
      <c r="BY233" s="207">
        <v>210644.02742289516</v>
      </c>
      <c r="BZ233" s="207">
        <v>448.2</v>
      </c>
      <c r="CA233" s="207">
        <v>-42847.64751137537</v>
      </c>
      <c r="CB233" s="207">
        <v>-234488.48015655245</v>
      </c>
      <c r="CC233" s="207">
        <v>-820625.1738002112</v>
      </c>
      <c r="CD233" s="207">
        <v>0</v>
      </c>
      <c r="CE233" s="207">
        <v>296906.0549410055</v>
      </c>
      <c r="CF233" s="207">
        <v>0</v>
      </c>
      <c r="CG233" s="207">
        <v>4693045.743292268</v>
      </c>
      <c r="CH233" s="207">
        <v>161620</v>
      </c>
      <c r="CI233" s="207">
        <v>32692.656100000004</v>
      </c>
      <c r="CJ233" s="207">
        <v>56508.67834</v>
      </c>
      <c r="CK233" s="207">
        <v>-23816.022239999995</v>
      </c>
      <c r="CL233" s="207">
        <v>17117735.437845223</v>
      </c>
      <c r="CM233" s="207">
        <v>17752361.861087404</v>
      </c>
      <c r="CN233" s="207">
        <v>5035</v>
      </c>
    </row>
    <row r="234" spans="1:92" ht="9.75">
      <c r="A234" s="207">
        <v>747</v>
      </c>
      <c r="B234" s="207" t="s">
        <v>290</v>
      </c>
      <c r="C234" s="207">
        <v>1458</v>
      </c>
      <c r="D234" s="207">
        <v>5503275.649999999</v>
      </c>
      <c r="E234" s="207">
        <v>2034544.3408872522</v>
      </c>
      <c r="F234" s="207">
        <v>584121.5895454893</v>
      </c>
      <c r="G234" s="207">
        <v>8121941.580432741</v>
      </c>
      <c r="H234" s="207">
        <v>3654.72</v>
      </c>
      <c r="I234" s="207">
        <v>5328581.76</v>
      </c>
      <c r="J234" s="207">
        <v>2793359.820432741</v>
      </c>
      <c r="K234" s="207">
        <v>120322.33044414155</v>
      </c>
      <c r="L234" s="207">
        <v>-47498.363667760364</v>
      </c>
      <c r="M234" s="207">
        <v>0</v>
      </c>
      <c r="N234" s="207">
        <v>2866183.7872091224</v>
      </c>
      <c r="O234" s="207">
        <v>1563613.5268186629</v>
      </c>
      <c r="P234" s="207">
        <v>4429797.314027785</v>
      </c>
      <c r="Q234" s="207">
        <v>58</v>
      </c>
      <c r="R234" s="207">
        <v>16</v>
      </c>
      <c r="S234" s="207">
        <v>72</v>
      </c>
      <c r="T234" s="207">
        <v>47</v>
      </c>
      <c r="U234" s="207">
        <v>43</v>
      </c>
      <c r="V234" s="207">
        <v>709</v>
      </c>
      <c r="W234" s="207">
        <v>271</v>
      </c>
      <c r="X234" s="207">
        <v>177</v>
      </c>
      <c r="Y234" s="207">
        <v>65</v>
      </c>
      <c r="Z234" s="207">
        <v>3</v>
      </c>
      <c r="AA234" s="207">
        <v>0</v>
      </c>
      <c r="AB234" s="207">
        <v>1437</v>
      </c>
      <c r="AC234" s="207">
        <v>18</v>
      </c>
      <c r="AD234" s="207">
        <v>513</v>
      </c>
      <c r="AE234" s="480">
        <v>1.184579860827128</v>
      </c>
      <c r="AF234" s="207">
        <v>2034544.3408872522</v>
      </c>
      <c r="AG234" s="175">
        <v>69</v>
      </c>
      <c r="AH234" s="175">
        <v>585</v>
      </c>
      <c r="AI234" s="175">
        <v>1.2089753986586567</v>
      </c>
      <c r="AJ234" s="175">
        <v>18</v>
      </c>
      <c r="AK234" s="175">
        <v>0.012345679012345678</v>
      </c>
      <c r="AL234" s="175">
        <v>0.009064599901882683</v>
      </c>
      <c r="AM234" s="175">
        <v>0</v>
      </c>
      <c r="AN234" s="175">
        <v>3</v>
      </c>
      <c r="AO234" s="175">
        <v>0</v>
      </c>
      <c r="AP234" s="175">
        <v>0</v>
      </c>
      <c r="AQ234" s="175">
        <v>0</v>
      </c>
      <c r="AR234" s="175">
        <v>463.31</v>
      </c>
      <c r="AS234" s="175">
        <v>3.1469210679674515</v>
      </c>
      <c r="AT234" s="175">
        <v>5.767708102267822</v>
      </c>
      <c r="AU234" s="175">
        <v>60</v>
      </c>
      <c r="AV234" s="175">
        <v>377</v>
      </c>
      <c r="AW234" s="175">
        <v>0.15915119363395225</v>
      </c>
      <c r="AX234" s="175">
        <v>0.10368995990446725</v>
      </c>
      <c r="AY234" s="175">
        <v>0.2532</v>
      </c>
      <c r="AZ234" s="207">
        <v>386</v>
      </c>
      <c r="BA234" s="175">
        <v>473</v>
      </c>
      <c r="BB234" s="175">
        <v>0.8160676532769556</v>
      </c>
      <c r="BC234" s="175">
        <v>0.4263728058532438</v>
      </c>
      <c r="BD234" s="175">
        <v>0</v>
      </c>
      <c r="BE234" s="175">
        <v>0</v>
      </c>
      <c r="BF234" s="207">
        <v>-9313.56</v>
      </c>
      <c r="BG234" s="207">
        <v>-11394.72</v>
      </c>
      <c r="BH234" s="207">
        <v>-5977.799999999999</v>
      </c>
      <c r="BI234" s="207">
        <v>-24649.2</v>
      </c>
      <c r="BJ234" s="207">
        <v>0</v>
      </c>
      <c r="BK234" s="207">
        <v>0</v>
      </c>
      <c r="BL234" s="207">
        <v>47662</v>
      </c>
      <c r="BM234" s="207">
        <v>-32807.320555787854</v>
      </c>
      <c r="BN234" s="207">
        <v>-62052.48</v>
      </c>
      <c r="BO234" s="207">
        <v>109608.27899000607</v>
      </c>
      <c r="BP234" s="207">
        <v>194214</v>
      </c>
      <c r="BQ234" s="207">
        <v>52652</v>
      </c>
      <c r="BR234" s="207">
        <v>152870.6242828669</v>
      </c>
      <c r="BS234" s="207">
        <v>8275.73137988836</v>
      </c>
      <c r="BT234" s="207">
        <v>23177.556399739366</v>
      </c>
      <c r="BU234" s="207">
        <v>76240.89283177744</v>
      </c>
      <c r="BV234" s="207">
        <v>87562.76628336812</v>
      </c>
      <c r="BW234" s="207">
        <v>132934.73593552804</v>
      </c>
      <c r="BX234" s="207">
        <v>40130.98984996287</v>
      </c>
      <c r="BY234" s="207">
        <v>76298.40605732228</v>
      </c>
      <c r="BZ234" s="207">
        <v>131.22</v>
      </c>
      <c r="CA234" s="207">
        <v>-14002.502101978618</v>
      </c>
      <c r="CB234" s="207">
        <v>143398.99688802747</v>
      </c>
      <c r="CC234" s="207">
        <v>-47498.363667760364</v>
      </c>
      <c r="CD234" s="207">
        <v>0</v>
      </c>
      <c r="CE234" s="207">
        <v>110792.32204853125</v>
      </c>
      <c r="CF234" s="207">
        <v>0</v>
      </c>
      <c r="CG234" s="207">
        <v>1563613.5268186629</v>
      </c>
      <c r="CH234" s="207">
        <v>-199558</v>
      </c>
      <c r="CI234" s="207">
        <v>115545.77</v>
      </c>
      <c r="CJ234" s="207">
        <v>190310.68000000002</v>
      </c>
      <c r="CK234" s="207">
        <v>-74764.91000000002</v>
      </c>
      <c r="CL234" s="207">
        <v>4230239.314027785</v>
      </c>
      <c r="CM234" s="207">
        <v>4965710.832216602</v>
      </c>
      <c r="CN234" s="207">
        <v>1476</v>
      </c>
    </row>
    <row r="235" spans="1:92" ht="9.75">
      <c r="A235" s="207">
        <v>748</v>
      </c>
      <c r="B235" s="207" t="s">
        <v>291</v>
      </c>
      <c r="C235" s="207">
        <v>5249</v>
      </c>
      <c r="D235" s="207">
        <v>20838843.250000004</v>
      </c>
      <c r="E235" s="207">
        <v>8195852.982613668</v>
      </c>
      <c r="F235" s="207">
        <v>1435038.9113301747</v>
      </c>
      <c r="G235" s="207">
        <v>30469735.143943846</v>
      </c>
      <c r="H235" s="207">
        <v>3654.72</v>
      </c>
      <c r="I235" s="207">
        <v>19183625.279999997</v>
      </c>
      <c r="J235" s="207">
        <v>11286109.863943849</v>
      </c>
      <c r="K235" s="207">
        <v>169350.2874396277</v>
      </c>
      <c r="L235" s="207">
        <v>-651794.8843842484</v>
      </c>
      <c r="M235" s="207">
        <v>0</v>
      </c>
      <c r="N235" s="207">
        <v>10803665.266999228</v>
      </c>
      <c r="O235" s="207">
        <v>4818910.162643148</v>
      </c>
      <c r="P235" s="207">
        <v>15622575.429642376</v>
      </c>
      <c r="Q235" s="207">
        <v>417</v>
      </c>
      <c r="R235" s="207">
        <v>77</v>
      </c>
      <c r="S235" s="207">
        <v>512</v>
      </c>
      <c r="T235" s="207">
        <v>237</v>
      </c>
      <c r="U235" s="207">
        <v>204</v>
      </c>
      <c r="V235" s="207">
        <v>2638</v>
      </c>
      <c r="W235" s="207">
        <v>711</v>
      </c>
      <c r="X235" s="207">
        <v>300</v>
      </c>
      <c r="Y235" s="207">
        <v>153</v>
      </c>
      <c r="Z235" s="207">
        <v>3</v>
      </c>
      <c r="AA235" s="207">
        <v>0</v>
      </c>
      <c r="AB235" s="207">
        <v>5159</v>
      </c>
      <c r="AC235" s="207">
        <v>87</v>
      </c>
      <c r="AD235" s="207">
        <v>1164</v>
      </c>
      <c r="AE235" s="480">
        <v>1.3254773053406677</v>
      </c>
      <c r="AF235" s="207">
        <v>8195852.982613668</v>
      </c>
      <c r="AG235" s="175">
        <v>173</v>
      </c>
      <c r="AH235" s="175">
        <v>2173</v>
      </c>
      <c r="AI235" s="175">
        <v>0.8160384376187956</v>
      </c>
      <c r="AJ235" s="175">
        <v>87</v>
      </c>
      <c r="AK235" s="175">
        <v>0.016574585635359115</v>
      </c>
      <c r="AL235" s="175">
        <v>0.01329350652489612</v>
      </c>
      <c r="AM235" s="175">
        <v>0</v>
      </c>
      <c r="AN235" s="175">
        <v>3</v>
      </c>
      <c r="AO235" s="175">
        <v>0</v>
      </c>
      <c r="AP235" s="175">
        <v>0</v>
      </c>
      <c r="AQ235" s="175">
        <v>0</v>
      </c>
      <c r="AR235" s="175">
        <v>1051.61</v>
      </c>
      <c r="AS235" s="175">
        <v>4.991394148020655</v>
      </c>
      <c r="AT235" s="175">
        <v>3.6363632289208803</v>
      </c>
      <c r="AU235" s="175">
        <v>172</v>
      </c>
      <c r="AV235" s="175">
        <v>1399</v>
      </c>
      <c r="AW235" s="175">
        <v>0.12294496068620443</v>
      </c>
      <c r="AX235" s="175">
        <v>0.06748372695671942</v>
      </c>
      <c r="AY235" s="175">
        <v>0</v>
      </c>
      <c r="AZ235" s="207">
        <v>1706</v>
      </c>
      <c r="BA235" s="175">
        <v>1933</v>
      </c>
      <c r="BB235" s="175">
        <v>0.8825659596482152</v>
      </c>
      <c r="BC235" s="175">
        <v>0.4928711122245033</v>
      </c>
      <c r="BD235" s="175">
        <v>0</v>
      </c>
      <c r="BE235" s="175">
        <v>0</v>
      </c>
      <c r="BF235" s="207">
        <v>-33714.329999999994</v>
      </c>
      <c r="BG235" s="207">
        <v>-41247.96</v>
      </c>
      <c r="BH235" s="207">
        <v>-21520.899999999998</v>
      </c>
      <c r="BI235" s="207">
        <v>-89228.09999999999</v>
      </c>
      <c r="BJ235" s="207">
        <v>0</v>
      </c>
      <c r="BK235" s="207">
        <v>0</v>
      </c>
      <c r="BL235" s="207">
        <v>70971</v>
      </c>
      <c r="BM235" s="207">
        <v>-95495.09639027144</v>
      </c>
      <c r="BN235" s="207">
        <v>-223397.44</v>
      </c>
      <c r="BO235" s="207">
        <v>-83113.75313581899</v>
      </c>
      <c r="BP235" s="207">
        <v>465420</v>
      </c>
      <c r="BQ235" s="207">
        <v>151091</v>
      </c>
      <c r="BR235" s="207">
        <v>374569.73627007403</v>
      </c>
      <c r="BS235" s="207">
        <v>18315.786693797167</v>
      </c>
      <c r="BT235" s="207">
        <v>52426.30817274111</v>
      </c>
      <c r="BU235" s="207">
        <v>175422.2095034288</v>
      </c>
      <c r="BV235" s="207">
        <v>273513.79267517006</v>
      </c>
      <c r="BW235" s="207">
        <v>475831.0389942756</v>
      </c>
      <c r="BX235" s="207">
        <v>106326.49801252587</v>
      </c>
      <c r="BY235" s="207">
        <v>231133.4345225484</v>
      </c>
      <c r="BZ235" s="207">
        <v>472.40999999999997</v>
      </c>
      <c r="CA235" s="207">
        <v>25413.62514184197</v>
      </c>
      <c r="CB235" s="207">
        <v>13743.282006022982</v>
      </c>
      <c r="CC235" s="207">
        <v>-651794.8843842484</v>
      </c>
      <c r="CD235" s="207">
        <v>0</v>
      </c>
      <c r="CE235" s="207">
        <v>324982.5133170788</v>
      </c>
      <c r="CF235" s="207">
        <v>0</v>
      </c>
      <c r="CG235" s="207">
        <v>4818910.162643148</v>
      </c>
      <c r="CH235" s="207">
        <v>57154</v>
      </c>
      <c r="CI235" s="207">
        <v>381980.72200000007</v>
      </c>
      <c r="CJ235" s="207">
        <v>110108.32200000001</v>
      </c>
      <c r="CK235" s="207">
        <v>271872.4</v>
      </c>
      <c r="CL235" s="207">
        <v>15679729.429642376</v>
      </c>
      <c r="CM235" s="207">
        <v>17562293.490144633</v>
      </c>
      <c r="CN235" s="207">
        <v>5343</v>
      </c>
    </row>
    <row r="236" spans="1:92" ht="9.75">
      <c r="A236" s="207">
        <v>791</v>
      </c>
      <c r="B236" s="207" t="s">
        <v>292</v>
      </c>
      <c r="C236" s="207">
        <v>5301</v>
      </c>
      <c r="D236" s="207">
        <v>20660063.060000002</v>
      </c>
      <c r="E236" s="207">
        <v>9427545.606746778</v>
      </c>
      <c r="F236" s="207">
        <v>2285542.4235612093</v>
      </c>
      <c r="G236" s="207">
        <v>32373151.09030799</v>
      </c>
      <c r="H236" s="207">
        <v>3654.72</v>
      </c>
      <c r="I236" s="207">
        <v>19373670.72</v>
      </c>
      <c r="J236" s="207">
        <v>12999480.37030799</v>
      </c>
      <c r="K236" s="207">
        <v>2134912.8266610787</v>
      </c>
      <c r="L236" s="207">
        <v>-773177.2435928263</v>
      </c>
      <c r="M236" s="207">
        <v>0</v>
      </c>
      <c r="N236" s="207">
        <v>14361215.953376241</v>
      </c>
      <c r="O236" s="207">
        <v>5580128.340790877</v>
      </c>
      <c r="P236" s="207">
        <v>19941344.294167116</v>
      </c>
      <c r="Q236" s="207">
        <v>273</v>
      </c>
      <c r="R236" s="207">
        <v>47</v>
      </c>
      <c r="S236" s="207">
        <v>365</v>
      </c>
      <c r="T236" s="207">
        <v>184</v>
      </c>
      <c r="U236" s="207">
        <v>159</v>
      </c>
      <c r="V236" s="207">
        <v>2681</v>
      </c>
      <c r="W236" s="207">
        <v>823</v>
      </c>
      <c r="X236" s="207">
        <v>525</v>
      </c>
      <c r="Y236" s="207">
        <v>244</v>
      </c>
      <c r="Z236" s="207">
        <v>4</v>
      </c>
      <c r="AA236" s="207">
        <v>0</v>
      </c>
      <c r="AB236" s="207">
        <v>5253</v>
      </c>
      <c r="AC236" s="207">
        <v>44</v>
      </c>
      <c r="AD236" s="207">
        <v>1592</v>
      </c>
      <c r="AE236" s="480">
        <v>1.5097170067772039</v>
      </c>
      <c r="AF236" s="207">
        <v>9427545.606746778</v>
      </c>
      <c r="AG236" s="175">
        <v>231</v>
      </c>
      <c r="AH236" s="175">
        <v>2320</v>
      </c>
      <c r="AI236" s="175">
        <v>1.0205827742237479</v>
      </c>
      <c r="AJ236" s="175">
        <v>44</v>
      </c>
      <c r="AK236" s="175">
        <v>0.00830032069420864</v>
      </c>
      <c r="AL236" s="175">
        <v>0.005019241583745644</v>
      </c>
      <c r="AM236" s="175">
        <v>0</v>
      </c>
      <c r="AN236" s="175">
        <v>4</v>
      </c>
      <c r="AO236" s="175">
        <v>0</v>
      </c>
      <c r="AP236" s="175">
        <v>0</v>
      </c>
      <c r="AQ236" s="175">
        <v>0</v>
      </c>
      <c r="AR236" s="175">
        <v>2172.94</v>
      </c>
      <c r="AS236" s="175">
        <v>2.4395519434498882</v>
      </c>
      <c r="AT236" s="175">
        <v>7.4401048068054845</v>
      </c>
      <c r="AU236" s="175">
        <v>184</v>
      </c>
      <c r="AV236" s="175">
        <v>1391</v>
      </c>
      <c r="AW236" s="175">
        <v>0.13227893601725377</v>
      </c>
      <c r="AX236" s="175">
        <v>0.07681770228776877</v>
      </c>
      <c r="AY236" s="175">
        <v>1.1320999999999999</v>
      </c>
      <c r="AZ236" s="207">
        <v>1839</v>
      </c>
      <c r="BA236" s="175">
        <v>1943</v>
      </c>
      <c r="BB236" s="175">
        <v>0.9464745239320638</v>
      </c>
      <c r="BC236" s="175">
        <v>0.5567796765083519</v>
      </c>
      <c r="BD236" s="175">
        <v>0</v>
      </c>
      <c r="BE236" s="175">
        <v>0</v>
      </c>
      <c r="BF236" s="207">
        <v>-34370.57</v>
      </c>
      <c r="BG236" s="207">
        <v>-42050.84</v>
      </c>
      <c r="BH236" s="207">
        <v>-21734.1</v>
      </c>
      <c r="BI236" s="207">
        <v>-90964.9</v>
      </c>
      <c r="BJ236" s="207">
        <v>0</v>
      </c>
      <c r="BK236" s="207">
        <v>0</v>
      </c>
      <c r="BL236" s="207">
        <v>-21214</v>
      </c>
      <c r="BM236" s="207">
        <v>-19602.34546782516</v>
      </c>
      <c r="BN236" s="207">
        <v>-225610.56</v>
      </c>
      <c r="BO236" s="207">
        <v>-166306.19408746436</v>
      </c>
      <c r="BP236" s="207">
        <v>624315</v>
      </c>
      <c r="BQ236" s="207">
        <v>194814</v>
      </c>
      <c r="BR236" s="207">
        <v>524333.8768369056</v>
      </c>
      <c r="BS236" s="207">
        <v>27091.534205211276</v>
      </c>
      <c r="BT236" s="207">
        <v>67076.00854807171</v>
      </c>
      <c r="BU236" s="207">
        <v>250225.7736871039</v>
      </c>
      <c r="BV236" s="207">
        <v>339421.64570747496</v>
      </c>
      <c r="BW236" s="207">
        <v>554868.6142696537</v>
      </c>
      <c r="BX236" s="207">
        <v>169167.16298962926</v>
      </c>
      <c r="BY236" s="207">
        <v>282338.4527027996</v>
      </c>
      <c r="BZ236" s="207">
        <v>477.09</v>
      </c>
      <c r="CA236" s="207">
        <v>10727.83596246325</v>
      </c>
      <c r="CB236" s="207">
        <v>-176315.2681250011</v>
      </c>
      <c r="CC236" s="207">
        <v>-773177.2435928263</v>
      </c>
      <c r="CD236" s="207">
        <v>0</v>
      </c>
      <c r="CE236" s="207">
        <v>399136.6825413152</v>
      </c>
      <c r="CF236" s="207">
        <v>0</v>
      </c>
      <c r="CG236" s="207">
        <v>5580128.340790877</v>
      </c>
      <c r="CH236" s="207">
        <v>-434717</v>
      </c>
      <c r="CI236" s="207">
        <v>236596.95610000007</v>
      </c>
      <c r="CJ236" s="207">
        <v>246887.32644</v>
      </c>
      <c r="CK236" s="207">
        <v>-10290.370339999936</v>
      </c>
      <c r="CL236" s="207">
        <v>19506627.294167116</v>
      </c>
      <c r="CM236" s="207">
        <v>22149995.297013693</v>
      </c>
      <c r="CN236" s="207">
        <v>5447</v>
      </c>
    </row>
    <row r="237" spans="1:92" ht="9.75">
      <c r="A237" s="207">
        <v>749</v>
      </c>
      <c r="B237" s="207" t="s">
        <v>293</v>
      </c>
      <c r="C237" s="207">
        <v>21674</v>
      </c>
      <c r="D237" s="207">
        <v>78197922.2</v>
      </c>
      <c r="E237" s="207">
        <v>27099292.738550644</v>
      </c>
      <c r="F237" s="207">
        <v>2328828.755126204</v>
      </c>
      <c r="G237" s="207">
        <v>107626043.69367686</v>
      </c>
      <c r="H237" s="207">
        <v>3654.72</v>
      </c>
      <c r="I237" s="207">
        <v>79212401.28</v>
      </c>
      <c r="J237" s="207">
        <v>28413642.413676858</v>
      </c>
      <c r="K237" s="207">
        <v>531422.9338830198</v>
      </c>
      <c r="L237" s="207">
        <v>-3593039.3462889</v>
      </c>
      <c r="M237" s="207">
        <v>0</v>
      </c>
      <c r="N237" s="207">
        <v>25352026.001270976</v>
      </c>
      <c r="O237" s="207">
        <v>5776826.540347157</v>
      </c>
      <c r="P237" s="207">
        <v>31128852.54161813</v>
      </c>
      <c r="Q237" s="207">
        <v>1577</v>
      </c>
      <c r="R237" s="207">
        <v>307</v>
      </c>
      <c r="S237" s="207">
        <v>1874</v>
      </c>
      <c r="T237" s="207">
        <v>871</v>
      </c>
      <c r="U237" s="207">
        <v>870</v>
      </c>
      <c r="V237" s="207">
        <v>11892</v>
      </c>
      <c r="W237" s="207">
        <v>2523</v>
      </c>
      <c r="X237" s="207">
        <v>1344</v>
      </c>
      <c r="Y237" s="207">
        <v>416</v>
      </c>
      <c r="Z237" s="207">
        <v>10</v>
      </c>
      <c r="AA237" s="207">
        <v>1</v>
      </c>
      <c r="AB237" s="207">
        <v>21379</v>
      </c>
      <c r="AC237" s="207">
        <v>284</v>
      </c>
      <c r="AD237" s="207">
        <v>4283</v>
      </c>
      <c r="AE237" s="480">
        <v>1.0613865916252236</v>
      </c>
      <c r="AF237" s="207">
        <v>27099292.738550644</v>
      </c>
      <c r="AG237" s="175">
        <v>728</v>
      </c>
      <c r="AH237" s="175">
        <v>10221</v>
      </c>
      <c r="AI237" s="175">
        <v>0.7300661791519715</v>
      </c>
      <c r="AJ237" s="175">
        <v>284</v>
      </c>
      <c r="AK237" s="175">
        <v>0.013103257359047707</v>
      </c>
      <c r="AL237" s="175">
        <v>0.00982217824858471</v>
      </c>
      <c r="AM237" s="175">
        <v>0</v>
      </c>
      <c r="AN237" s="175">
        <v>10</v>
      </c>
      <c r="AO237" s="175">
        <v>1</v>
      </c>
      <c r="AP237" s="175">
        <v>0</v>
      </c>
      <c r="AQ237" s="175">
        <v>0</v>
      </c>
      <c r="AR237" s="175">
        <v>400.96</v>
      </c>
      <c r="AS237" s="175">
        <v>54.05526735833999</v>
      </c>
      <c r="AT237" s="175">
        <v>0.33577712271018484</v>
      </c>
      <c r="AU237" s="175">
        <v>523</v>
      </c>
      <c r="AV237" s="175">
        <v>7012</v>
      </c>
      <c r="AW237" s="175">
        <v>0.07458642327438676</v>
      </c>
      <c r="AX237" s="175">
        <v>0.019125189544901756</v>
      </c>
      <c r="AY237" s="175">
        <v>0</v>
      </c>
      <c r="AZ237" s="207">
        <v>7129</v>
      </c>
      <c r="BA237" s="175">
        <v>9328</v>
      </c>
      <c r="BB237" s="175">
        <v>0.7642581475128645</v>
      </c>
      <c r="BC237" s="175">
        <v>0.3745633000891526</v>
      </c>
      <c r="BD237" s="175">
        <v>0</v>
      </c>
      <c r="BE237" s="175">
        <v>1</v>
      </c>
      <c r="BF237" s="207">
        <v>-136655.66999999998</v>
      </c>
      <c r="BG237" s="207">
        <v>-167192.04</v>
      </c>
      <c r="BH237" s="207">
        <v>-88863.4</v>
      </c>
      <c r="BI237" s="207">
        <v>-361671.89999999997</v>
      </c>
      <c r="BJ237" s="207">
        <v>0</v>
      </c>
      <c r="BK237" s="207">
        <v>0</v>
      </c>
      <c r="BL237" s="207">
        <v>5984</v>
      </c>
      <c r="BM237" s="207">
        <v>-1082306.5918981007</v>
      </c>
      <c r="BN237" s="207">
        <v>-922445.4400000001</v>
      </c>
      <c r="BO237" s="207">
        <v>-59214.694434806705</v>
      </c>
      <c r="BP237" s="207">
        <v>1402958</v>
      </c>
      <c r="BQ237" s="207">
        <v>450760</v>
      </c>
      <c r="BR237" s="207">
        <v>925488.7753349461</v>
      </c>
      <c r="BS237" s="207">
        <v>16784.10139488702</v>
      </c>
      <c r="BT237" s="207">
        <v>5877.08950053069</v>
      </c>
      <c r="BU237" s="207">
        <v>448920.0188770383</v>
      </c>
      <c r="BV237" s="207">
        <v>987855.0647120406</v>
      </c>
      <c r="BW237" s="207">
        <v>1641445.0655553432</v>
      </c>
      <c r="BX237" s="207">
        <v>407506.34797263384</v>
      </c>
      <c r="BY237" s="207">
        <v>785784.5819224324</v>
      </c>
      <c r="BZ237" s="207">
        <v>1950.6599999999999</v>
      </c>
      <c r="CA237" s="207">
        <v>-118099.429955993</v>
      </c>
      <c r="CB237" s="207">
        <v>-169379.4643907997</v>
      </c>
      <c r="CC237" s="207">
        <v>-3593039.3462889</v>
      </c>
      <c r="CD237" s="207">
        <v>0</v>
      </c>
      <c r="CE237" s="207">
        <v>967842.9842060325</v>
      </c>
      <c r="CF237" s="207">
        <v>0</v>
      </c>
      <c r="CG237" s="207">
        <v>5776826.540347157</v>
      </c>
      <c r="CH237" s="207">
        <v>-1711257</v>
      </c>
      <c r="CI237" s="207">
        <v>793391.6313000001</v>
      </c>
      <c r="CJ237" s="207">
        <v>510395.57205400016</v>
      </c>
      <c r="CK237" s="207">
        <v>282996.05924599996</v>
      </c>
      <c r="CL237" s="207">
        <v>29417595.54161813</v>
      </c>
      <c r="CM237" s="207">
        <v>32341760.463662535</v>
      </c>
      <c r="CN237" s="207">
        <v>21657</v>
      </c>
    </row>
    <row r="238" spans="1:92" ht="9.75">
      <c r="A238" s="207">
        <v>751</v>
      </c>
      <c r="B238" s="207" t="s">
        <v>294</v>
      </c>
      <c r="C238" s="207">
        <v>3045</v>
      </c>
      <c r="D238" s="207">
        <v>11021834.37</v>
      </c>
      <c r="E238" s="207">
        <v>4385777.844590861</v>
      </c>
      <c r="F238" s="207">
        <v>1430388.076625962</v>
      </c>
      <c r="G238" s="207">
        <v>16838000.291216824</v>
      </c>
      <c r="H238" s="207">
        <v>3654.72</v>
      </c>
      <c r="I238" s="207">
        <v>11128622.399999999</v>
      </c>
      <c r="J238" s="207">
        <v>5709377.891216826</v>
      </c>
      <c r="K238" s="207">
        <v>38470.81135163589</v>
      </c>
      <c r="L238" s="207">
        <v>-357736.7194475213</v>
      </c>
      <c r="M238" s="207">
        <v>0</v>
      </c>
      <c r="N238" s="207">
        <v>5390111.98312094</v>
      </c>
      <c r="O238" s="207">
        <v>1667896.9385870846</v>
      </c>
      <c r="P238" s="207">
        <v>7058008.921708024</v>
      </c>
      <c r="Q238" s="207">
        <v>111</v>
      </c>
      <c r="R238" s="207">
        <v>43</v>
      </c>
      <c r="S238" s="207">
        <v>196</v>
      </c>
      <c r="T238" s="207">
        <v>118</v>
      </c>
      <c r="U238" s="207">
        <v>127</v>
      </c>
      <c r="V238" s="207">
        <v>1485</v>
      </c>
      <c r="W238" s="207">
        <v>559</v>
      </c>
      <c r="X238" s="207">
        <v>318</v>
      </c>
      <c r="Y238" s="207">
        <v>88</v>
      </c>
      <c r="Z238" s="207">
        <v>4</v>
      </c>
      <c r="AA238" s="207">
        <v>0</v>
      </c>
      <c r="AB238" s="207">
        <v>3014</v>
      </c>
      <c r="AC238" s="207">
        <v>27</v>
      </c>
      <c r="AD238" s="207">
        <v>965</v>
      </c>
      <c r="AE238" s="480">
        <v>1.222683473029309</v>
      </c>
      <c r="AF238" s="207">
        <v>4385777.844590861</v>
      </c>
      <c r="AG238" s="175">
        <v>125</v>
      </c>
      <c r="AH238" s="175">
        <v>1229</v>
      </c>
      <c r="AI238" s="175">
        <v>1.0425151357521052</v>
      </c>
      <c r="AJ238" s="175">
        <v>27</v>
      </c>
      <c r="AK238" s="175">
        <v>0.008866995073891626</v>
      </c>
      <c r="AL238" s="175">
        <v>0.00558591596342863</v>
      </c>
      <c r="AM238" s="175">
        <v>0</v>
      </c>
      <c r="AN238" s="175">
        <v>4</v>
      </c>
      <c r="AO238" s="175">
        <v>0</v>
      </c>
      <c r="AP238" s="175">
        <v>0</v>
      </c>
      <c r="AQ238" s="175">
        <v>0</v>
      </c>
      <c r="AR238" s="175">
        <v>1447.34</v>
      </c>
      <c r="AS238" s="175">
        <v>2.1038594939682453</v>
      </c>
      <c r="AT238" s="175">
        <v>8.627250152850335</v>
      </c>
      <c r="AU238" s="175">
        <v>79</v>
      </c>
      <c r="AV238" s="175">
        <v>767</v>
      </c>
      <c r="AW238" s="175">
        <v>0.10299869621903521</v>
      </c>
      <c r="AX238" s="175">
        <v>0.0475374624895502</v>
      </c>
      <c r="AY238" s="175">
        <v>0</v>
      </c>
      <c r="AZ238" s="207">
        <v>613</v>
      </c>
      <c r="BA238" s="175">
        <v>1052</v>
      </c>
      <c r="BB238" s="175">
        <v>0.5826996197718631</v>
      </c>
      <c r="BC238" s="175">
        <v>0.19300477234815128</v>
      </c>
      <c r="BD238" s="175">
        <v>0</v>
      </c>
      <c r="BE238" s="175">
        <v>0</v>
      </c>
      <c r="BF238" s="207">
        <v>-19624.1</v>
      </c>
      <c r="BG238" s="207">
        <v>-24009.2</v>
      </c>
      <c r="BH238" s="207">
        <v>-12484.499999999998</v>
      </c>
      <c r="BI238" s="207">
        <v>-51937</v>
      </c>
      <c r="BJ238" s="207">
        <v>0</v>
      </c>
      <c r="BK238" s="207">
        <v>0</v>
      </c>
      <c r="BL238" s="207">
        <v>76854</v>
      </c>
      <c r="BM238" s="207">
        <v>-39379.62642706634</v>
      </c>
      <c r="BN238" s="207">
        <v>-129595.20000000001</v>
      </c>
      <c r="BO238" s="207">
        <v>-78985.75758260861</v>
      </c>
      <c r="BP238" s="207">
        <v>281841</v>
      </c>
      <c r="BQ238" s="207">
        <v>83216</v>
      </c>
      <c r="BR238" s="207">
        <v>185548.22637782278</v>
      </c>
      <c r="BS238" s="207">
        <v>9122.781979068071</v>
      </c>
      <c r="BT238" s="207">
        <v>27602.543467581676</v>
      </c>
      <c r="BU238" s="207">
        <v>93219.1741502555</v>
      </c>
      <c r="BV238" s="207">
        <v>151745.66252837007</v>
      </c>
      <c r="BW238" s="207">
        <v>271138.6206094548</v>
      </c>
      <c r="BX238" s="207">
        <v>64696.26016120757</v>
      </c>
      <c r="BY238" s="207">
        <v>127187.68884795195</v>
      </c>
      <c r="BZ238" s="207">
        <v>274.05</v>
      </c>
      <c r="CA238" s="207">
        <v>14510.314562153615</v>
      </c>
      <c r="CB238" s="207">
        <v>12652.606979545004</v>
      </c>
      <c r="CC238" s="207">
        <v>-357736.7194475213</v>
      </c>
      <c r="CD238" s="207">
        <v>0</v>
      </c>
      <c r="CE238" s="207">
        <v>148092.50588509606</v>
      </c>
      <c r="CF238" s="207">
        <v>0</v>
      </c>
      <c r="CG238" s="207">
        <v>1667896.9385870846</v>
      </c>
      <c r="CH238" s="207">
        <v>128052</v>
      </c>
      <c r="CI238" s="207">
        <v>42140.222</v>
      </c>
      <c r="CJ238" s="207">
        <v>57093.20400000001</v>
      </c>
      <c r="CK238" s="207">
        <v>-14952.98200000001</v>
      </c>
      <c r="CL238" s="207">
        <v>7186060.921708024</v>
      </c>
      <c r="CM238" s="207">
        <v>7978784.474699975</v>
      </c>
      <c r="CN238" s="207">
        <v>3110</v>
      </c>
    </row>
    <row r="239" spans="1:92" ht="9.75">
      <c r="A239" s="207">
        <v>753</v>
      </c>
      <c r="B239" s="207" t="s">
        <v>295</v>
      </c>
      <c r="C239" s="207">
        <v>20666</v>
      </c>
      <c r="D239" s="207">
        <v>72584457.61</v>
      </c>
      <c r="E239" s="207">
        <v>17340001.555215247</v>
      </c>
      <c r="F239" s="207">
        <v>5994794.323864178</v>
      </c>
      <c r="G239" s="207">
        <v>95919253.48907943</v>
      </c>
      <c r="H239" s="207">
        <v>3654.72</v>
      </c>
      <c r="I239" s="207">
        <v>75528443.52</v>
      </c>
      <c r="J239" s="207">
        <v>20390809.969079435</v>
      </c>
      <c r="K239" s="207">
        <v>357178.55717326107</v>
      </c>
      <c r="L239" s="207">
        <v>-2871203.9487407524</v>
      </c>
      <c r="M239" s="207">
        <v>0</v>
      </c>
      <c r="N239" s="207">
        <v>17876784.577511944</v>
      </c>
      <c r="O239" s="207">
        <v>-5932443.866608046</v>
      </c>
      <c r="P239" s="207">
        <v>11944340.710903898</v>
      </c>
      <c r="Q239" s="207">
        <v>1330</v>
      </c>
      <c r="R239" s="207">
        <v>245</v>
      </c>
      <c r="S239" s="207">
        <v>1790</v>
      </c>
      <c r="T239" s="207">
        <v>850</v>
      </c>
      <c r="U239" s="207">
        <v>845</v>
      </c>
      <c r="V239" s="207">
        <v>11968</v>
      </c>
      <c r="W239" s="207">
        <v>2122</v>
      </c>
      <c r="X239" s="207">
        <v>1088</v>
      </c>
      <c r="Y239" s="207">
        <v>428</v>
      </c>
      <c r="Z239" s="207">
        <v>6611</v>
      </c>
      <c r="AA239" s="207">
        <v>3</v>
      </c>
      <c r="AB239" s="207">
        <v>13045</v>
      </c>
      <c r="AC239" s="207">
        <v>1007</v>
      </c>
      <c r="AD239" s="207">
        <v>3638</v>
      </c>
      <c r="AE239" s="480">
        <v>0.7122745328939871</v>
      </c>
      <c r="AF239" s="207">
        <v>17340001.555215247</v>
      </c>
      <c r="AG239" s="175">
        <v>573</v>
      </c>
      <c r="AH239" s="175">
        <v>10202</v>
      </c>
      <c r="AI239" s="175">
        <v>0.5756964370546482</v>
      </c>
      <c r="AJ239" s="175">
        <v>1007</v>
      </c>
      <c r="AK239" s="175">
        <v>0.04872737830252589</v>
      </c>
      <c r="AL239" s="175">
        <v>0.04544629919206289</v>
      </c>
      <c r="AM239" s="175">
        <v>1</v>
      </c>
      <c r="AN239" s="175">
        <v>6611</v>
      </c>
      <c r="AO239" s="175">
        <v>3</v>
      </c>
      <c r="AP239" s="175">
        <v>3</v>
      </c>
      <c r="AQ239" s="175">
        <v>219</v>
      </c>
      <c r="AR239" s="175">
        <v>339.62</v>
      </c>
      <c r="AS239" s="175">
        <v>60.85036216948354</v>
      </c>
      <c r="AT239" s="175">
        <v>0.29828125082245877</v>
      </c>
      <c r="AU239" s="175">
        <v>914</v>
      </c>
      <c r="AV239" s="175">
        <v>7245</v>
      </c>
      <c r="AW239" s="175">
        <v>0.1261559696342305</v>
      </c>
      <c r="AX239" s="175">
        <v>0.07069473590474551</v>
      </c>
      <c r="AY239" s="175">
        <v>0</v>
      </c>
      <c r="AZ239" s="207">
        <v>6415</v>
      </c>
      <c r="BA239" s="175">
        <v>9813</v>
      </c>
      <c r="BB239" s="175">
        <v>0.6537246509731989</v>
      </c>
      <c r="BC239" s="175">
        <v>0.264029803549487</v>
      </c>
      <c r="BD239" s="175">
        <v>0</v>
      </c>
      <c r="BE239" s="175">
        <v>3</v>
      </c>
      <c r="BF239" s="207">
        <v>-128156.09999999999</v>
      </c>
      <c r="BG239" s="207">
        <v>-156793.19999999998</v>
      </c>
      <c r="BH239" s="207">
        <v>-84730.59999999999</v>
      </c>
      <c r="BI239" s="207">
        <v>-339177</v>
      </c>
      <c r="BJ239" s="207">
        <v>0</v>
      </c>
      <c r="BK239" s="207">
        <v>0</v>
      </c>
      <c r="BL239" s="207">
        <v>-139882</v>
      </c>
      <c r="BM239" s="207">
        <v>-798570.8888001747</v>
      </c>
      <c r="BN239" s="207">
        <v>-879544.9600000001</v>
      </c>
      <c r="BO239" s="207">
        <v>338261.93236998096</v>
      </c>
      <c r="BP239" s="207">
        <v>1224672</v>
      </c>
      <c r="BQ239" s="207">
        <v>413367</v>
      </c>
      <c r="BR239" s="207">
        <v>738996.3770171361</v>
      </c>
      <c r="BS239" s="207">
        <v>4966.691090181297</v>
      </c>
      <c r="BT239" s="207">
        <v>-246469.34371148542</v>
      </c>
      <c r="BU239" s="207">
        <v>217092.7317241785</v>
      </c>
      <c r="BV239" s="207">
        <v>777019.1322790805</v>
      </c>
      <c r="BW239" s="207">
        <v>1260306.423448747</v>
      </c>
      <c r="BX239" s="207">
        <v>390673.80812010495</v>
      </c>
      <c r="BY239" s="207">
        <v>668764.487692887</v>
      </c>
      <c r="BZ239" s="207">
        <v>1859.9399999999998</v>
      </c>
      <c r="CA239" s="207">
        <v>-50851.512310558566</v>
      </c>
      <c r="CB239" s="207">
        <v>149388.36005942238</v>
      </c>
      <c r="CC239" s="207">
        <v>-2871203.9487407524</v>
      </c>
      <c r="CD239" s="207">
        <v>0</v>
      </c>
      <c r="CE239" s="207">
        <v>794689.9588744345</v>
      </c>
      <c r="CF239" s="207">
        <v>0</v>
      </c>
      <c r="CG239" s="207">
        <v>-5932443.866608046</v>
      </c>
      <c r="CH239" s="207">
        <v>-1869307</v>
      </c>
      <c r="CI239" s="207">
        <v>1094354.3781000003</v>
      </c>
      <c r="CJ239" s="207">
        <v>1129608.072208</v>
      </c>
      <c r="CK239" s="207">
        <v>-35253.69410799979</v>
      </c>
      <c r="CL239" s="207">
        <v>10075033.710903898</v>
      </c>
      <c r="CM239" s="207">
        <v>14427727.489890775</v>
      </c>
      <c r="CN239" s="207">
        <v>20310</v>
      </c>
    </row>
    <row r="240" spans="1:92" ht="9.75">
      <c r="A240" s="207">
        <v>755</v>
      </c>
      <c r="B240" s="207" t="s">
        <v>296</v>
      </c>
      <c r="C240" s="207">
        <v>6134</v>
      </c>
      <c r="D240" s="207">
        <v>20750561.259999998</v>
      </c>
      <c r="E240" s="207">
        <v>5260323.032155605</v>
      </c>
      <c r="F240" s="207">
        <v>1886689.2260363384</v>
      </c>
      <c r="G240" s="207">
        <v>27897573.51819194</v>
      </c>
      <c r="H240" s="207">
        <v>3654.72</v>
      </c>
      <c r="I240" s="207">
        <v>22418052.48</v>
      </c>
      <c r="J240" s="207">
        <v>5479521.038191941</v>
      </c>
      <c r="K240" s="207">
        <v>33872.586177661055</v>
      </c>
      <c r="L240" s="207">
        <v>-709838.4062920186</v>
      </c>
      <c r="M240" s="207">
        <v>0</v>
      </c>
      <c r="N240" s="207">
        <v>4803555.218077583</v>
      </c>
      <c r="O240" s="207">
        <v>-618366.5716189725</v>
      </c>
      <c r="P240" s="207">
        <v>4185188.646458611</v>
      </c>
      <c r="Q240" s="207">
        <v>375</v>
      </c>
      <c r="R240" s="207">
        <v>70</v>
      </c>
      <c r="S240" s="207">
        <v>549</v>
      </c>
      <c r="T240" s="207">
        <v>267</v>
      </c>
      <c r="U240" s="207">
        <v>225</v>
      </c>
      <c r="V240" s="207">
        <v>3508</v>
      </c>
      <c r="W240" s="207">
        <v>777</v>
      </c>
      <c r="X240" s="207">
        <v>278</v>
      </c>
      <c r="Y240" s="207">
        <v>85</v>
      </c>
      <c r="Z240" s="207">
        <v>1729</v>
      </c>
      <c r="AA240" s="207">
        <v>0</v>
      </c>
      <c r="AB240" s="207">
        <v>4086</v>
      </c>
      <c r="AC240" s="207">
        <v>319</v>
      </c>
      <c r="AD240" s="207">
        <v>1140</v>
      </c>
      <c r="AE240" s="480">
        <v>0.7279865449992063</v>
      </c>
      <c r="AF240" s="207">
        <v>5260323.032155605</v>
      </c>
      <c r="AG240" s="175">
        <v>172</v>
      </c>
      <c r="AH240" s="175">
        <v>3095</v>
      </c>
      <c r="AI240" s="175">
        <v>0.5696289228209783</v>
      </c>
      <c r="AJ240" s="175">
        <v>319</v>
      </c>
      <c r="AK240" s="175">
        <v>0.05200521682425823</v>
      </c>
      <c r="AL240" s="175">
        <v>0.04872413771379523</v>
      </c>
      <c r="AM240" s="175">
        <v>1</v>
      </c>
      <c r="AN240" s="175">
        <v>1729</v>
      </c>
      <c r="AO240" s="175">
        <v>0</v>
      </c>
      <c r="AP240" s="175">
        <v>0</v>
      </c>
      <c r="AQ240" s="175">
        <v>0</v>
      </c>
      <c r="AR240" s="175">
        <v>241.1</v>
      </c>
      <c r="AS240" s="175">
        <v>25.4417254251348</v>
      </c>
      <c r="AT240" s="175">
        <v>0.7134155344268286</v>
      </c>
      <c r="AU240" s="175">
        <v>323</v>
      </c>
      <c r="AV240" s="175">
        <v>2214</v>
      </c>
      <c r="AW240" s="175">
        <v>0.14588979223125564</v>
      </c>
      <c r="AX240" s="175">
        <v>0.09042855850177065</v>
      </c>
      <c r="AY240" s="175">
        <v>0</v>
      </c>
      <c r="AZ240" s="207">
        <v>1352</v>
      </c>
      <c r="BA240" s="175">
        <v>2852</v>
      </c>
      <c r="BB240" s="175">
        <v>0.4740532959326788</v>
      </c>
      <c r="BC240" s="175">
        <v>0.08435844850896695</v>
      </c>
      <c r="BD240" s="175">
        <v>0</v>
      </c>
      <c r="BE240" s="175">
        <v>0</v>
      </c>
      <c r="BF240" s="207">
        <v>-38781.259999999995</v>
      </c>
      <c r="BG240" s="207">
        <v>-47447.119999999995</v>
      </c>
      <c r="BH240" s="207">
        <v>-25149.399999999998</v>
      </c>
      <c r="BI240" s="207">
        <v>-102638.2</v>
      </c>
      <c r="BJ240" s="207">
        <v>0</v>
      </c>
      <c r="BK240" s="207">
        <v>0</v>
      </c>
      <c r="BL240" s="207">
        <v>25135</v>
      </c>
      <c r="BM240" s="207">
        <v>-204120.10594616138</v>
      </c>
      <c r="BN240" s="207">
        <v>-261063.04</v>
      </c>
      <c r="BO240" s="207">
        <v>113029.24575293995</v>
      </c>
      <c r="BP240" s="207">
        <v>469181</v>
      </c>
      <c r="BQ240" s="207">
        <v>150862</v>
      </c>
      <c r="BR240" s="207">
        <v>268572.64857911115</v>
      </c>
      <c r="BS240" s="207">
        <v>-1211.545421818339</v>
      </c>
      <c r="BT240" s="207">
        <v>-61896.04433055531</v>
      </c>
      <c r="BU240" s="207">
        <v>43681.11176883208</v>
      </c>
      <c r="BV240" s="207">
        <v>308848.1520468308</v>
      </c>
      <c r="BW240" s="207">
        <v>486273.20829363336</v>
      </c>
      <c r="BX240" s="207">
        <v>135083.05323816193</v>
      </c>
      <c r="BY240" s="207">
        <v>223668.66650105477</v>
      </c>
      <c r="BZ240" s="207">
        <v>552.06</v>
      </c>
      <c r="CA240" s="207">
        <v>18712.85390120282</v>
      </c>
      <c r="CB240" s="207">
        <v>157429.15965414277</v>
      </c>
      <c r="CC240" s="207">
        <v>-709838.4062920186</v>
      </c>
      <c r="CD240" s="207">
        <v>0</v>
      </c>
      <c r="CE240" s="207">
        <v>271732.95967045997</v>
      </c>
      <c r="CF240" s="207">
        <v>0</v>
      </c>
      <c r="CG240" s="207">
        <v>-618366.5716189725</v>
      </c>
      <c r="CH240" s="207">
        <v>-1415630</v>
      </c>
      <c r="CI240" s="207">
        <v>236596.9561</v>
      </c>
      <c r="CJ240" s="207">
        <v>1204245.20218</v>
      </c>
      <c r="CK240" s="207">
        <v>-967648.24608</v>
      </c>
      <c r="CL240" s="207">
        <v>2769558.646458611</v>
      </c>
      <c r="CM240" s="207">
        <v>4495107.021933566</v>
      </c>
      <c r="CN240" s="207">
        <v>6146</v>
      </c>
    </row>
    <row r="241" spans="1:92" ht="9.75">
      <c r="A241" s="207">
        <v>758</v>
      </c>
      <c r="B241" s="207" t="s">
        <v>297</v>
      </c>
      <c r="C241" s="207">
        <v>8444</v>
      </c>
      <c r="D241" s="207">
        <v>27861758.310000002</v>
      </c>
      <c r="E241" s="207">
        <v>12344639.085716652</v>
      </c>
      <c r="F241" s="207">
        <v>7788349.222040961</v>
      </c>
      <c r="G241" s="207">
        <v>47994746.61775761</v>
      </c>
      <c r="H241" s="207">
        <v>3654.72</v>
      </c>
      <c r="I241" s="207">
        <v>30860455.68</v>
      </c>
      <c r="J241" s="207">
        <v>17134290.93775761</v>
      </c>
      <c r="K241" s="207">
        <v>4476627.184085894</v>
      </c>
      <c r="L241" s="207">
        <v>-898031.8302104201</v>
      </c>
      <c r="M241" s="207">
        <v>0</v>
      </c>
      <c r="N241" s="207">
        <v>20712886.291633084</v>
      </c>
      <c r="O241" s="207">
        <v>2931063.260341933</v>
      </c>
      <c r="P241" s="207">
        <v>23643949.55197502</v>
      </c>
      <c r="Q241" s="207">
        <v>430</v>
      </c>
      <c r="R241" s="207">
        <v>81</v>
      </c>
      <c r="S241" s="207">
        <v>478</v>
      </c>
      <c r="T241" s="207">
        <v>201</v>
      </c>
      <c r="U241" s="207">
        <v>226</v>
      </c>
      <c r="V241" s="207">
        <v>4761</v>
      </c>
      <c r="W241" s="207">
        <v>1288</v>
      </c>
      <c r="X241" s="207">
        <v>738</v>
      </c>
      <c r="Y241" s="207">
        <v>241</v>
      </c>
      <c r="Z241" s="207">
        <v>15</v>
      </c>
      <c r="AA241" s="207">
        <v>136</v>
      </c>
      <c r="AB241" s="207">
        <v>8171</v>
      </c>
      <c r="AC241" s="207">
        <v>122</v>
      </c>
      <c r="AD241" s="207">
        <v>2267</v>
      </c>
      <c r="AE241" s="480">
        <v>1.2410374356608738</v>
      </c>
      <c r="AF241" s="207">
        <v>12344639.085716652</v>
      </c>
      <c r="AG241" s="175">
        <v>363</v>
      </c>
      <c r="AH241" s="175">
        <v>3990</v>
      </c>
      <c r="AI241" s="175">
        <v>0.9325195989326905</v>
      </c>
      <c r="AJ241" s="175">
        <v>122</v>
      </c>
      <c r="AK241" s="175">
        <v>0.014448128848886783</v>
      </c>
      <c r="AL241" s="175">
        <v>0.011167049738423786</v>
      </c>
      <c r="AM241" s="175">
        <v>0</v>
      </c>
      <c r="AN241" s="175">
        <v>15</v>
      </c>
      <c r="AO241" s="175">
        <v>136</v>
      </c>
      <c r="AP241" s="175">
        <v>0</v>
      </c>
      <c r="AQ241" s="175">
        <v>0</v>
      </c>
      <c r="AR241" s="175">
        <v>11691.64</v>
      </c>
      <c r="AS241" s="175">
        <v>0.7222254534008916</v>
      </c>
      <c r="AT241" s="175">
        <v>25.13137975883303</v>
      </c>
      <c r="AU241" s="175">
        <v>230</v>
      </c>
      <c r="AV241" s="175">
        <v>2335</v>
      </c>
      <c r="AW241" s="175">
        <v>0.09850107066381156</v>
      </c>
      <c r="AX241" s="175">
        <v>0.04303983693432655</v>
      </c>
      <c r="AY241" s="175">
        <v>1.3763</v>
      </c>
      <c r="AZ241" s="207">
        <v>3577</v>
      </c>
      <c r="BA241" s="175">
        <v>3535</v>
      </c>
      <c r="BB241" s="175">
        <v>1.011881188118812</v>
      </c>
      <c r="BC241" s="175">
        <v>0.6221863406951</v>
      </c>
      <c r="BD241" s="175">
        <v>1</v>
      </c>
      <c r="BE241" s="175">
        <v>136</v>
      </c>
      <c r="BF241" s="207">
        <v>-53918.95</v>
      </c>
      <c r="BG241" s="207">
        <v>-65967.4</v>
      </c>
      <c r="BH241" s="207">
        <v>-34620.399999999994</v>
      </c>
      <c r="BI241" s="207">
        <v>-142701.5</v>
      </c>
      <c r="BJ241" s="207">
        <v>0</v>
      </c>
      <c r="BK241" s="207">
        <v>0</v>
      </c>
      <c r="BL241" s="207">
        <v>420189</v>
      </c>
      <c r="BM241" s="207">
        <v>-95943.1808653489</v>
      </c>
      <c r="BN241" s="207">
        <v>-359376.64</v>
      </c>
      <c r="BO241" s="207">
        <v>-287297.2251544371</v>
      </c>
      <c r="BP241" s="207">
        <v>693231</v>
      </c>
      <c r="BQ241" s="207">
        <v>237883</v>
      </c>
      <c r="BR241" s="207">
        <v>592945.920689107</v>
      </c>
      <c r="BS241" s="207">
        <v>31524.228177903762</v>
      </c>
      <c r="BT241" s="207">
        <v>91412.20974928621</v>
      </c>
      <c r="BU241" s="207">
        <v>255352.7917019284</v>
      </c>
      <c r="BV241" s="207">
        <v>455936.6736646317</v>
      </c>
      <c r="BW241" s="207">
        <v>690645.5411653761</v>
      </c>
      <c r="BX241" s="207">
        <v>222010.79883570335</v>
      </c>
      <c r="BY241" s="207">
        <v>375931.65217117127</v>
      </c>
      <c r="BZ241" s="207">
        <v>759.9599999999999</v>
      </c>
      <c r="CA241" s="207">
        <v>-20262.454190634002</v>
      </c>
      <c r="CB241" s="207">
        <v>113389.28065492887</v>
      </c>
      <c r="CC241" s="207">
        <v>-898031.8302104201</v>
      </c>
      <c r="CD241" s="207">
        <v>0</v>
      </c>
      <c r="CE241" s="207">
        <v>501945.49251708045</v>
      </c>
      <c r="CF241" s="207">
        <v>0</v>
      </c>
      <c r="CG241" s="207">
        <v>2931063.260341933</v>
      </c>
      <c r="CH241" s="207">
        <v>-881735</v>
      </c>
      <c r="CI241" s="207">
        <v>35343.412000000004</v>
      </c>
      <c r="CJ241" s="207">
        <v>81561.72</v>
      </c>
      <c r="CK241" s="207">
        <v>-46218.308</v>
      </c>
      <c r="CL241" s="207">
        <v>22762214.55197502</v>
      </c>
      <c r="CM241" s="207">
        <v>25128859.888171636</v>
      </c>
      <c r="CN241" s="207">
        <v>8545</v>
      </c>
    </row>
    <row r="242" spans="1:92" ht="9.75">
      <c r="A242" s="207">
        <v>759</v>
      </c>
      <c r="B242" s="207" t="s">
        <v>298</v>
      </c>
      <c r="C242" s="207">
        <v>2085</v>
      </c>
      <c r="D242" s="207">
        <v>8118692.219999999</v>
      </c>
      <c r="E242" s="207">
        <v>3303276.332606099</v>
      </c>
      <c r="F242" s="207">
        <v>658802.5186431134</v>
      </c>
      <c r="G242" s="207">
        <v>12080771.071249211</v>
      </c>
      <c r="H242" s="207">
        <v>3654.72</v>
      </c>
      <c r="I242" s="207">
        <v>7620091.199999999</v>
      </c>
      <c r="J242" s="207">
        <v>4460679.871249212</v>
      </c>
      <c r="K242" s="207">
        <v>324235.5888667159</v>
      </c>
      <c r="L242" s="207">
        <v>-294794.91427210654</v>
      </c>
      <c r="M242" s="207">
        <v>0</v>
      </c>
      <c r="N242" s="207">
        <v>4490120.545843822</v>
      </c>
      <c r="O242" s="207">
        <v>2373819.1780631505</v>
      </c>
      <c r="P242" s="207">
        <v>6863939.723906972</v>
      </c>
      <c r="Q242" s="207">
        <v>128</v>
      </c>
      <c r="R242" s="207">
        <v>31</v>
      </c>
      <c r="S242" s="207">
        <v>129</v>
      </c>
      <c r="T242" s="207">
        <v>67</v>
      </c>
      <c r="U242" s="207">
        <v>76</v>
      </c>
      <c r="V242" s="207">
        <v>1025</v>
      </c>
      <c r="W242" s="207">
        <v>333</v>
      </c>
      <c r="X242" s="207">
        <v>209</v>
      </c>
      <c r="Y242" s="207">
        <v>87</v>
      </c>
      <c r="Z242" s="207">
        <v>4</v>
      </c>
      <c r="AA242" s="207">
        <v>0</v>
      </c>
      <c r="AB242" s="207">
        <v>2067</v>
      </c>
      <c r="AC242" s="207">
        <v>14</v>
      </c>
      <c r="AD242" s="207">
        <v>629</v>
      </c>
      <c r="AE242" s="480">
        <v>1.3449110318289745</v>
      </c>
      <c r="AF242" s="207">
        <v>3303276.332606099</v>
      </c>
      <c r="AG242" s="175">
        <v>74</v>
      </c>
      <c r="AH242" s="175">
        <v>875</v>
      </c>
      <c r="AI242" s="175">
        <v>0.8668578883301573</v>
      </c>
      <c r="AJ242" s="175">
        <v>14</v>
      </c>
      <c r="AK242" s="175">
        <v>0.00671462829736211</v>
      </c>
      <c r="AL242" s="175">
        <v>0.0034335491868991135</v>
      </c>
      <c r="AM242" s="175">
        <v>0</v>
      </c>
      <c r="AN242" s="175">
        <v>4</v>
      </c>
      <c r="AO242" s="175">
        <v>0</v>
      </c>
      <c r="AP242" s="175">
        <v>0</v>
      </c>
      <c r="AQ242" s="175">
        <v>0</v>
      </c>
      <c r="AR242" s="175">
        <v>551.95</v>
      </c>
      <c r="AS242" s="175">
        <v>3.7775160793550135</v>
      </c>
      <c r="AT242" s="175">
        <v>4.804882827662843</v>
      </c>
      <c r="AU242" s="175">
        <v>77</v>
      </c>
      <c r="AV242" s="175">
        <v>514</v>
      </c>
      <c r="AW242" s="175">
        <v>0.14980544747081712</v>
      </c>
      <c r="AX242" s="175">
        <v>0.09434421374133212</v>
      </c>
      <c r="AY242" s="175">
        <v>0.5308666666666666</v>
      </c>
      <c r="AZ242" s="207">
        <v>760</v>
      </c>
      <c r="BA242" s="175">
        <v>748</v>
      </c>
      <c r="BB242" s="175">
        <v>1.0160427807486632</v>
      </c>
      <c r="BC242" s="175">
        <v>0.6263479333249513</v>
      </c>
      <c r="BD242" s="175">
        <v>0</v>
      </c>
      <c r="BE242" s="175">
        <v>0</v>
      </c>
      <c r="BF242" s="207">
        <v>-13339.339999999998</v>
      </c>
      <c r="BG242" s="207">
        <v>-16320.08</v>
      </c>
      <c r="BH242" s="207">
        <v>-8548.5</v>
      </c>
      <c r="BI242" s="207">
        <v>-35303.799999999996</v>
      </c>
      <c r="BJ242" s="207">
        <v>0</v>
      </c>
      <c r="BK242" s="207">
        <v>0</v>
      </c>
      <c r="BL242" s="207">
        <v>12453</v>
      </c>
      <c r="BM242" s="207">
        <v>-67323.99184206789</v>
      </c>
      <c r="BN242" s="207">
        <v>-88737.6</v>
      </c>
      <c r="BO242" s="207">
        <v>-12221.49818348512</v>
      </c>
      <c r="BP242" s="207">
        <v>262591</v>
      </c>
      <c r="BQ242" s="207">
        <v>74315</v>
      </c>
      <c r="BR242" s="207">
        <v>200718.70552327146</v>
      </c>
      <c r="BS242" s="207">
        <v>11886.434532257832</v>
      </c>
      <c r="BT242" s="207">
        <v>31400.727928979493</v>
      </c>
      <c r="BU242" s="207">
        <v>102409.69369838842</v>
      </c>
      <c r="BV242" s="207">
        <v>132599.5516883108</v>
      </c>
      <c r="BW242" s="207">
        <v>196220.17433588332</v>
      </c>
      <c r="BX242" s="207">
        <v>57387.52955641732</v>
      </c>
      <c r="BY242" s="207">
        <v>105689.84633192497</v>
      </c>
      <c r="BZ242" s="207">
        <v>187.65</v>
      </c>
      <c r="CA242" s="207">
        <v>-1714.6542465534949</v>
      </c>
      <c r="CB242" s="207">
        <v>-1295.5024300386153</v>
      </c>
      <c r="CC242" s="207">
        <v>-294794.91427210654</v>
      </c>
      <c r="CD242" s="207">
        <v>0</v>
      </c>
      <c r="CE242" s="207">
        <v>148077.4819731358</v>
      </c>
      <c r="CF242" s="207">
        <v>0</v>
      </c>
      <c r="CG242" s="207">
        <v>2373819.1780631505</v>
      </c>
      <c r="CH242" s="207">
        <v>-485087</v>
      </c>
      <c r="CI242" s="207">
        <v>333043.69</v>
      </c>
      <c r="CJ242" s="207">
        <v>87203.0723</v>
      </c>
      <c r="CK242" s="207">
        <v>245840.6177</v>
      </c>
      <c r="CL242" s="207">
        <v>6378852.723906972</v>
      </c>
      <c r="CM242" s="207">
        <v>7591176.25997594</v>
      </c>
      <c r="CN242" s="207">
        <v>2114</v>
      </c>
    </row>
    <row r="243" spans="1:92" ht="9.75">
      <c r="A243" s="207">
        <v>761</v>
      </c>
      <c r="B243" s="207" t="s">
        <v>299</v>
      </c>
      <c r="C243" s="207">
        <v>8828</v>
      </c>
      <c r="D243" s="207">
        <v>34186712.54</v>
      </c>
      <c r="E243" s="207">
        <v>12311173.32501389</v>
      </c>
      <c r="F243" s="207">
        <v>2003861.6198445444</v>
      </c>
      <c r="G243" s="207">
        <v>48501747.48485843</v>
      </c>
      <c r="H243" s="207">
        <v>3654.72</v>
      </c>
      <c r="I243" s="207">
        <v>32263868.159999996</v>
      </c>
      <c r="J243" s="207">
        <v>16237879.324858434</v>
      </c>
      <c r="K243" s="207">
        <v>251340.85000062358</v>
      </c>
      <c r="L243" s="207">
        <v>-1087697.4227658503</v>
      </c>
      <c r="M243" s="207">
        <v>0</v>
      </c>
      <c r="N243" s="207">
        <v>15401522.752093207</v>
      </c>
      <c r="O243" s="207">
        <v>6808887.683602302</v>
      </c>
      <c r="P243" s="207">
        <v>22210410.43569551</v>
      </c>
      <c r="Q243" s="207">
        <v>413</v>
      </c>
      <c r="R243" s="207">
        <v>85</v>
      </c>
      <c r="S243" s="207">
        <v>520</v>
      </c>
      <c r="T243" s="207">
        <v>317</v>
      </c>
      <c r="U243" s="207">
        <v>280</v>
      </c>
      <c r="V243" s="207">
        <v>4432</v>
      </c>
      <c r="W243" s="207">
        <v>1455</v>
      </c>
      <c r="X243" s="207">
        <v>909</v>
      </c>
      <c r="Y243" s="207">
        <v>417</v>
      </c>
      <c r="Z243" s="207">
        <v>50</v>
      </c>
      <c r="AA243" s="207">
        <v>0</v>
      </c>
      <c r="AB243" s="207">
        <v>8512</v>
      </c>
      <c r="AC243" s="207">
        <v>266</v>
      </c>
      <c r="AD243" s="207">
        <v>2781</v>
      </c>
      <c r="AE243" s="480">
        <v>1.183836785430165</v>
      </c>
      <c r="AF243" s="207">
        <v>12311173.32501389</v>
      </c>
      <c r="AG243" s="175">
        <v>284</v>
      </c>
      <c r="AH243" s="175">
        <v>3796</v>
      </c>
      <c r="AI243" s="175">
        <v>0.7668605119544188</v>
      </c>
      <c r="AJ243" s="175">
        <v>266</v>
      </c>
      <c r="AK243" s="175">
        <v>0.030131400090620753</v>
      </c>
      <c r="AL243" s="175">
        <v>0.026850320980157757</v>
      </c>
      <c r="AM243" s="175">
        <v>0</v>
      </c>
      <c r="AN243" s="175">
        <v>50</v>
      </c>
      <c r="AO243" s="175">
        <v>0</v>
      </c>
      <c r="AP243" s="175">
        <v>0</v>
      </c>
      <c r="AQ243" s="175">
        <v>0</v>
      </c>
      <c r="AR243" s="175">
        <v>667.81</v>
      </c>
      <c r="AS243" s="175">
        <v>13.219328851020501</v>
      </c>
      <c r="AT243" s="175">
        <v>1.3730290202676967</v>
      </c>
      <c r="AU243" s="175">
        <v>419</v>
      </c>
      <c r="AV243" s="175">
        <v>2382</v>
      </c>
      <c r="AW243" s="175">
        <v>0.1759026028547439</v>
      </c>
      <c r="AX243" s="175">
        <v>0.1204413691252589</v>
      </c>
      <c r="AY243" s="175">
        <v>0</v>
      </c>
      <c r="AZ243" s="207">
        <v>2732</v>
      </c>
      <c r="BA243" s="175">
        <v>3313</v>
      </c>
      <c r="BB243" s="175">
        <v>0.8246302444913975</v>
      </c>
      <c r="BC243" s="175">
        <v>0.4349353970676857</v>
      </c>
      <c r="BD243" s="175">
        <v>0</v>
      </c>
      <c r="BE243" s="175">
        <v>0</v>
      </c>
      <c r="BF243" s="207">
        <v>-56278.89</v>
      </c>
      <c r="BG243" s="207">
        <v>-68854.68</v>
      </c>
      <c r="BH243" s="207">
        <v>-36194.799999999996</v>
      </c>
      <c r="BI243" s="207">
        <v>-148947.3</v>
      </c>
      <c r="BJ243" s="207">
        <v>0</v>
      </c>
      <c r="BK243" s="207">
        <v>0</v>
      </c>
      <c r="BL243" s="207">
        <v>-61765</v>
      </c>
      <c r="BM243" s="207">
        <v>-382397.64576085523</v>
      </c>
      <c r="BN243" s="207">
        <v>-375719.68</v>
      </c>
      <c r="BO243" s="207">
        <v>273763.0343242958</v>
      </c>
      <c r="BP243" s="207">
        <v>887508</v>
      </c>
      <c r="BQ243" s="207">
        <v>278652</v>
      </c>
      <c r="BR243" s="207">
        <v>659966.2377995836</v>
      </c>
      <c r="BS243" s="207">
        <v>34333.41140619083</v>
      </c>
      <c r="BT243" s="207">
        <v>121275.90096974367</v>
      </c>
      <c r="BU243" s="207">
        <v>306245.2735996983</v>
      </c>
      <c r="BV243" s="207">
        <v>520045.1105944065</v>
      </c>
      <c r="BW243" s="207">
        <v>867204.306433908</v>
      </c>
      <c r="BX243" s="207">
        <v>244868.48851961794</v>
      </c>
      <c r="BY243" s="207">
        <v>419506.1033859213</v>
      </c>
      <c r="BZ243" s="207">
        <v>794.52</v>
      </c>
      <c r="CA243" s="207">
        <v>38569.49867070903</v>
      </c>
      <c r="CB243" s="207">
        <v>251362.05299500484</v>
      </c>
      <c r="CC243" s="207">
        <v>-1087697.4227658503</v>
      </c>
      <c r="CD243" s="207">
        <v>0</v>
      </c>
      <c r="CE243" s="207">
        <v>584535.856487705</v>
      </c>
      <c r="CF243" s="207">
        <v>0</v>
      </c>
      <c r="CG243" s="207">
        <v>6808887.683602302</v>
      </c>
      <c r="CH243" s="207">
        <v>-264496</v>
      </c>
      <c r="CI243" s="207">
        <v>308643.14210000006</v>
      </c>
      <c r="CJ243" s="207">
        <v>161179.55234000002</v>
      </c>
      <c r="CK243" s="207">
        <v>147463.58976000003</v>
      </c>
      <c r="CL243" s="207">
        <v>21945914.43569551</v>
      </c>
      <c r="CM243" s="207">
        <v>25230755.397674054</v>
      </c>
      <c r="CN243" s="207">
        <v>8919</v>
      </c>
    </row>
    <row r="244" spans="1:92" ht="9.75">
      <c r="A244" s="207">
        <v>762</v>
      </c>
      <c r="B244" s="207" t="s">
        <v>300</v>
      </c>
      <c r="C244" s="207">
        <v>3967</v>
      </c>
      <c r="D244" s="207">
        <v>14364868.629999999</v>
      </c>
      <c r="E244" s="207">
        <v>8571497.815657007</v>
      </c>
      <c r="F244" s="207">
        <v>1650845.8639769536</v>
      </c>
      <c r="G244" s="207">
        <v>24587212.309633963</v>
      </c>
      <c r="H244" s="207">
        <v>3654.72</v>
      </c>
      <c r="I244" s="207">
        <v>14498274.239999998</v>
      </c>
      <c r="J244" s="207">
        <v>10088938.069633964</v>
      </c>
      <c r="K244" s="207">
        <v>272630.82949144114</v>
      </c>
      <c r="L244" s="207">
        <v>-337167.9718392474</v>
      </c>
      <c r="M244" s="207">
        <v>0</v>
      </c>
      <c r="N244" s="207">
        <v>10024400.927286157</v>
      </c>
      <c r="O244" s="207">
        <v>3232390.3355500195</v>
      </c>
      <c r="P244" s="207">
        <v>13256791.262836177</v>
      </c>
      <c r="Q244" s="207">
        <v>169</v>
      </c>
      <c r="R244" s="207">
        <v>28</v>
      </c>
      <c r="S244" s="207">
        <v>233</v>
      </c>
      <c r="T244" s="207">
        <v>107</v>
      </c>
      <c r="U244" s="207">
        <v>114</v>
      </c>
      <c r="V244" s="207">
        <v>2057</v>
      </c>
      <c r="W244" s="207">
        <v>701</v>
      </c>
      <c r="X244" s="207">
        <v>385</v>
      </c>
      <c r="Y244" s="207">
        <v>173</v>
      </c>
      <c r="Z244" s="207">
        <v>3</v>
      </c>
      <c r="AA244" s="207">
        <v>0</v>
      </c>
      <c r="AB244" s="207">
        <v>3928</v>
      </c>
      <c r="AC244" s="207">
        <v>36</v>
      </c>
      <c r="AD244" s="207">
        <v>1259</v>
      </c>
      <c r="AE244" s="480">
        <v>1.834210722256795</v>
      </c>
      <c r="AF244" s="207">
        <v>8571497.815657007</v>
      </c>
      <c r="AG244" s="175">
        <v>190</v>
      </c>
      <c r="AH244" s="175">
        <v>1742</v>
      </c>
      <c r="AI244" s="175">
        <v>1.1179688144637157</v>
      </c>
      <c r="AJ244" s="175">
        <v>36</v>
      </c>
      <c r="AK244" s="175">
        <v>0.009074867658179985</v>
      </c>
      <c r="AL244" s="175">
        <v>0.005793788547716988</v>
      </c>
      <c r="AM244" s="175">
        <v>0</v>
      </c>
      <c r="AN244" s="175">
        <v>3</v>
      </c>
      <c r="AO244" s="175">
        <v>0</v>
      </c>
      <c r="AP244" s="175">
        <v>0</v>
      </c>
      <c r="AQ244" s="175">
        <v>0</v>
      </c>
      <c r="AR244" s="175">
        <v>1465.92</v>
      </c>
      <c r="AS244" s="175">
        <v>2.706150403841956</v>
      </c>
      <c r="AT244" s="175">
        <v>6.707137236402178</v>
      </c>
      <c r="AU244" s="175">
        <v>141</v>
      </c>
      <c r="AV244" s="175">
        <v>996</v>
      </c>
      <c r="AW244" s="175">
        <v>0.14156626506024098</v>
      </c>
      <c r="AX244" s="175">
        <v>0.08610503133075598</v>
      </c>
      <c r="AY244" s="175">
        <v>0.18383333333333332</v>
      </c>
      <c r="AZ244" s="207">
        <v>1164</v>
      </c>
      <c r="BA244" s="175">
        <v>1396</v>
      </c>
      <c r="BB244" s="175">
        <v>0.833810888252149</v>
      </c>
      <c r="BC244" s="175">
        <v>0.44411604082843714</v>
      </c>
      <c r="BD244" s="175">
        <v>0</v>
      </c>
      <c r="BE244" s="175">
        <v>0</v>
      </c>
      <c r="BF244" s="207">
        <v>-25713.25</v>
      </c>
      <c r="BG244" s="207">
        <v>-31459</v>
      </c>
      <c r="BH244" s="207">
        <v>-16264.699999999999</v>
      </c>
      <c r="BI244" s="207">
        <v>-68052.5</v>
      </c>
      <c r="BJ244" s="207">
        <v>0</v>
      </c>
      <c r="BK244" s="207">
        <v>0</v>
      </c>
      <c r="BL244" s="207">
        <v>204685</v>
      </c>
      <c r="BM244" s="207">
        <v>-130727.11177584519</v>
      </c>
      <c r="BN244" s="207">
        <v>-168835.52000000002</v>
      </c>
      <c r="BO244" s="207">
        <v>17535.917514123023</v>
      </c>
      <c r="BP244" s="207">
        <v>462495</v>
      </c>
      <c r="BQ244" s="207">
        <v>137719</v>
      </c>
      <c r="BR244" s="207">
        <v>362954.3737061537</v>
      </c>
      <c r="BS244" s="207">
        <v>19428.27120983442</v>
      </c>
      <c r="BT244" s="207">
        <v>53100.47284489389</v>
      </c>
      <c r="BU244" s="207">
        <v>169435.35904417702</v>
      </c>
      <c r="BV244" s="207">
        <v>237698.85287035187</v>
      </c>
      <c r="BW244" s="207">
        <v>367781.046506204</v>
      </c>
      <c r="BX244" s="207">
        <v>113100.70898919602</v>
      </c>
      <c r="BY244" s="207">
        <v>198358.18347274623</v>
      </c>
      <c r="BZ244" s="207">
        <v>357.03</v>
      </c>
      <c r="CA244" s="207">
        <v>2934.382422474824</v>
      </c>
      <c r="CB244" s="207">
        <v>225512.32993659785</v>
      </c>
      <c r="CC244" s="207">
        <v>-337167.9718392474</v>
      </c>
      <c r="CD244" s="207">
        <v>0</v>
      </c>
      <c r="CE244" s="207">
        <v>273236.6740030008</v>
      </c>
      <c r="CF244" s="207">
        <v>0</v>
      </c>
      <c r="CG244" s="207">
        <v>3232390.3355500195</v>
      </c>
      <c r="CH244" s="207">
        <v>-40628</v>
      </c>
      <c r="CI244" s="207">
        <v>91281.15830000001</v>
      </c>
      <c r="CJ244" s="207">
        <v>70102.29834000001</v>
      </c>
      <c r="CK244" s="207">
        <v>21178.85996</v>
      </c>
      <c r="CL244" s="207">
        <v>13216163.262836177</v>
      </c>
      <c r="CM244" s="207">
        <v>15023428.588635182</v>
      </c>
      <c r="CN244" s="207">
        <v>4075</v>
      </c>
    </row>
    <row r="245" spans="1:92" ht="9.75">
      <c r="A245" s="207">
        <v>765</v>
      </c>
      <c r="B245" s="207" t="s">
        <v>301</v>
      </c>
      <c r="C245" s="207">
        <v>10389</v>
      </c>
      <c r="D245" s="207">
        <v>37652848.26</v>
      </c>
      <c r="E245" s="207">
        <v>14135024.075357517</v>
      </c>
      <c r="F245" s="207">
        <v>3405015.319451461</v>
      </c>
      <c r="G245" s="207">
        <v>55192887.654808976</v>
      </c>
      <c r="H245" s="207">
        <v>3654.72</v>
      </c>
      <c r="I245" s="207">
        <v>37968886.08</v>
      </c>
      <c r="J245" s="207">
        <v>17224001.574808978</v>
      </c>
      <c r="K245" s="207">
        <v>1346990.4017856834</v>
      </c>
      <c r="L245" s="207">
        <v>-953469.7525141679</v>
      </c>
      <c r="M245" s="207">
        <v>0</v>
      </c>
      <c r="N245" s="207">
        <v>17617522.22408049</v>
      </c>
      <c r="O245" s="207">
        <v>4898447.001102242</v>
      </c>
      <c r="P245" s="207">
        <v>22515969.225182734</v>
      </c>
      <c r="Q245" s="207">
        <v>599</v>
      </c>
      <c r="R245" s="207">
        <v>97</v>
      </c>
      <c r="S245" s="207">
        <v>678</v>
      </c>
      <c r="T245" s="207">
        <v>365</v>
      </c>
      <c r="U245" s="207">
        <v>351</v>
      </c>
      <c r="V245" s="207">
        <v>5610</v>
      </c>
      <c r="W245" s="207">
        <v>1540</v>
      </c>
      <c r="X245" s="207">
        <v>784</v>
      </c>
      <c r="Y245" s="207">
        <v>365</v>
      </c>
      <c r="Z245" s="207">
        <v>17</v>
      </c>
      <c r="AA245" s="207">
        <v>0</v>
      </c>
      <c r="AB245" s="207">
        <v>10096</v>
      </c>
      <c r="AC245" s="207">
        <v>276</v>
      </c>
      <c r="AD245" s="207">
        <v>2689</v>
      </c>
      <c r="AE245" s="480">
        <v>1.15498811637795</v>
      </c>
      <c r="AF245" s="207">
        <v>14135024.075357517</v>
      </c>
      <c r="AG245" s="175">
        <v>413</v>
      </c>
      <c r="AH245" s="175">
        <v>4732</v>
      </c>
      <c r="AI245" s="175">
        <v>0.8946013610475846</v>
      </c>
      <c r="AJ245" s="175">
        <v>276</v>
      </c>
      <c r="AK245" s="175">
        <v>0.026566560785446145</v>
      </c>
      <c r="AL245" s="175">
        <v>0.02328548167498315</v>
      </c>
      <c r="AM245" s="175">
        <v>0</v>
      </c>
      <c r="AN245" s="175">
        <v>17</v>
      </c>
      <c r="AO245" s="175">
        <v>0</v>
      </c>
      <c r="AP245" s="175">
        <v>0</v>
      </c>
      <c r="AQ245" s="175">
        <v>0</v>
      </c>
      <c r="AR245" s="175">
        <v>2648.8</v>
      </c>
      <c r="AS245" s="175">
        <v>3.9221534279673813</v>
      </c>
      <c r="AT245" s="175">
        <v>4.627693045225798</v>
      </c>
      <c r="AU245" s="175">
        <v>281</v>
      </c>
      <c r="AV245" s="175">
        <v>3024</v>
      </c>
      <c r="AW245" s="175">
        <v>0.09292328042328042</v>
      </c>
      <c r="AX245" s="175">
        <v>0.037462046693795416</v>
      </c>
      <c r="AY245" s="175">
        <v>0.4204333333333333</v>
      </c>
      <c r="AZ245" s="207">
        <v>4134</v>
      </c>
      <c r="BA245" s="175">
        <v>4197</v>
      </c>
      <c r="BB245" s="175">
        <v>0.9849892780557541</v>
      </c>
      <c r="BC245" s="175">
        <v>0.5952944306320422</v>
      </c>
      <c r="BD245" s="175">
        <v>0</v>
      </c>
      <c r="BE245" s="175">
        <v>0</v>
      </c>
      <c r="BF245" s="207">
        <v>-65769.12999999999</v>
      </c>
      <c r="BG245" s="207">
        <v>-80465.56</v>
      </c>
      <c r="BH245" s="207">
        <v>-42594.899999999994</v>
      </c>
      <c r="BI245" s="207">
        <v>-174064.1</v>
      </c>
      <c r="BJ245" s="207">
        <v>0</v>
      </c>
      <c r="BK245" s="207">
        <v>0</v>
      </c>
      <c r="BL245" s="207">
        <v>96374</v>
      </c>
      <c r="BM245" s="207">
        <v>-118162.35799119622</v>
      </c>
      <c r="BN245" s="207">
        <v>-442155.84</v>
      </c>
      <c r="BO245" s="207">
        <v>231609.68106403947</v>
      </c>
      <c r="BP245" s="207">
        <v>912888</v>
      </c>
      <c r="BQ245" s="207">
        <v>295616</v>
      </c>
      <c r="BR245" s="207">
        <v>660849.7534606402</v>
      </c>
      <c r="BS245" s="207">
        <v>27703.440061382953</v>
      </c>
      <c r="BT245" s="207">
        <v>87037.29789209824</v>
      </c>
      <c r="BU245" s="207">
        <v>309699.4777221213</v>
      </c>
      <c r="BV245" s="207">
        <v>562001.1400410109</v>
      </c>
      <c r="BW245" s="207">
        <v>866031.8469819147</v>
      </c>
      <c r="BX245" s="207">
        <v>266946.10668236495</v>
      </c>
      <c r="BY245" s="207">
        <v>472543.7359615906</v>
      </c>
      <c r="BZ245" s="207">
        <v>935.01</v>
      </c>
      <c r="CA245" s="207">
        <v>-40649.81558701109</v>
      </c>
      <c r="CB245" s="207">
        <v>288268.87547702837</v>
      </c>
      <c r="CC245" s="207">
        <v>-953469.7525141679</v>
      </c>
      <c r="CD245" s="207">
        <v>0</v>
      </c>
      <c r="CE245" s="207">
        <v>639254.891639248</v>
      </c>
      <c r="CF245" s="207">
        <v>0</v>
      </c>
      <c r="CG245" s="207">
        <v>4898447.001102242</v>
      </c>
      <c r="CH245" s="207">
        <v>671330</v>
      </c>
      <c r="CI245" s="207">
        <v>179639.68829999998</v>
      </c>
      <c r="CJ245" s="207">
        <v>351490.23234000005</v>
      </c>
      <c r="CK245" s="207">
        <v>-171850.54404000007</v>
      </c>
      <c r="CL245" s="207">
        <v>23187299.225182734</v>
      </c>
      <c r="CM245" s="207">
        <v>26308023.34474807</v>
      </c>
      <c r="CN245" s="207">
        <v>10423</v>
      </c>
    </row>
    <row r="246" spans="1:92" ht="9.75">
      <c r="A246" s="207">
        <v>768</v>
      </c>
      <c r="B246" s="207" t="s">
        <v>302</v>
      </c>
      <c r="C246" s="207">
        <v>2530</v>
      </c>
      <c r="D246" s="207">
        <v>9490939.48</v>
      </c>
      <c r="E246" s="207">
        <v>4728569.664457732</v>
      </c>
      <c r="F246" s="207">
        <v>1885913.409847899</v>
      </c>
      <c r="G246" s="207">
        <v>16105422.55430563</v>
      </c>
      <c r="H246" s="207">
        <v>3654.72</v>
      </c>
      <c r="I246" s="207">
        <v>9246441.6</v>
      </c>
      <c r="J246" s="207">
        <v>6858980.95430563</v>
      </c>
      <c r="K246" s="207">
        <v>346750.006463033</v>
      </c>
      <c r="L246" s="207">
        <v>-12505.133236272843</v>
      </c>
      <c r="M246" s="207">
        <v>0</v>
      </c>
      <c r="N246" s="207">
        <v>7193225.82753239</v>
      </c>
      <c r="O246" s="207">
        <v>2300979.48939524</v>
      </c>
      <c r="P246" s="207">
        <v>9494205.31692763</v>
      </c>
      <c r="Q246" s="207">
        <v>73</v>
      </c>
      <c r="R246" s="207">
        <v>11</v>
      </c>
      <c r="S246" s="207">
        <v>88</v>
      </c>
      <c r="T246" s="207">
        <v>73</v>
      </c>
      <c r="U246" s="207">
        <v>65</v>
      </c>
      <c r="V246" s="207">
        <v>1235</v>
      </c>
      <c r="W246" s="207">
        <v>521</v>
      </c>
      <c r="X246" s="207">
        <v>322</v>
      </c>
      <c r="Y246" s="207">
        <v>142</v>
      </c>
      <c r="Z246" s="207">
        <v>4</v>
      </c>
      <c r="AA246" s="207">
        <v>0</v>
      </c>
      <c r="AB246" s="207">
        <v>2463</v>
      </c>
      <c r="AC246" s="207">
        <v>63</v>
      </c>
      <c r="AD246" s="207">
        <v>985</v>
      </c>
      <c r="AE246" s="480">
        <v>1.586587323747536</v>
      </c>
      <c r="AF246" s="207">
        <v>4728569.664457732</v>
      </c>
      <c r="AG246" s="175">
        <v>116</v>
      </c>
      <c r="AH246" s="175">
        <v>1060</v>
      </c>
      <c r="AI246" s="175">
        <v>1.1216990778367029</v>
      </c>
      <c r="AJ246" s="175">
        <v>63</v>
      </c>
      <c r="AK246" s="175">
        <v>0.024901185770750987</v>
      </c>
      <c r="AL246" s="175">
        <v>0.02162010666028799</v>
      </c>
      <c r="AM246" s="175">
        <v>0</v>
      </c>
      <c r="AN246" s="175">
        <v>4</v>
      </c>
      <c r="AO246" s="175">
        <v>0</v>
      </c>
      <c r="AP246" s="175">
        <v>1</v>
      </c>
      <c r="AQ246" s="175">
        <v>0</v>
      </c>
      <c r="AR246" s="175">
        <v>584.53</v>
      </c>
      <c r="AS246" s="175">
        <v>4.3282637332557785</v>
      </c>
      <c r="AT246" s="175">
        <v>4.193488026493272</v>
      </c>
      <c r="AU246" s="175">
        <v>90</v>
      </c>
      <c r="AV246" s="175">
        <v>547</v>
      </c>
      <c r="AW246" s="175">
        <v>0.16453382084095064</v>
      </c>
      <c r="AX246" s="175">
        <v>0.10907258711146564</v>
      </c>
      <c r="AY246" s="175">
        <v>0.46875</v>
      </c>
      <c r="AZ246" s="207">
        <v>798</v>
      </c>
      <c r="BA246" s="175">
        <v>850</v>
      </c>
      <c r="BB246" s="175">
        <v>0.9388235294117647</v>
      </c>
      <c r="BC246" s="175">
        <v>0.5491286819880529</v>
      </c>
      <c r="BD246" s="175">
        <v>0</v>
      </c>
      <c r="BE246" s="175">
        <v>0</v>
      </c>
      <c r="BF246" s="207">
        <v>-16330.279999999999</v>
      </c>
      <c r="BG246" s="207">
        <v>-19979.36</v>
      </c>
      <c r="BH246" s="207">
        <v>-10373</v>
      </c>
      <c r="BI246" s="207">
        <v>-43219.6</v>
      </c>
      <c r="BJ246" s="207">
        <v>0</v>
      </c>
      <c r="BK246" s="207">
        <v>0</v>
      </c>
      <c r="BL246" s="207">
        <v>41103</v>
      </c>
      <c r="BM246" s="207">
        <v>-60005.921886881624</v>
      </c>
      <c r="BN246" s="207">
        <v>-107676.8</v>
      </c>
      <c r="BO246" s="207">
        <v>295311.2232803684</v>
      </c>
      <c r="BP246" s="207">
        <v>318438</v>
      </c>
      <c r="BQ246" s="207">
        <v>93179</v>
      </c>
      <c r="BR246" s="207">
        <v>245802.51333843436</v>
      </c>
      <c r="BS246" s="207">
        <v>13843.474499437989</v>
      </c>
      <c r="BT246" s="207">
        <v>41836.60849986856</v>
      </c>
      <c r="BU246" s="207">
        <v>124518.57130691377</v>
      </c>
      <c r="BV246" s="207">
        <v>153944.94648687728</v>
      </c>
      <c r="BW246" s="207">
        <v>236716.76625517706</v>
      </c>
      <c r="BX246" s="207">
        <v>78152.09849280314</v>
      </c>
      <c r="BY246" s="207">
        <v>132344.63119688578</v>
      </c>
      <c r="BZ246" s="207">
        <v>227.7</v>
      </c>
      <c r="CA246" s="207">
        <v>-13992.294629759628</v>
      </c>
      <c r="CB246" s="207">
        <v>322649.62865060876</v>
      </c>
      <c r="CC246" s="207">
        <v>-12505.133236272843</v>
      </c>
      <c r="CD246" s="207">
        <v>0</v>
      </c>
      <c r="CE246" s="207">
        <v>173909.10714909717</v>
      </c>
      <c r="CF246" s="207">
        <v>0</v>
      </c>
      <c r="CG246" s="207">
        <v>2300979.48939524</v>
      </c>
      <c r="CH246" s="207">
        <v>375004</v>
      </c>
      <c r="CI246" s="207">
        <v>186232.59399999998</v>
      </c>
      <c r="CJ246" s="207">
        <v>59811.928</v>
      </c>
      <c r="CK246" s="207">
        <v>126420.66599999998</v>
      </c>
      <c r="CL246" s="207">
        <v>9869209.31692763</v>
      </c>
      <c r="CM246" s="207">
        <v>10893795.123596206</v>
      </c>
      <c r="CN246" s="207">
        <v>2588</v>
      </c>
    </row>
    <row r="247" spans="1:92" ht="9.75">
      <c r="A247" s="207">
        <v>777</v>
      </c>
      <c r="B247" s="207" t="s">
        <v>303</v>
      </c>
      <c r="C247" s="207">
        <v>7862</v>
      </c>
      <c r="D247" s="207">
        <v>28338483.54</v>
      </c>
      <c r="E247" s="207">
        <v>13546934.228302425</v>
      </c>
      <c r="F247" s="207">
        <v>5346366.243641615</v>
      </c>
      <c r="G247" s="207">
        <v>47231784.01194404</v>
      </c>
      <c r="H247" s="207">
        <v>3654.72</v>
      </c>
      <c r="I247" s="207">
        <v>28733408.639999997</v>
      </c>
      <c r="J247" s="207">
        <v>18498375.371944044</v>
      </c>
      <c r="K247" s="207">
        <v>3731580.3448755904</v>
      </c>
      <c r="L247" s="207">
        <v>-410101.35398711916</v>
      </c>
      <c r="M247" s="207">
        <v>0</v>
      </c>
      <c r="N247" s="207">
        <v>21819854.362832513</v>
      </c>
      <c r="O247" s="207">
        <v>6419464.642534109</v>
      </c>
      <c r="P247" s="207">
        <v>28239319.005366623</v>
      </c>
      <c r="Q247" s="207">
        <v>287</v>
      </c>
      <c r="R247" s="207">
        <v>53</v>
      </c>
      <c r="S247" s="207">
        <v>335</v>
      </c>
      <c r="T247" s="207">
        <v>215</v>
      </c>
      <c r="U247" s="207">
        <v>225</v>
      </c>
      <c r="V247" s="207">
        <v>4003</v>
      </c>
      <c r="W247" s="207">
        <v>1536</v>
      </c>
      <c r="X247" s="207">
        <v>834</v>
      </c>
      <c r="Y247" s="207">
        <v>374</v>
      </c>
      <c r="Z247" s="207">
        <v>7</v>
      </c>
      <c r="AA247" s="207">
        <v>0</v>
      </c>
      <c r="AB247" s="207">
        <v>7684</v>
      </c>
      <c r="AC247" s="207">
        <v>171</v>
      </c>
      <c r="AD247" s="207">
        <v>2744</v>
      </c>
      <c r="AE247" s="480">
        <v>1.462725027555384</v>
      </c>
      <c r="AF247" s="207">
        <v>13546934.228302425</v>
      </c>
      <c r="AG247" s="175">
        <v>471</v>
      </c>
      <c r="AH247" s="175">
        <v>3317</v>
      </c>
      <c r="AI247" s="175">
        <v>1.4554579896685627</v>
      </c>
      <c r="AJ247" s="175">
        <v>171</v>
      </c>
      <c r="AK247" s="175">
        <v>0.02175019079114729</v>
      </c>
      <c r="AL247" s="175">
        <v>0.018469111680684294</v>
      </c>
      <c r="AM247" s="175">
        <v>0</v>
      </c>
      <c r="AN247" s="175">
        <v>7</v>
      </c>
      <c r="AO247" s="175">
        <v>0</v>
      </c>
      <c r="AP247" s="175">
        <v>0</v>
      </c>
      <c r="AQ247" s="175">
        <v>0</v>
      </c>
      <c r="AR247" s="175">
        <v>5270.58</v>
      </c>
      <c r="AS247" s="175">
        <v>1.4916764378872913</v>
      </c>
      <c r="AT247" s="175">
        <v>12.167868097870029</v>
      </c>
      <c r="AU247" s="175">
        <v>230</v>
      </c>
      <c r="AV247" s="175">
        <v>1962</v>
      </c>
      <c r="AW247" s="175">
        <v>0.11722731906218145</v>
      </c>
      <c r="AX247" s="175">
        <v>0.061766085332696445</v>
      </c>
      <c r="AY247" s="175">
        <v>1.3626333333333334</v>
      </c>
      <c r="AZ247" s="207">
        <v>2334</v>
      </c>
      <c r="BA247" s="175">
        <v>2578</v>
      </c>
      <c r="BB247" s="175">
        <v>0.9053529868114818</v>
      </c>
      <c r="BC247" s="175">
        <v>0.5156581393877699</v>
      </c>
      <c r="BD247" s="175">
        <v>0</v>
      </c>
      <c r="BE247" s="175">
        <v>0</v>
      </c>
      <c r="BF247" s="207">
        <v>-50801.81</v>
      </c>
      <c r="BG247" s="207">
        <v>-62153.72</v>
      </c>
      <c r="BH247" s="207">
        <v>-32234.199999999997</v>
      </c>
      <c r="BI247" s="207">
        <v>-134451.69999999998</v>
      </c>
      <c r="BJ247" s="207">
        <v>0</v>
      </c>
      <c r="BK247" s="207">
        <v>0</v>
      </c>
      <c r="BL247" s="207">
        <v>441756</v>
      </c>
      <c r="BM247" s="207">
        <v>-148265.10308715992</v>
      </c>
      <c r="BN247" s="207">
        <v>-334606.72000000003</v>
      </c>
      <c r="BO247" s="207">
        <v>227788.47878620028</v>
      </c>
      <c r="BP247" s="207">
        <v>806106</v>
      </c>
      <c r="BQ247" s="207">
        <v>248854</v>
      </c>
      <c r="BR247" s="207">
        <v>595489.9535003655</v>
      </c>
      <c r="BS247" s="207">
        <v>36314.84846337842</v>
      </c>
      <c r="BT247" s="207">
        <v>101867.12397049421</v>
      </c>
      <c r="BU247" s="207">
        <v>342837.98978718405</v>
      </c>
      <c r="BV247" s="207">
        <v>442690.38575004897</v>
      </c>
      <c r="BW247" s="207">
        <v>683870.585123963</v>
      </c>
      <c r="BX247" s="207">
        <v>216263.91625462237</v>
      </c>
      <c r="BY247" s="207">
        <v>378861.3041038285</v>
      </c>
      <c r="BZ247" s="207">
        <v>707.5799999999999</v>
      </c>
      <c r="CA247" s="207">
        <v>-76791.2396861595</v>
      </c>
      <c r="CB247" s="207">
        <v>593460.8191000407</v>
      </c>
      <c r="CC247" s="207">
        <v>-410101.35398711916</v>
      </c>
      <c r="CD247" s="207">
        <v>0</v>
      </c>
      <c r="CE247" s="207">
        <v>511573.2304465504</v>
      </c>
      <c r="CF247" s="207">
        <v>0</v>
      </c>
      <c r="CG247" s="207">
        <v>6419464.642534109</v>
      </c>
      <c r="CH247" s="207">
        <v>-374208</v>
      </c>
      <c r="CI247" s="207">
        <v>187727.8922</v>
      </c>
      <c r="CJ247" s="207">
        <v>53083.08610000001</v>
      </c>
      <c r="CK247" s="207">
        <v>134644.8061</v>
      </c>
      <c r="CL247" s="207">
        <v>27865111.005366623</v>
      </c>
      <c r="CM247" s="207">
        <v>30322252.024216212</v>
      </c>
      <c r="CN247" s="207">
        <v>8051</v>
      </c>
    </row>
    <row r="248" spans="1:92" ht="9.75">
      <c r="A248" s="207">
        <v>778</v>
      </c>
      <c r="B248" s="207" t="s">
        <v>304</v>
      </c>
      <c r="C248" s="207">
        <v>7145</v>
      </c>
      <c r="D248" s="207">
        <v>26693191.27</v>
      </c>
      <c r="E248" s="207">
        <v>14409730.967927787</v>
      </c>
      <c r="F248" s="207">
        <v>1667472.4194474951</v>
      </c>
      <c r="G248" s="207">
        <v>42770394.65737528</v>
      </c>
      <c r="H248" s="207">
        <v>3654.72</v>
      </c>
      <c r="I248" s="207">
        <v>26112974.4</v>
      </c>
      <c r="J248" s="207">
        <v>16657420.257375285</v>
      </c>
      <c r="K248" s="207">
        <v>447516.949142048</v>
      </c>
      <c r="L248" s="207">
        <v>-830331.6927084044</v>
      </c>
      <c r="M248" s="207">
        <v>0</v>
      </c>
      <c r="N248" s="207">
        <v>16274605.513808927</v>
      </c>
      <c r="O248" s="207">
        <v>5454749.501799431</v>
      </c>
      <c r="P248" s="207">
        <v>21729355.015608355</v>
      </c>
      <c r="Q248" s="207">
        <v>365</v>
      </c>
      <c r="R248" s="207">
        <v>64</v>
      </c>
      <c r="S248" s="207">
        <v>411</v>
      </c>
      <c r="T248" s="207">
        <v>225</v>
      </c>
      <c r="U248" s="207">
        <v>207</v>
      </c>
      <c r="V248" s="207">
        <v>3675</v>
      </c>
      <c r="W248" s="207">
        <v>1189</v>
      </c>
      <c r="X248" s="207">
        <v>699</v>
      </c>
      <c r="Y248" s="207">
        <v>310</v>
      </c>
      <c r="Z248" s="207">
        <v>3</v>
      </c>
      <c r="AA248" s="207">
        <v>0</v>
      </c>
      <c r="AB248" s="207">
        <v>6973</v>
      </c>
      <c r="AC248" s="207">
        <v>169</v>
      </c>
      <c r="AD248" s="207">
        <v>2198</v>
      </c>
      <c r="AE248" s="480">
        <v>1.7120180885546648</v>
      </c>
      <c r="AF248" s="207">
        <v>14409730.967927787</v>
      </c>
      <c r="AG248" s="175">
        <v>273</v>
      </c>
      <c r="AH248" s="175">
        <v>2949</v>
      </c>
      <c r="AI248" s="175">
        <v>0.9488817926134663</v>
      </c>
      <c r="AJ248" s="175">
        <v>169</v>
      </c>
      <c r="AK248" s="175">
        <v>0.023652904128761372</v>
      </c>
      <c r="AL248" s="175">
        <v>0.020371825018298376</v>
      </c>
      <c r="AM248" s="175">
        <v>0</v>
      </c>
      <c r="AN248" s="175">
        <v>3</v>
      </c>
      <c r="AO248" s="175">
        <v>0</v>
      </c>
      <c r="AP248" s="175">
        <v>0</v>
      </c>
      <c r="AQ248" s="175">
        <v>0</v>
      </c>
      <c r="AR248" s="175">
        <v>713.54</v>
      </c>
      <c r="AS248" s="175">
        <v>10.01345404602405</v>
      </c>
      <c r="AT248" s="175">
        <v>1.8126135155251486</v>
      </c>
      <c r="AU248" s="175">
        <v>272</v>
      </c>
      <c r="AV248" s="175">
        <v>1957</v>
      </c>
      <c r="AW248" s="175">
        <v>0.13898824731732243</v>
      </c>
      <c r="AX248" s="175">
        <v>0.08352701358783743</v>
      </c>
      <c r="AY248" s="175">
        <v>0.12053333333333334</v>
      </c>
      <c r="AZ248" s="207">
        <v>2455</v>
      </c>
      <c r="BA248" s="175">
        <v>2586</v>
      </c>
      <c r="BB248" s="175">
        <v>0.9493426140757927</v>
      </c>
      <c r="BC248" s="175">
        <v>0.5596477666520808</v>
      </c>
      <c r="BD248" s="175">
        <v>0</v>
      </c>
      <c r="BE248" s="175">
        <v>0</v>
      </c>
      <c r="BF248" s="207">
        <v>-45848.46</v>
      </c>
      <c r="BG248" s="207">
        <v>-56093.52</v>
      </c>
      <c r="BH248" s="207">
        <v>-29294.499999999996</v>
      </c>
      <c r="BI248" s="207">
        <v>-121342.2</v>
      </c>
      <c r="BJ248" s="207">
        <v>0</v>
      </c>
      <c r="BK248" s="207">
        <v>0</v>
      </c>
      <c r="BL248" s="207">
        <v>162668</v>
      </c>
      <c r="BM248" s="207">
        <v>-298831.2599208642</v>
      </c>
      <c r="BN248" s="207">
        <v>-304091.2</v>
      </c>
      <c r="BO248" s="207">
        <v>90136.78364054114</v>
      </c>
      <c r="BP248" s="207">
        <v>704270</v>
      </c>
      <c r="BQ248" s="207">
        <v>209751</v>
      </c>
      <c r="BR248" s="207">
        <v>485287.2878394426</v>
      </c>
      <c r="BS248" s="207">
        <v>25695.22304491622</v>
      </c>
      <c r="BT248" s="207">
        <v>43720.77733674577</v>
      </c>
      <c r="BU248" s="207">
        <v>273033.9694706407</v>
      </c>
      <c r="BV248" s="207">
        <v>378602.8976657321</v>
      </c>
      <c r="BW248" s="207">
        <v>648137.3381879628</v>
      </c>
      <c r="BX248" s="207">
        <v>173244.28450334622</v>
      </c>
      <c r="BY248" s="207">
        <v>334603.79920547735</v>
      </c>
      <c r="BZ248" s="207">
        <v>643.05</v>
      </c>
      <c r="CA248" s="207">
        <v>-9212.686428081506</v>
      </c>
      <c r="CB248" s="207">
        <v>244235.14721245962</v>
      </c>
      <c r="CC248" s="207">
        <v>-830331.6927084044</v>
      </c>
      <c r="CD248" s="207">
        <v>0</v>
      </c>
      <c r="CE248" s="207">
        <v>462446.2509646093</v>
      </c>
      <c r="CF248" s="207">
        <v>0</v>
      </c>
      <c r="CG248" s="207">
        <v>5454749.501799431</v>
      </c>
      <c r="CH248" s="207">
        <v>28335</v>
      </c>
      <c r="CI248" s="207">
        <v>292262.83</v>
      </c>
      <c r="CJ248" s="207">
        <v>135881.82551999998</v>
      </c>
      <c r="CK248" s="207">
        <v>156381.00448000003</v>
      </c>
      <c r="CL248" s="207">
        <v>21757690.015608355</v>
      </c>
      <c r="CM248" s="207">
        <v>24831040.800247893</v>
      </c>
      <c r="CN248" s="207">
        <v>7266</v>
      </c>
    </row>
    <row r="249" spans="1:92" ht="9.75">
      <c r="A249" s="207">
        <v>781</v>
      </c>
      <c r="B249" s="207" t="s">
        <v>305</v>
      </c>
      <c r="C249" s="207">
        <v>3753</v>
      </c>
      <c r="D249" s="207">
        <v>14471921.45</v>
      </c>
      <c r="E249" s="207">
        <v>6502743.226996519</v>
      </c>
      <c r="F249" s="207">
        <v>1093704.4794691168</v>
      </c>
      <c r="G249" s="207">
        <v>22068369.156465635</v>
      </c>
      <c r="H249" s="207">
        <v>3654.72</v>
      </c>
      <c r="I249" s="207">
        <v>13716164.16</v>
      </c>
      <c r="J249" s="207">
        <v>8352204.996465635</v>
      </c>
      <c r="K249" s="207">
        <v>513461.61429711775</v>
      </c>
      <c r="L249" s="207">
        <v>-420240.66592121177</v>
      </c>
      <c r="M249" s="207">
        <v>0</v>
      </c>
      <c r="N249" s="207">
        <v>8445425.944841541</v>
      </c>
      <c r="O249" s="207">
        <v>3422429.7949770354</v>
      </c>
      <c r="P249" s="207">
        <v>11867855.739818577</v>
      </c>
      <c r="Q249" s="207">
        <v>121</v>
      </c>
      <c r="R249" s="207">
        <v>23</v>
      </c>
      <c r="S249" s="207">
        <v>138</v>
      </c>
      <c r="T249" s="207">
        <v>99</v>
      </c>
      <c r="U249" s="207">
        <v>96</v>
      </c>
      <c r="V249" s="207">
        <v>1753</v>
      </c>
      <c r="W249" s="207">
        <v>787</v>
      </c>
      <c r="X249" s="207">
        <v>520</v>
      </c>
      <c r="Y249" s="207">
        <v>216</v>
      </c>
      <c r="Z249" s="207">
        <v>6</v>
      </c>
      <c r="AA249" s="207">
        <v>1</v>
      </c>
      <c r="AB249" s="207">
        <v>3685</v>
      </c>
      <c r="AC249" s="207">
        <v>61</v>
      </c>
      <c r="AD249" s="207">
        <v>1523</v>
      </c>
      <c r="AE249" s="480">
        <v>1.4708647857031905</v>
      </c>
      <c r="AF249" s="207">
        <v>6502743.226996519</v>
      </c>
      <c r="AG249" s="175">
        <v>140</v>
      </c>
      <c r="AH249" s="175">
        <v>1483</v>
      </c>
      <c r="AI249" s="175">
        <v>0.9676340081322033</v>
      </c>
      <c r="AJ249" s="175">
        <v>61</v>
      </c>
      <c r="AK249" s="175">
        <v>0.016253663735678124</v>
      </c>
      <c r="AL249" s="175">
        <v>0.012972584625215128</v>
      </c>
      <c r="AM249" s="175">
        <v>0</v>
      </c>
      <c r="AN249" s="175">
        <v>6</v>
      </c>
      <c r="AO249" s="175">
        <v>1</v>
      </c>
      <c r="AP249" s="175">
        <v>0</v>
      </c>
      <c r="AQ249" s="175">
        <v>0</v>
      </c>
      <c r="AR249" s="175">
        <v>666.3</v>
      </c>
      <c r="AS249" s="175">
        <v>5.632597928860874</v>
      </c>
      <c r="AT249" s="175">
        <v>3.2224068485186375</v>
      </c>
      <c r="AU249" s="175">
        <v>146</v>
      </c>
      <c r="AV249" s="175">
        <v>832</v>
      </c>
      <c r="AW249" s="175">
        <v>0.17548076923076922</v>
      </c>
      <c r="AX249" s="175">
        <v>0.12001953550128422</v>
      </c>
      <c r="AY249" s="175">
        <v>0.5018</v>
      </c>
      <c r="AZ249" s="207">
        <v>1027</v>
      </c>
      <c r="BA249" s="175">
        <v>1243</v>
      </c>
      <c r="BB249" s="175">
        <v>0.826226870474658</v>
      </c>
      <c r="BC249" s="175">
        <v>0.4365320230509462</v>
      </c>
      <c r="BD249" s="175">
        <v>0</v>
      </c>
      <c r="BE249" s="175">
        <v>1</v>
      </c>
      <c r="BF249" s="207">
        <v>-24350.289999999997</v>
      </c>
      <c r="BG249" s="207">
        <v>-29791.48</v>
      </c>
      <c r="BH249" s="207">
        <v>-15387.3</v>
      </c>
      <c r="BI249" s="207">
        <v>-64445.299999999996</v>
      </c>
      <c r="BJ249" s="207">
        <v>0</v>
      </c>
      <c r="BK249" s="207">
        <v>0</v>
      </c>
      <c r="BL249" s="207">
        <v>-24046</v>
      </c>
      <c r="BM249" s="207">
        <v>-122903.84706873006</v>
      </c>
      <c r="BN249" s="207">
        <v>-159727.68000000002</v>
      </c>
      <c r="BO249" s="207">
        <v>145472.55402242765</v>
      </c>
      <c r="BP249" s="207">
        <v>463075</v>
      </c>
      <c r="BQ249" s="207">
        <v>135088</v>
      </c>
      <c r="BR249" s="207">
        <v>329559.86847875454</v>
      </c>
      <c r="BS249" s="207">
        <v>18974.214570919707</v>
      </c>
      <c r="BT249" s="207">
        <v>37232.07945562535</v>
      </c>
      <c r="BU249" s="207">
        <v>167524.88728627606</v>
      </c>
      <c r="BV249" s="207">
        <v>215960.8521776721</v>
      </c>
      <c r="BW249" s="207">
        <v>346788.1419258695</v>
      </c>
      <c r="BX249" s="207">
        <v>111657.66664430997</v>
      </c>
      <c r="BY249" s="207">
        <v>184995.47928799695</v>
      </c>
      <c r="BZ249" s="207">
        <v>337.77</v>
      </c>
      <c r="CA249" s="207">
        <v>-10332.11287490934</v>
      </c>
      <c r="CB249" s="207">
        <v>111432.2111475183</v>
      </c>
      <c r="CC249" s="207">
        <v>-420240.66592121177</v>
      </c>
      <c r="CD249" s="207">
        <v>0</v>
      </c>
      <c r="CE249" s="207">
        <v>260927.82515779132</v>
      </c>
      <c r="CF249" s="207">
        <v>0</v>
      </c>
      <c r="CG249" s="207">
        <v>3422429.7949770354</v>
      </c>
      <c r="CH249" s="207">
        <v>-468674</v>
      </c>
      <c r="CI249" s="207">
        <v>96514.702</v>
      </c>
      <c r="CJ249" s="207">
        <v>155089.61058</v>
      </c>
      <c r="CK249" s="207">
        <v>-58574.90858</v>
      </c>
      <c r="CL249" s="207">
        <v>11399181.739818577</v>
      </c>
      <c r="CM249" s="207">
        <v>13160552.638272751</v>
      </c>
      <c r="CN249" s="207">
        <v>3859</v>
      </c>
    </row>
    <row r="250" spans="1:92" ht="9.75">
      <c r="A250" s="207">
        <v>783</v>
      </c>
      <c r="B250" s="207" t="s">
        <v>306</v>
      </c>
      <c r="C250" s="207">
        <v>6811</v>
      </c>
      <c r="D250" s="207">
        <v>24671315.450000003</v>
      </c>
      <c r="E250" s="207">
        <v>7892627.893094628</v>
      </c>
      <c r="F250" s="207">
        <v>1115784.024646253</v>
      </c>
      <c r="G250" s="207">
        <v>33679727.367740884</v>
      </c>
      <c r="H250" s="207">
        <v>3654.72</v>
      </c>
      <c r="I250" s="207">
        <v>24892297.919999998</v>
      </c>
      <c r="J250" s="207">
        <v>8787429.447740886</v>
      </c>
      <c r="K250" s="207">
        <v>338776.63552552136</v>
      </c>
      <c r="L250" s="207">
        <v>-1050157.9826086836</v>
      </c>
      <c r="M250" s="207">
        <v>0</v>
      </c>
      <c r="N250" s="207">
        <v>8076048.100657724</v>
      </c>
      <c r="O250" s="207">
        <v>2182016.846913388</v>
      </c>
      <c r="P250" s="207">
        <v>10258064.947571112</v>
      </c>
      <c r="Q250" s="207">
        <v>319</v>
      </c>
      <c r="R250" s="207">
        <v>59</v>
      </c>
      <c r="S250" s="207">
        <v>399</v>
      </c>
      <c r="T250" s="207">
        <v>207</v>
      </c>
      <c r="U250" s="207">
        <v>202</v>
      </c>
      <c r="V250" s="207">
        <v>3588</v>
      </c>
      <c r="W250" s="207">
        <v>1142</v>
      </c>
      <c r="X250" s="207">
        <v>615</v>
      </c>
      <c r="Y250" s="207">
        <v>280</v>
      </c>
      <c r="Z250" s="207">
        <v>12</v>
      </c>
      <c r="AA250" s="207">
        <v>0</v>
      </c>
      <c r="AB250" s="207">
        <v>6670</v>
      </c>
      <c r="AC250" s="207">
        <v>129</v>
      </c>
      <c r="AD250" s="207">
        <v>2037</v>
      </c>
      <c r="AE250" s="480">
        <v>0.9837063101378036</v>
      </c>
      <c r="AF250" s="207">
        <v>7892627.893094628</v>
      </c>
      <c r="AG250" s="175">
        <v>174</v>
      </c>
      <c r="AH250" s="175">
        <v>3131</v>
      </c>
      <c r="AI250" s="175">
        <v>0.5696268073332345</v>
      </c>
      <c r="AJ250" s="175">
        <v>129</v>
      </c>
      <c r="AK250" s="175">
        <v>0.018939950080751725</v>
      </c>
      <c r="AL250" s="175">
        <v>0.01565887097028873</v>
      </c>
      <c r="AM250" s="175">
        <v>0</v>
      </c>
      <c r="AN250" s="175">
        <v>12</v>
      </c>
      <c r="AO250" s="175">
        <v>0</v>
      </c>
      <c r="AP250" s="175">
        <v>0</v>
      </c>
      <c r="AQ250" s="175">
        <v>0</v>
      </c>
      <c r="AR250" s="175">
        <v>406.75</v>
      </c>
      <c r="AS250" s="175">
        <v>16.744929317762754</v>
      </c>
      <c r="AT250" s="175">
        <v>1.083941400795248</v>
      </c>
      <c r="AU250" s="175">
        <v>279</v>
      </c>
      <c r="AV250" s="175">
        <v>1888</v>
      </c>
      <c r="AW250" s="175">
        <v>0.14777542372881355</v>
      </c>
      <c r="AX250" s="175">
        <v>0.09231418999932856</v>
      </c>
      <c r="AY250" s="175">
        <v>0</v>
      </c>
      <c r="AZ250" s="207">
        <v>3267</v>
      </c>
      <c r="BA250" s="175">
        <v>2842</v>
      </c>
      <c r="BB250" s="175">
        <v>1.14954257565095</v>
      </c>
      <c r="BC250" s="175">
        <v>0.7598477282272382</v>
      </c>
      <c r="BD250" s="175">
        <v>0</v>
      </c>
      <c r="BE250" s="175">
        <v>0</v>
      </c>
      <c r="BF250" s="207">
        <v>-43557.93</v>
      </c>
      <c r="BG250" s="207">
        <v>-53291.159999999996</v>
      </c>
      <c r="BH250" s="207">
        <v>-27925.1</v>
      </c>
      <c r="BI250" s="207">
        <v>-115280.09999999999</v>
      </c>
      <c r="BJ250" s="207">
        <v>0</v>
      </c>
      <c r="BK250" s="207">
        <v>0</v>
      </c>
      <c r="BL250" s="207">
        <v>47465</v>
      </c>
      <c r="BM250" s="207">
        <v>-128012.92086583207</v>
      </c>
      <c r="BN250" s="207">
        <v>-289876.16000000003</v>
      </c>
      <c r="BO250" s="207">
        <v>-178525.3878174806</v>
      </c>
      <c r="BP250" s="207">
        <v>571140</v>
      </c>
      <c r="BQ250" s="207">
        <v>198708</v>
      </c>
      <c r="BR250" s="207">
        <v>465544.3272727316</v>
      </c>
      <c r="BS250" s="207">
        <v>22979.34661993128</v>
      </c>
      <c r="BT250" s="207">
        <v>42267.12753764469</v>
      </c>
      <c r="BU250" s="207">
        <v>197526.7378012822</v>
      </c>
      <c r="BV250" s="207">
        <v>364442.3635822092</v>
      </c>
      <c r="BW250" s="207">
        <v>669948.5572310707</v>
      </c>
      <c r="BX250" s="207">
        <v>180015.7879197041</v>
      </c>
      <c r="BY250" s="207">
        <v>299742.67337186687</v>
      </c>
      <c r="BZ250" s="207">
        <v>612.99</v>
      </c>
      <c r="CA250" s="207">
        <v>-52941.95392537101</v>
      </c>
      <c r="CB250" s="207">
        <v>-183389.3517428516</v>
      </c>
      <c r="CC250" s="207">
        <v>-1050157.9826086836</v>
      </c>
      <c r="CD250" s="207">
        <v>0</v>
      </c>
      <c r="CE250" s="207">
        <v>374575.5043739052</v>
      </c>
      <c r="CF250" s="207">
        <v>0</v>
      </c>
      <c r="CG250" s="207">
        <v>2182016.846913388</v>
      </c>
      <c r="CH250" s="207">
        <v>-486711</v>
      </c>
      <c r="CI250" s="207">
        <v>24468.516000000003</v>
      </c>
      <c r="CJ250" s="207">
        <v>218517.44150000002</v>
      </c>
      <c r="CK250" s="207">
        <v>-194048.9255</v>
      </c>
      <c r="CL250" s="207">
        <v>9771353.947571112</v>
      </c>
      <c r="CM250" s="207">
        <v>11500720.310976816</v>
      </c>
      <c r="CN250" s="207">
        <v>6903</v>
      </c>
    </row>
    <row r="251" spans="1:92" ht="9.75">
      <c r="A251" s="207">
        <v>831</v>
      </c>
      <c r="B251" s="207" t="s">
        <v>307</v>
      </c>
      <c r="C251" s="207">
        <v>4715</v>
      </c>
      <c r="D251" s="207">
        <v>16583753.29</v>
      </c>
      <c r="E251" s="207">
        <v>4456530.488718299</v>
      </c>
      <c r="F251" s="207">
        <v>1612804.44609414</v>
      </c>
      <c r="G251" s="207">
        <v>22653088.22481244</v>
      </c>
      <c r="H251" s="207">
        <v>3654.72</v>
      </c>
      <c r="I251" s="207">
        <v>17232004.8</v>
      </c>
      <c r="J251" s="207">
        <v>5421083.42481244</v>
      </c>
      <c r="K251" s="207">
        <v>0</v>
      </c>
      <c r="L251" s="207">
        <v>-608652.7100078918</v>
      </c>
      <c r="M251" s="207">
        <v>0</v>
      </c>
      <c r="N251" s="207">
        <v>4812430.714804548</v>
      </c>
      <c r="O251" s="207">
        <v>771955.0953633117</v>
      </c>
      <c r="P251" s="207">
        <v>5584385.810167859</v>
      </c>
      <c r="Q251" s="207">
        <v>254</v>
      </c>
      <c r="R251" s="207">
        <v>45</v>
      </c>
      <c r="S251" s="207">
        <v>346</v>
      </c>
      <c r="T251" s="207">
        <v>189</v>
      </c>
      <c r="U251" s="207">
        <v>169</v>
      </c>
      <c r="V251" s="207">
        <v>2562</v>
      </c>
      <c r="W251" s="207">
        <v>683</v>
      </c>
      <c r="X251" s="207">
        <v>350</v>
      </c>
      <c r="Y251" s="207">
        <v>117</v>
      </c>
      <c r="Z251" s="207">
        <v>9</v>
      </c>
      <c r="AA251" s="207">
        <v>0</v>
      </c>
      <c r="AB251" s="207">
        <v>4518</v>
      </c>
      <c r="AC251" s="207">
        <v>188</v>
      </c>
      <c r="AD251" s="207">
        <v>1150</v>
      </c>
      <c r="AE251" s="480">
        <v>0.8023611543404082</v>
      </c>
      <c r="AF251" s="207">
        <v>4456530.488718299</v>
      </c>
      <c r="AG251" s="175">
        <v>183</v>
      </c>
      <c r="AH251" s="175">
        <v>2259</v>
      </c>
      <c r="AI251" s="175">
        <v>0.8303459995984017</v>
      </c>
      <c r="AJ251" s="175">
        <v>188</v>
      </c>
      <c r="AK251" s="175">
        <v>0.03987274655355249</v>
      </c>
      <c r="AL251" s="175">
        <v>0.03659166744308949</v>
      </c>
      <c r="AM251" s="175">
        <v>0</v>
      </c>
      <c r="AN251" s="175">
        <v>9</v>
      </c>
      <c r="AO251" s="175">
        <v>0</v>
      </c>
      <c r="AP251" s="175">
        <v>3</v>
      </c>
      <c r="AQ251" s="175">
        <v>2114</v>
      </c>
      <c r="AR251" s="175">
        <v>344.84</v>
      </c>
      <c r="AS251" s="175">
        <v>13.673007771720219</v>
      </c>
      <c r="AT251" s="175">
        <v>1.3274710615212086</v>
      </c>
      <c r="AU251" s="175">
        <v>126</v>
      </c>
      <c r="AV251" s="175">
        <v>1433</v>
      </c>
      <c r="AW251" s="175">
        <v>0.08792742498255408</v>
      </c>
      <c r="AX251" s="175">
        <v>0.03246619125306908</v>
      </c>
      <c r="AY251" s="175">
        <v>0</v>
      </c>
      <c r="AZ251" s="207">
        <v>779</v>
      </c>
      <c r="BA251" s="175">
        <v>1999</v>
      </c>
      <c r="BB251" s="175">
        <v>0.38969484742371185</v>
      </c>
      <c r="BC251" s="175">
        <v>0</v>
      </c>
      <c r="BD251" s="175">
        <v>0</v>
      </c>
      <c r="BE251" s="175">
        <v>0</v>
      </c>
      <c r="BF251" s="207">
        <v>-30123.94</v>
      </c>
      <c r="BG251" s="207">
        <v>-36855.28</v>
      </c>
      <c r="BH251" s="207">
        <v>-19331.5</v>
      </c>
      <c r="BI251" s="207">
        <v>-79725.8</v>
      </c>
      <c r="BJ251" s="207">
        <v>0</v>
      </c>
      <c r="BK251" s="207">
        <v>0</v>
      </c>
      <c r="BL251" s="207">
        <v>-95390</v>
      </c>
      <c r="BM251" s="207">
        <v>-65217.91760397679</v>
      </c>
      <c r="BN251" s="207">
        <v>-200670.40000000002</v>
      </c>
      <c r="BO251" s="207">
        <v>49043.06950616464</v>
      </c>
      <c r="BP251" s="207">
        <v>361432</v>
      </c>
      <c r="BQ251" s="207">
        <v>117092</v>
      </c>
      <c r="BR251" s="207">
        <v>229111.4160647514</v>
      </c>
      <c r="BS251" s="207">
        <v>6495.438585251213</v>
      </c>
      <c r="BT251" s="207">
        <v>6379.841051341545</v>
      </c>
      <c r="BU251" s="207">
        <v>104989.19278325992</v>
      </c>
      <c r="BV251" s="207">
        <v>209440.9620708233</v>
      </c>
      <c r="BW251" s="207">
        <v>352663.03044384293</v>
      </c>
      <c r="BX251" s="207">
        <v>97291.30030495934</v>
      </c>
      <c r="BY251" s="207">
        <v>174429.34441103344</v>
      </c>
      <c r="BZ251" s="207">
        <v>424.34999999999997</v>
      </c>
      <c r="CA251" s="207">
        <v>13756.608089920519</v>
      </c>
      <c r="CB251" s="207">
        <v>-32165.972403914842</v>
      </c>
      <c r="CC251" s="207">
        <v>-608652.7100078918</v>
      </c>
      <c r="CD251" s="207">
        <v>0</v>
      </c>
      <c r="CE251" s="207">
        <v>222735.04784467214</v>
      </c>
      <c r="CF251" s="207">
        <v>0</v>
      </c>
      <c r="CG251" s="207">
        <v>771955.0953633117</v>
      </c>
      <c r="CH251" s="207">
        <v>-975409</v>
      </c>
      <c r="CI251" s="207">
        <v>20390.43</v>
      </c>
      <c r="CJ251" s="207">
        <v>325499.2309</v>
      </c>
      <c r="CK251" s="207">
        <v>-305108.80090000003</v>
      </c>
      <c r="CL251" s="207">
        <v>4608976.810167859</v>
      </c>
      <c r="CM251" s="207">
        <v>5836626.359398306</v>
      </c>
      <c r="CN251" s="207">
        <v>4774</v>
      </c>
    </row>
    <row r="252" spans="1:92" ht="9.75">
      <c r="A252" s="207">
        <v>832</v>
      </c>
      <c r="B252" s="207" t="s">
        <v>308</v>
      </c>
      <c r="C252" s="207">
        <v>4024</v>
      </c>
      <c r="D252" s="207">
        <v>14669127.9</v>
      </c>
      <c r="E252" s="207">
        <v>7335990.986250765</v>
      </c>
      <c r="F252" s="207">
        <v>2492835.3425573786</v>
      </c>
      <c r="G252" s="207">
        <v>24497954.228808142</v>
      </c>
      <c r="H252" s="207">
        <v>3654.72</v>
      </c>
      <c r="I252" s="207">
        <v>14706593.28</v>
      </c>
      <c r="J252" s="207">
        <v>9791360.948808143</v>
      </c>
      <c r="K252" s="207">
        <v>4352131.820475989</v>
      </c>
      <c r="L252" s="207">
        <v>-560386.3544610024</v>
      </c>
      <c r="M252" s="207">
        <v>0</v>
      </c>
      <c r="N252" s="207">
        <v>13583106.41482313</v>
      </c>
      <c r="O252" s="207">
        <v>3771756.4074407956</v>
      </c>
      <c r="P252" s="207">
        <v>17354862.822263926</v>
      </c>
      <c r="Q252" s="207">
        <v>182</v>
      </c>
      <c r="R252" s="207">
        <v>39</v>
      </c>
      <c r="S252" s="207">
        <v>282</v>
      </c>
      <c r="T252" s="207">
        <v>143</v>
      </c>
      <c r="U252" s="207">
        <v>145</v>
      </c>
      <c r="V252" s="207">
        <v>2077</v>
      </c>
      <c r="W252" s="207">
        <v>627</v>
      </c>
      <c r="X252" s="207">
        <v>398</v>
      </c>
      <c r="Y252" s="207">
        <v>131</v>
      </c>
      <c r="Z252" s="207">
        <v>1</v>
      </c>
      <c r="AA252" s="207">
        <v>0</v>
      </c>
      <c r="AB252" s="207">
        <v>3963</v>
      </c>
      <c r="AC252" s="207">
        <v>60</v>
      </c>
      <c r="AD252" s="207">
        <v>1156</v>
      </c>
      <c r="AE252" s="480">
        <v>1.5475886164867259</v>
      </c>
      <c r="AF252" s="207">
        <v>7335990.986250765</v>
      </c>
      <c r="AG252" s="175">
        <v>227</v>
      </c>
      <c r="AH252" s="175">
        <v>1687</v>
      </c>
      <c r="AI252" s="175">
        <v>1.3792246597156113</v>
      </c>
      <c r="AJ252" s="175">
        <v>60</v>
      </c>
      <c r="AK252" s="175">
        <v>0.014910536779324055</v>
      </c>
      <c r="AL252" s="175">
        <v>0.01162945766886106</v>
      </c>
      <c r="AM252" s="175">
        <v>0</v>
      </c>
      <c r="AN252" s="175">
        <v>1</v>
      </c>
      <c r="AO252" s="175">
        <v>0</v>
      </c>
      <c r="AP252" s="175">
        <v>0</v>
      </c>
      <c r="AQ252" s="175">
        <v>0</v>
      </c>
      <c r="AR252" s="175">
        <v>2437.85</v>
      </c>
      <c r="AS252" s="175">
        <v>1.6506347806468815</v>
      </c>
      <c r="AT252" s="175">
        <v>10.996086083803474</v>
      </c>
      <c r="AU252" s="175">
        <v>129</v>
      </c>
      <c r="AV252" s="175">
        <v>964</v>
      </c>
      <c r="AW252" s="175">
        <v>0.1338174273858921</v>
      </c>
      <c r="AX252" s="175">
        <v>0.07835619365640711</v>
      </c>
      <c r="AY252" s="175">
        <v>1.6163666666666665</v>
      </c>
      <c r="AZ252" s="207">
        <v>1304</v>
      </c>
      <c r="BA252" s="175">
        <v>1397</v>
      </c>
      <c r="BB252" s="175">
        <v>0.933428775948461</v>
      </c>
      <c r="BC252" s="175">
        <v>0.5437339285247491</v>
      </c>
      <c r="BD252" s="175">
        <v>0</v>
      </c>
      <c r="BE252" s="175">
        <v>0</v>
      </c>
      <c r="BF252" s="207">
        <v>-25605.98</v>
      </c>
      <c r="BG252" s="207">
        <v>-31327.76</v>
      </c>
      <c r="BH252" s="207">
        <v>-16498.399999999998</v>
      </c>
      <c r="BI252" s="207">
        <v>-67768.59999999999</v>
      </c>
      <c r="BJ252" s="207">
        <v>0</v>
      </c>
      <c r="BK252" s="207">
        <v>0</v>
      </c>
      <c r="BL252" s="207">
        <v>37331</v>
      </c>
      <c r="BM252" s="207">
        <v>-70528.19987486425</v>
      </c>
      <c r="BN252" s="207">
        <v>-171261.44</v>
      </c>
      <c r="BO252" s="207">
        <v>-89296.5146976132</v>
      </c>
      <c r="BP252" s="207">
        <v>361995</v>
      </c>
      <c r="BQ252" s="207">
        <v>112886</v>
      </c>
      <c r="BR252" s="207">
        <v>324994.3413430885</v>
      </c>
      <c r="BS252" s="207">
        <v>18626.552320533414</v>
      </c>
      <c r="BT252" s="207">
        <v>62107.23800001433</v>
      </c>
      <c r="BU252" s="207">
        <v>165073.91156183698</v>
      </c>
      <c r="BV252" s="207">
        <v>235712.06253475058</v>
      </c>
      <c r="BW252" s="207">
        <v>331160.83617917163</v>
      </c>
      <c r="BX252" s="207">
        <v>110252.77328683966</v>
      </c>
      <c r="BY252" s="207">
        <v>194718.31910601925</v>
      </c>
      <c r="BZ252" s="207">
        <v>362.15999999999997</v>
      </c>
      <c r="CA252" s="207">
        <v>-2416.779888525016</v>
      </c>
      <c r="CB252" s="207">
        <v>-54020.13458613821</v>
      </c>
      <c r="CC252" s="207">
        <v>-560386.3544610024</v>
      </c>
      <c r="CD252" s="207">
        <v>0</v>
      </c>
      <c r="CE252" s="207">
        <v>241677.06167460204</v>
      </c>
      <c r="CF252" s="207">
        <v>0</v>
      </c>
      <c r="CG252" s="207">
        <v>3771756.4074407956</v>
      </c>
      <c r="CH252" s="207">
        <v>-123321</v>
      </c>
      <c r="CI252" s="207">
        <v>31265.326</v>
      </c>
      <c r="CJ252" s="207">
        <v>44926.9141</v>
      </c>
      <c r="CK252" s="207">
        <v>-13661.5881</v>
      </c>
      <c r="CL252" s="207">
        <v>17231541.822263926</v>
      </c>
      <c r="CM252" s="207">
        <v>17924925.946176395</v>
      </c>
      <c r="CN252" s="207">
        <v>4058</v>
      </c>
    </row>
    <row r="253" spans="1:92" ht="9.75">
      <c r="A253" s="207">
        <v>833</v>
      </c>
      <c r="B253" s="207" t="s">
        <v>309</v>
      </c>
      <c r="C253" s="207">
        <v>1662</v>
      </c>
      <c r="D253" s="207">
        <v>6321708.08</v>
      </c>
      <c r="E253" s="207">
        <v>2340494.772587782</v>
      </c>
      <c r="F253" s="207">
        <v>496821.73097576876</v>
      </c>
      <c r="G253" s="207">
        <v>9159024.583563551</v>
      </c>
      <c r="H253" s="207">
        <v>3654.72</v>
      </c>
      <c r="I253" s="207">
        <v>6074144.64</v>
      </c>
      <c r="J253" s="207">
        <v>3084879.9435635516</v>
      </c>
      <c r="K253" s="207">
        <v>38707.68462203994</v>
      </c>
      <c r="L253" s="207">
        <v>-149358.37385934807</v>
      </c>
      <c r="M253" s="207">
        <v>0</v>
      </c>
      <c r="N253" s="207">
        <v>2974229.2543262434</v>
      </c>
      <c r="O253" s="207">
        <v>937217.8648948454</v>
      </c>
      <c r="P253" s="207">
        <v>3911447.119221089</v>
      </c>
      <c r="Q253" s="207">
        <v>83</v>
      </c>
      <c r="R253" s="207">
        <v>18</v>
      </c>
      <c r="S253" s="207">
        <v>99</v>
      </c>
      <c r="T253" s="207">
        <v>45</v>
      </c>
      <c r="U253" s="207">
        <v>32</v>
      </c>
      <c r="V253" s="207">
        <v>852</v>
      </c>
      <c r="W253" s="207">
        <v>301</v>
      </c>
      <c r="X253" s="207">
        <v>145</v>
      </c>
      <c r="Y253" s="207">
        <v>87</v>
      </c>
      <c r="Z253" s="207">
        <v>10</v>
      </c>
      <c r="AA253" s="207">
        <v>0</v>
      </c>
      <c r="AB253" s="207">
        <v>1576</v>
      </c>
      <c r="AC253" s="207">
        <v>76</v>
      </c>
      <c r="AD253" s="207">
        <v>533</v>
      </c>
      <c r="AE253" s="480">
        <v>1.1954498602476316</v>
      </c>
      <c r="AF253" s="207">
        <v>2340494.772587782</v>
      </c>
      <c r="AG253" s="175">
        <v>52</v>
      </c>
      <c r="AH253" s="175">
        <v>714</v>
      </c>
      <c r="AI253" s="175">
        <v>0.7464992414077931</v>
      </c>
      <c r="AJ253" s="175">
        <v>76</v>
      </c>
      <c r="AK253" s="175">
        <v>0.0457280385078219</v>
      </c>
      <c r="AL253" s="175">
        <v>0.0424469593973589</v>
      </c>
      <c r="AM253" s="175">
        <v>0</v>
      </c>
      <c r="AN253" s="175">
        <v>10</v>
      </c>
      <c r="AO253" s="175">
        <v>0</v>
      </c>
      <c r="AP253" s="175">
        <v>3</v>
      </c>
      <c r="AQ253" s="175">
        <v>165</v>
      </c>
      <c r="AR253" s="175">
        <v>140.28</v>
      </c>
      <c r="AS253" s="175">
        <v>11.847733105218134</v>
      </c>
      <c r="AT253" s="175">
        <v>1.5319826991138992</v>
      </c>
      <c r="AU253" s="175">
        <v>89</v>
      </c>
      <c r="AV253" s="175">
        <v>453</v>
      </c>
      <c r="AW253" s="175">
        <v>0.19646799116997793</v>
      </c>
      <c r="AX253" s="175">
        <v>0.14100675744049293</v>
      </c>
      <c r="AY253" s="175">
        <v>0</v>
      </c>
      <c r="AZ253" s="207">
        <v>495</v>
      </c>
      <c r="BA253" s="175">
        <v>664</v>
      </c>
      <c r="BB253" s="175">
        <v>0.7454819277108434</v>
      </c>
      <c r="BC253" s="175">
        <v>0.3557870802871316</v>
      </c>
      <c r="BD253" s="175">
        <v>0</v>
      </c>
      <c r="BE253" s="175">
        <v>0</v>
      </c>
      <c r="BF253" s="207">
        <v>-10436.74</v>
      </c>
      <c r="BG253" s="207">
        <v>-12768.88</v>
      </c>
      <c r="BH253" s="207">
        <v>-6814.2</v>
      </c>
      <c r="BI253" s="207">
        <v>-27621.8</v>
      </c>
      <c r="BJ253" s="207">
        <v>0</v>
      </c>
      <c r="BK253" s="207">
        <v>0</v>
      </c>
      <c r="BL253" s="207">
        <v>-6620</v>
      </c>
      <c r="BM253" s="207">
        <v>-15636.031416233767</v>
      </c>
      <c r="BN253" s="207">
        <v>-70734.72</v>
      </c>
      <c r="BO253" s="207">
        <v>52289.58244882431</v>
      </c>
      <c r="BP253" s="207">
        <v>179163</v>
      </c>
      <c r="BQ253" s="207">
        <v>58959</v>
      </c>
      <c r="BR253" s="207">
        <v>133706.72651570296</v>
      </c>
      <c r="BS253" s="207">
        <v>7469.867713464751</v>
      </c>
      <c r="BT253" s="207">
        <v>-41419.51178332987</v>
      </c>
      <c r="BU253" s="207">
        <v>51137.76790523142</v>
      </c>
      <c r="BV253" s="207">
        <v>93433.40022518885</v>
      </c>
      <c r="BW253" s="207">
        <v>177756.64269015155</v>
      </c>
      <c r="BX253" s="207">
        <v>50812.74648137167</v>
      </c>
      <c r="BY253" s="207">
        <v>79672.920883548</v>
      </c>
      <c r="BZ253" s="207">
        <v>149.57999999999998</v>
      </c>
      <c r="CA253" s="207">
        <v>-208.244891938617</v>
      </c>
      <c r="CB253" s="207">
        <v>45610.917556885695</v>
      </c>
      <c r="CC253" s="207">
        <v>-149358.37385934807</v>
      </c>
      <c r="CD253" s="207">
        <v>0</v>
      </c>
      <c r="CE253" s="207">
        <v>106192.5947882616</v>
      </c>
      <c r="CF253" s="207">
        <v>0</v>
      </c>
      <c r="CG253" s="207">
        <v>937217.8648948454</v>
      </c>
      <c r="CH253" s="207">
        <v>-338916</v>
      </c>
      <c r="CI253" s="207">
        <v>195748.12800000003</v>
      </c>
      <c r="CJ253" s="207">
        <v>24468.516000000003</v>
      </c>
      <c r="CK253" s="207">
        <v>171279.61200000002</v>
      </c>
      <c r="CL253" s="207">
        <v>3572531.119221089</v>
      </c>
      <c r="CM253" s="207">
        <v>4001702.919888689</v>
      </c>
      <c r="CN253" s="207">
        <v>1654</v>
      </c>
    </row>
    <row r="254" spans="1:92" ht="9.75">
      <c r="A254" s="207">
        <v>834</v>
      </c>
      <c r="B254" s="207" t="s">
        <v>310</v>
      </c>
      <c r="C254" s="207">
        <v>6081</v>
      </c>
      <c r="D254" s="207">
        <v>22174378.28</v>
      </c>
      <c r="E254" s="207">
        <v>7245523.523007357</v>
      </c>
      <c r="F254" s="207">
        <v>1173226.1189554308</v>
      </c>
      <c r="G254" s="207">
        <v>30593127.921962786</v>
      </c>
      <c r="H254" s="207">
        <v>3654.72</v>
      </c>
      <c r="I254" s="207">
        <v>22224352.32</v>
      </c>
      <c r="J254" s="207">
        <v>8368775.601962786</v>
      </c>
      <c r="K254" s="207">
        <v>95017.16551578349</v>
      </c>
      <c r="L254" s="207">
        <v>-942581.3733555685</v>
      </c>
      <c r="M254" s="207">
        <v>0</v>
      </c>
      <c r="N254" s="207">
        <v>7521211.394123002</v>
      </c>
      <c r="O254" s="207">
        <v>2945629.306879929</v>
      </c>
      <c r="P254" s="207">
        <v>10466840.701002931</v>
      </c>
      <c r="Q254" s="207">
        <v>302</v>
      </c>
      <c r="R254" s="207">
        <v>46</v>
      </c>
      <c r="S254" s="207">
        <v>443</v>
      </c>
      <c r="T254" s="207">
        <v>227</v>
      </c>
      <c r="U254" s="207">
        <v>219</v>
      </c>
      <c r="V254" s="207">
        <v>3268</v>
      </c>
      <c r="W254" s="207">
        <v>902</v>
      </c>
      <c r="X254" s="207">
        <v>455</v>
      </c>
      <c r="Y254" s="207">
        <v>219</v>
      </c>
      <c r="Z254" s="207">
        <v>13</v>
      </c>
      <c r="AA254" s="207">
        <v>0</v>
      </c>
      <c r="AB254" s="207">
        <v>5977</v>
      </c>
      <c r="AC254" s="207">
        <v>91</v>
      </c>
      <c r="AD254" s="207">
        <v>1576</v>
      </c>
      <c r="AE254" s="480">
        <v>1.0114617802573236</v>
      </c>
      <c r="AF254" s="207">
        <v>7245523.523007357</v>
      </c>
      <c r="AG254" s="175">
        <v>199</v>
      </c>
      <c r="AH254" s="175">
        <v>2893</v>
      </c>
      <c r="AI254" s="175">
        <v>0.7050645537947545</v>
      </c>
      <c r="AJ254" s="175">
        <v>91</v>
      </c>
      <c r="AK254" s="175">
        <v>0.014964643973030751</v>
      </c>
      <c r="AL254" s="175">
        <v>0.011683564862567754</v>
      </c>
      <c r="AM254" s="175">
        <v>0</v>
      </c>
      <c r="AN254" s="175">
        <v>13</v>
      </c>
      <c r="AO254" s="175">
        <v>0</v>
      </c>
      <c r="AP254" s="175">
        <v>0</v>
      </c>
      <c r="AQ254" s="175">
        <v>0</v>
      </c>
      <c r="AR254" s="175">
        <v>640.53</v>
      </c>
      <c r="AS254" s="175">
        <v>9.493700529249216</v>
      </c>
      <c r="AT254" s="175">
        <v>1.9118490292582002</v>
      </c>
      <c r="AU254" s="175">
        <v>221</v>
      </c>
      <c r="AV254" s="175">
        <v>1740</v>
      </c>
      <c r="AW254" s="175">
        <v>0.12701149425287356</v>
      </c>
      <c r="AX254" s="175">
        <v>0.07155026052338856</v>
      </c>
      <c r="AY254" s="175">
        <v>0</v>
      </c>
      <c r="AZ254" s="207">
        <v>1620</v>
      </c>
      <c r="BA254" s="175">
        <v>2578</v>
      </c>
      <c r="BB254" s="175">
        <v>0.6283941039565555</v>
      </c>
      <c r="BC254" s="175">
        <v>0.23869925653284363</v>
      </c>
      <c r="BD254" s="175">
        <v>0</v>
      </c>
      <c r="BE254" s="175">
        <v>0</v>
      </c>
      <c r="BF254" s="207">
        <v>-38838.049999999996</v>
      </c>
      <c r="BG254" s="207">
        <v>-47516.6</v>
      </c>
      <c r="BH254" s="207">
        <v>-24932.1</v>
      </c>
      <c r="BI254" s="207">
        <v>-102788.5</v>
      </c>
      <c r="BJ254" s="207">
        <v>0</v>
      </c>
      <c r="BK254" s="207">
        <v>0</v>
      </c>
      <c r="BL254" s="207">
        <v>13353</v>
      </c>
      <c r="BM254" s="207">
        <v>-240174.5408853775</v>
      </c>
      <c r="BN254" s="207">
        <v>-258807.36000000002</v>
      </c>
      <c r="BO254" s="207">
        <v>-58251.34680543095</v>
      </c>
      <c r="BP254" s="207">
        <v>558257</v>
      </c>
      <c r="BQ254" s="207">
        <v>177901</v>
      </c>
      <c r="BR254" s="207">
        <v>413684.24193292833</v>
      </c>
      <c r="BS254" s="207">
        <v>17550.324334889014</v>
      </c>
      <c r="BT254" s="207">
        <v>43093.9583576853</v>
      </c>
      <c r="BU254" s="207">
        <v>174923.7953146916</v>
      </c>
      <c r="BV254" s="207">
        <v>338841.11797299766</v>
      </c>
      <c r="BW254" s="207">
        <v>514769.599567066</v>
      </c>
      <c r="BX254" s="207">
        <v>156363.00208356997</v>
      </c>
      <c r="BY254" s="207">
        <v>274141.72661984514</v>
      </c>
      <c r="BZ254" s="207">
        <v>547.29</v>
      </c>
      <c r="CA254" s="207">
        <v>1270.2943352398797</v>
      </c>
      <c r="CB254" s="207">
        <v>-43080.76247019107</v>
      </c>
      <c r="CC254" s="207">
        <v>-942581.3733555685</v>
      </c>
      <c r="CD254" s="207">
        <v>0</v>
      </c>
      <c r="CE254" s="207">
        <v>360291.8938472043</v>
      </c>
      <c r="CF254" s="207">
        <v>0</v>
      </c>
      <c r="CG254" s="207">
        <v>2945629.306879929</v>
      </c>
      <c r="CH254" s="207">
        <v>-1338393</v>
      </c>
      <c r="CI254" s="207">
        <v>118264.494</v>
      </c>
      <c r="CJ254" s="207">
        <v>279376.07824</v>
      </c>
      <c r="CK254" s="207">
        <v>-161111.58424</v>
      </c>
      <c r="CL254" s="207">
        <v>9128447.701002931</v>
      </c>
      <c r="CM254" s="207">
        <v>11529647.346917495</v>
      </c>
      <c r="CN254" s="207">
        <v>6155</v>
      </c>
    </row>
    <row r="255" spans="1:92" ht="9.75">
      <c r="A255" s="207">
        <v>837</v>
      </c>
      <c r="B255" s="207" t="s">
        <v>311</v>
      </c>
      <c r="C255" s="207">
        <v>235239</v>
      </c>
      <c r="D255" s="207">
        <v>724241310.99</v>
      </c>
      <c r="E255" s="207">
        <v>251328616.10265648</v>
      </c>
      <c r="F255" s="207">
        <v>65546439.31660496</v>
      </c>
      <c r="G255" s="207">
        <v>1041116366.4092615</v>
      </c>
      <c r="H255" s="207">
        <v>3654.72</v>
      </c>
      <c r="I255" s="207">
        <v>859732678.0799999</v>
      </c>
      <c r="J255" s="207">
        <v>181383688.32926154</v>
      </c>
      <c r="K255" s="207">
        <v>12686516.62504105</v>
      </c>
      <c r="L255" s="207">
        <v>-44940840.67298829</v>
      </c>
      <c r="M255" s="207">
        <v>0</v>
      </c>
      <c r="N255" s="207">
        <v>149129364.28131428</v>
      </c>
      <c r="O255" s="207">
        <v>10571287.184535695</v>
      </c>
      <c r="P255" s="207">
        <v>159700651.46584997</v>
      </c>
      <c r="Q255" s="207">
        <v>13283</v>
      </c>
      <c r="R255" s="207">
        <v>2374</v>
      </c>
      <c r="S255" s="207">
        <v>12653</v>
      </c>
      <c r="T255" s="207">
        <v>5669</v>
      </c>
      <c r="U255" s="207">
        <v>6110</v>
      </c>
      <c r="V255" s="207">
        <v>150643</v>
      </c>
      <c r="W255" s="207">
        <v>24967</v>
      </c>
      <c r="X255" s="207">
        <v>13701</v>
      </c>
      <c r="Y255" s="207">
        <v>5839</v>
      </c>
      <c r="Z255" s="207">
        <v>1268</v>
      </c>
      <c r="AA255" s="207">
        <v>13</v>
      </c>
      <c r="AB255" s="207">
        <v>215928</v>
      </c>
      <c r="AC255" s="207">
        <v>18030</v>
      </c>
      <c r="AD255" s="207">
        <v>44507</v>
      </c>
      <c r="AE255" s="480">
        <v>0.9069583110423328</v>
      </c>
      <c r="AF255" s="207">
        <v>251328616.10265648</v>
      </c>
      <c r="AG255" s="175">
        <v>13680</v>
      </c>
      <c r="AH255" s="175">
        <v>116490</v>
      </c>
      <c r="AI255" s="175">
        <v>1.203709507986068</v>
      </c>
      <c r="AJ255" s="175">
        <v>18030</v>
      </c>
      <c r="AK255" s="175">
        <v>0.0766454541976458</v>
      </c>
      <c r="AL255" s="175">
        <v>0.07336437508718281</v>
      </c>
      <c r="AM255" s="175">
        <v>0</v>
      </c>
      <c r="AN255" s="175">
        <v>1268</v>
      </c>
      <c r="AO255" s="175">
        <v>13</v>
      </c>
      <c r="AP255" s="175">
        <v>0</v>
      </c>
      <c r="AQ255" s="175">
        <v>0</v>
      </c>
      <c r="AR255" s="175">
        <v>524.95</v>
      </c>
      <c r="AS255" s="175">
        <v>448.1169635203352</v>
      </c>
      <c r="AT255" s="175">
        <v>0.040503983599115674</v>
      </c>
      <c r="AU255" s="175">
        <v>8125</v>
      </c>
      <c r="AV255" s="175">
        <v>75082</v>
      </c>
      <c r="AW255" s="175">
        <v>0.10821501824671692</v>
      </c>
      <c r="AX255" s="175">
        <v>0.052753784517231915</v>
      </c>
      <c r="AY255" s="175">
        <v>0</v>
      </c>
      <c r="AZ255" s="207">
        <v>122611</v>
      </c>
      <c r="BA255" s="175">
        <v>101034</v>
      </c>
      <c r="BB255" s="175">
        <v>1.213561771284914</v>
      </c>
      <c r="BC255" s="175">
        <v>0.8238669238612022</v>
      </c>
      <c r="BD255" s="175">
        <v>0</v>
      </c>
      <c r="BE255" s="175">
        <v>13</v>
      </c>
      <c r="BF255" s="207">
        <v>-1462992.43</v>
      </c>
      <c r="BG255" s="207">
        <v>-1789905.16</v>
      </c>
      <c r="BH255" s="207">
        <v>-964479.8999999999</v>
      </c>
      <c r="BI255" s="207">
        <v>-3871945.0999999996</v>
      </c>
      <c r="BJ255" s="207">
        <v>0</v>
      </c>
      <c r="BK255" s="207">
        <v>0</v>
      </c>
      <c r="BL255" s="207">
        <v>4140309</v>
      </c>
      <c r="BM255" s="207">
        <v>-25861713.381829835</v>
      </c>
      <c r="BN255" s="207">
        <v>-10011771.84</v>
      </c>
      <c r="BO255" s="207">
        <v>-219126.7658828497</v>
      </c>
      <c r="BP255" s="207">
        <v>13723734</v>
      </c>
      <c r="BQ255" s="207">
        <v>5251644</v>
      </c>
      <c r="BR255" s="207">
        <v>13128326.768248945</v>
      </c>
      <c r="BS255" s="207">
        <v>597364.1453218474</v>
      </c>
      <c r="BT255" s="207">
        <v>244723.63482833534</v>
      </c>
      <c r="BU255" s="207">
        <v>5254837.725761974</v>
      </c>
      <c r="BV255" s="207">
        <v>11750199.094894685</v>
      </c>
      <c r="BW255" s="207">
        <v>15523180.842289694</v>
      </c>
      <c r="BX255" s="207">
        <v>6514338.402027659</v>
      </c>
      <c r="BY255" s="207">
        <v>10327022.863926157</v>
      </c>
      <c r="BZ255" s="207">
        <v>21171.51</v>
      </c>
      <c r="CA255" s="207">
        <v>2292041.1347244014</v>
      </c>
      <c r="CB255" s="207">
        <v>6234394.878841551</v>
      </c>
      <c r="CC255" s="207">
        <v>-44940840.67298829</v>
      </c>
      <c r="CD255" s="207">
        <v>0</v>
      </c>
      <c r="CE255" s="207">
        <v>13531107.23636808</v>
      </c>
      <c r="CF255" s="207">
        <v>0</v>
      </c>
      <c r="CG255" s="207">
        <v>10571287.184535695</v>
      </c>
      <c r="CH255" s="207">
        <v>63647763</v>
      </c>
      <c r="CI255" s="207">
        <v>3797513.6832000013</v>
      </c>
      <c r="CJ255" s="207">
        <v>13358160.829893993</v>
      </c>
      <c r="CK255" s="207">
        <v>-9560647.146693991</v>
      </c>
      <c r="CL255" s="207">
        <v>223348414.46584997</v>
      </c>
      <c r="CM255" s="207">
        <v>289985627.11130995</v>
      </c>
      <c r="CN255" s="207">
        <v>231853</v>
      </c>
    </row>
    <row r="256" spans="1:92" ht="9.75">
      <c r="A256" s="207">
        <v>844</v>
      </c>
      <c r="B256" s="207" t="s">
        <v>312</v>
      </c>
      <c r="C256" s="207">
        <v>1567</v>
      </c>
      <c r="D256" s="207">
        <v>5862270.32</v>
      </c>
      <c r="E256" s="207">
        <v>3852094.4856596543</v>
      </c>
      <c r="F256" s="207">
        <v>550759.1771310867</v>
      </c>
      <c r="G256" s="207">
        <v>10265123.982790742</v>
      </c>
      <c r="H256" s="207">
        <v>3654.72</v>
      </c>
      <c r="I256" s="207">
        <v>5726946.239999999</v>
      </c>
      <c r="J256" s="207">
        <v>4538177.742790743</v>
      </c>
      <c r="K256" s="207">
        <v>219154.5458425138</v>
      </c>
      <c r="L256" s="207">
        <v>-213052.15888400207</v>
      </c>
      <c r="M256" s="207">
        <v>0</v>
      </c>
      <c r="N256" s="207">
        <v>4544280.129749254</v>
      </c>
      <c r="O256" s="207">
        <v>1751394.7961168706</v>
      </c>
      <c r="P256" s="207">
        <v>6295674.925866125</v>
      </c>
      <c r="Q256" s="207">
        <v>53</v>
      </c>
      <c r="R256" s="207">
        <v>17</v>
      </c>
      <c r="S256" s="207">
        <v>56</v>
      </c>
      <c r="T256" s="207">
        <v>40</v>
      </c>
      <c r="U256" s="207">
        <v>42</v>
      </c>
      <c r="V256" s="207">
        <v>784</v>
      </c>
      <c r="W256" s="207">
        <v>316</v>
      </c>
      <c r="X256" s="207">
        <v>169</v>
      </c>
      <c r="Y256" s="207">
        <v>90</v>
      </c>
      <c r="Z256" s="207">
        <v>1</v>
      </c>
      <c r="AA256" s="207">
        <v>0</v>
      </c>
      <c r="AB256" s="207">
        <v>1541</v>
      </c>
      <c r="AC256" s="207">
        <v>25</v>
      </c>
      <c r="AD256" s="207">
        <v>575</v>
      </c>
      <c r="AE256" s="480">
        <v>2.086808726709334</v>
      </c>
      <c r="AF256" s="207">
        <v>3852094.4856596543</v>
      </c>
      <c r="AG256" s="175">
        <v>71</v>
      </c>
      <c r="AH256" s="175">
        <v>653</v>
      </c>
      <c r="AI256" s="175">
        <v>1.114472627633604</v>
      </c>
      <c r="AJ256" s="175">
        <v>25</v>
      </c>
      <c r="AK256" s="175">
        <v>0.01595405232929164</v>
      </c>
      <c r="AL256" s="175">
        <v>0.012672973218828643</v>
      </c>
      <c r="AM256" s="175">
        <v>0</v>
      </c>
      <c r="AN256" s="175">
        <v>1</v>
      </c>
      <c r="AO256" s="175">
        <v>0</v>
      </c>
      <c r="AP256" s="175">
        <v>3</v>
      </c>
      <c r="AQ256" s="175">
        <v>172</v>
      </c>
      <c r="AR256" s="175">
        <v>347.75</v>
      </c>
      <c r="AS256" s="175">
        <v>4.506110711718188</v>
      </c>
      <c r="AT256" s="175">
        <v>4.027979626357726</v>
      </c>
      <c r="AU256" s="175">
        <v>49</v>
      </c>
      <c r="AV256" s="175">
        <v>361</v>
      </c>
      <c r="AW256" s="175">
        <v>0.13573407202216067</v>
      </c>
      <c r="AX256" s="175">
        <v>0.08027283829267567</v>
      </c>
      <c r="AY256" s="175">
        <v>0.5322666666666667</v>
      </c>
      <c r="AZ256" s="207">
        <v>424</v>
      </c>
      <c r="BA256" s="175">
        <v>549</v>
      </c>
      <c r="BB256" s="175">
        <v>0.7723132969034608</v>
      </c>
      <c r="BC256" s="175">
        <v>0.382618449479749</v>
      </c>
      <c r="BD256" s="175">
        <v>0</v>
      </c>
      <c r="BE256" s="175">
        <v>0</v>
      </c>
      <c r="BF256" s="207">
        <v>-10001.349999999999</v>
      </c>
      <c r="BG256" s="207">
        <v>-12236.199999999999</v>
      </c>
      <c r="BH256" s="207">
        <v>-6424.7</v>
      </c>
      <c r="BI256" s="207">
        <v>-26469.5</v>
      </c>
      <c r="BJ256" s="207">
        <v>0</v>
      </c>
      <c r="BK256" s="207">
        <v>0</v>
      </c>
      <c r="BL256" s="207">
        <v>-222</v>
      </c>
      <c r="BM256" s="207">
        <v>-58627.801050015754</v>
      </c>
      <c r="BN256" s="207">
        <v>-66691.52</v>
      </c>
      <c r="BO256" s="207">
        <v>18330.843079575337</v>
      </c>
      <c r="BP256" s="207">
        <v>196111</v>
      </c>
      <c r="BQ256" s="207">
        <v>61656</v>
      </c>
      <c r="BR256" s="207">
        <v>159282.21211564902</v>
      </c>
      <c r="BS256" s="207">
        <v>9219.493380649346</v>
      </c>
      <c r="BT256" s="207">
        <v>30583.410181686584</v>
      </c>
      <c r="BU256" s="207">
        <v>62866.85584053083</v>
      </c>
      <c r="BV256" s="207">
        <v>102437.71402169217</v>
      </c>
      <c r="BW256" s="207">
        <v>138290.7594471471</v>
      </c>
      <c r="BX256" s="207">
        <v>50346.87433976962</v>
      </c>
      <c r="BY256" s="207">
        <v>83779.51160038504</v>
      </c>
      <c r="BZ256" s="207">
        <v>141.03</v>
      </c>
      <c r="CA256" s="207">
        <v>-2806.740913561651</v>
      </c>
      <c r="CB256" s="207">
        <v>15443.132166013685</v>
      </c>
      <c r="CC256" s="207">
        <v>-213052.15888400207</v>
      </c>
      <c r="CD256" s="207">
        <v>0</v>
      </c>
      <c r="CE256" s="207">
        <v>114209.05125423992</v>
      </c>
      <c r="CF256" s="207">
        <v>0</v>
      </c>
      <c r="CG256" s="207">
        <v>1751394.7961168706</v>
      </c>
      <c r="CH256" s="207">
        <v>-310844</v>
      </c>
      <c r="CI256" s="207">
        <v>6796.81</v>
      </c>
      <c r="CJ256" s="207">
        <v>80909.22623999999</v>
      </c>
      <c r="CK256" s="207">
        <v>-74112.41623999999</v>
      </c>
      <c r="CL256" s="207">
        <v>5984830.925866125</v>
      </c>
      <c r="CM256" s="207">
        <v>7554831.863788131</v>
      </c>
      <c r="CN256" s="207">
        <v>1585</v>
      </c>
    </row>
    <row r="257" spans="1:92" ht="9.75">
      <c r="A257" s="207">
        <v>845</v>
      </c>
      <c r="B257" s="207" t="s">
        <v>313</v>
      </c>
      <c r="C257" s="207">
        <v>3062</v>
      </c>
      <c r="D257" s="207">
        <v>11958866.58</v>
      </c>
      <c r="E257" s="207">
        <v>4174903.717152455</v>
      </c>
      <c r="F257" s="207">
        <v>1663806.189286856</v>
      </c>
      <c r="G257" s="207">
        <v>17797576.48643931</v>
      </c>
      <c r="H257" s="207">
        <v>3654.72</v>
      </c>
      <c r="I257" s="207">
        <v>11190752.639999999</v>
      </c>
      <c r="J257" s="207">
        <v>6606823.846439311</v>
      </c>
      <c r="K257" s="207">
        <v>568862.4143138868</v>
      </c>
      <c r="L257" s="207">
        <v>-233254.32926880624</v>
      </c>
      <c r="M257" s="207">
        <v>0</v>
      </c>
      <c r="N257" s="207">
        <v>6942431.931484391</v>
      </c>
      <c r="O257" s="207">
        <v>2409896.2452114616</v>
      </c>
      <c r="P257" s="207">
        <v>9352328.176695853</v>
      </c>
      <c r="Q257" s="207">
        <v>205</v>
      </c>
      <c r="R257" s="207">
        <v>23</v>
      </c>
      <c r="S257" s="207">
        <v>194</v>
      </c>
      <c r="T257" s="207">
        <v>109</v>
      </c>
      <c r="U257" s="207">
        <v>96</v>
      </c>
      <c r="V257" s="207">
        <v>1566</v>
      </c>
      <c r="W257" s="207">
        <v>433</v>
      </c>
      <c r="X257" s="207">
        <v>306</v>
      </c>
      <c r="Y257" s="207">
        <v>130</v>
      </c>
      <c r="Z257" s="207">
        <v>9</v>
      </c>
      <c r="AA257" s="207">
        <v>2</v>
      </c>
      <c r="AB257" s="207">
        <v>2997</v>
      </c>
      <c r="AC257" s="207">
        <v>54</v>
      </c>
      <c r="AD257" s="207">
        <v>869</v>
      </c>
      <c r="AE257" s="480">
        <v>1.1574333378298567</v>
      </c>
      <c r="AF257" s="207">
        <v>4174903.717152455</v>
      </c>
      <c r="AG257" s="175">
        <v>156</v>
      </c>
      <c r="AH257" s="175">
        <v>1257</v>
      </c>
      <c r="AI257" s="175">
        <v>1.2720774662653085</v>
      </c>
      <c r="AJ257" s="175">
        <v>54</v>
      </c>
      <c r="AK257" s="175">
        <v>0.017635532331809273</v>
      </c>
      <c r="AL257" s="175">
        <v>0.014354453221346278</v>
      </c>
      <c r="AM257" s="175">
        <v>0</v>
      </c>
      <c r="AN257" s="175">
        <v>9</v>
      </c>
      <c r="AO257" s="175">
        <v>2</v>
      </c>
      <c r="AP257" s="175">
        <v>0</v>
      </c>
      <c r="AQ257" s="175">
        <v>0</v>
      </c>
      <c r="AR257" s="175">
        <v>1559.74</v>
      </c>
      <c r="AS257" s="175">
        <v>1.9631477041045302</v>
      </c>
      <c r="AT257" s="175">
        <v>9.245622274352684</v>
      </c>
      <c r="AU257" s="175">
        <v>95</v>
      </c>
      <c r="AV257" s="175">
        <v>736</v>
      </c>
      <c r="AW257" s="175">
        <v>0.12907608695652173</v>
      </c>
      <c r="AX257" s="175">
        <v>0.07361485322703673</v>
      </c>
      <c r="AY257" s="175">
        <v>0.7047333333333333</v>
      </c>
      <c r="AZ257" s="207">
        <v>940</v>
      </c>
      <c r="BA257" s="175">
        <v>1038</v>
      </c>
      <c r="BB257" s="175">
        <v>0.905587668593449</v>
      </c>
      <c r="BC257" s="175">
        <v>0.5158928211697371</v>
      </c>
      <c r="BD257" s="175">
        <v>0</v>
      </c>
      <c r="BE257" s="175">
        <v>2</v>
      </c>
      <c r="BF257" s="207">
        <v>-19359.079999999998</v>
      </c>
      <c r="BG257" s="207">
        <v>-23684.96</v>
      </c>
      <c r="BH257" s="207">
        <v>-12554.199999999999</v>
      </c>
      <c r="BI257" s="207">
        <v>-51235.6</v>
      </c>
      <c r="BJ257" s="207">
        <v>0</v>
      </c>
      <c r="BK257" s="207">
        <v>0</v>
      </c>
      <c r="BL257" s="207">
        <v>111673</v>
      </c>
      <c r="BM257" s="207">
        <v>-98313.45220757849</v>
      </c>
      <c r="BN257" s="207">
        <v>-130318.72</v>
      </c>
      <c r="BO257" s="207">
        <v>88313.80101642758</v>
      </c>
      <c r="BP257" s="207">
        <v>301511</v>
      </c>
      <c r="BQ257" s="207">
        <v>94788</v>
      </c>
      <c r="BR257" s="207">
        <v>235943.08993165064</v>
      </c>
      <c r="BS257" s="207">
        <v>13005.778783737596</v>
      </c>
      <c r="BT257" s="207">
        <v>42326.72978797646</v>
      </c>
      <c r="BU257" s="207">
        <v>107710.18747200553</v>
      </c>
      <c r="BV257" s="207">
        <v>159813.91595180737</v>
      </c>
      <c r="BW257" s="207">
        <v>251861.8474837622</v>
      </c>
      <c r="BX257" s="207">
        <v>69629.61609329381</v>
      </c>
      <c r="BY257" s="207">
        <v>122234.69291125509</v>
      </c>
      <c r="BZ257" s="207">
        <v>275.58</v>
      </c>
      <c r="CA257" s="207">
        <v>-4169.778077655308</v>
      </c>
      <c r="CB257" s="207">
        <v>196092.60293877227</v>
      </c>
      <c r="CC257" s="207">
        <v>-233254.32926880624</v>
      </c>
      <c r="CD257" s="207">
        <v>0</v>
      </c>
      <c r="CE257" s="207">
        <v>169781.64477668764</v>
      </c>
      <c r="CF257" s="207">
        <v>0</v>
      </c>
      <c r="CG257" s="207">
        <v>2409896.2452114616</v>
      </c>
      <c r="CH257" s="207">
        <v>582</v>
      </c>
      <c r="CI257" s="207">
        <v>59811.928</v>
      </c>
      <c r="CJ257" s="207">
        <v>17671.706000000002</v>
      </c>
      <c r="CK257" s="207">
        <v>42140.221999999994</v>
      </c>
      <c r="CL257" s="207">
        <v>9352910.176695853</v>
      </c>
      <c r="CM257" s="207">
        <v>9972378.083794829</v>
      </c>
      <c r="CN257" s="207">
        <v>3068</v>
      </c>
    </row>
    <row r="258" spans="1:92" ht="9.75">
      <c r="A258" s="207">
        <v>846</v>
      </c>
      <c r="B258" s="207" t="s">
        <v>314</v>
      </c>
      <c r="C258" s="207">
        <v>5158</v>
      </c>
      <c r="D258" s="207">
        <v>20328970.86</v>
      </c>
      <c r="E258" s="207">
        <v>8833939.064349037</v>
      </c>
      <c r="F258" s="207">
        <v>981498.1173923854</v>
      </c>
      <c r="G258" s="207">
        <v>30144408.041741423</v>
      </c>
      <c r="H258" s="207">
        <v>3654.72</v>
      </c>
      <c r="I258" s="207">
        <v>18851045.759999998</v>
      </c>
      <c r="J258" s="207">
        <v>11293362.281741425</v>
      </c>
      <c r="K258" s="207">
        <v>181081.31943018158</v>
      </c>
      <c r="L258" s="207">
        <v>-788256.1920116085</v>
      </c>
      <c r="M258" s="207">
        <v>0</v>
      </c>
      <c r="N258" s="207">
        <v>10686187.40916</v>
      </c>
      <c r="O258" s="207">
        <v>4992574.906974753</v>
      </c>
      <c r="P258" s="207">
        <v>15678762.316134753</v>
      </c>
      <c r="Q258" s="207">
        <v>249</v>
      </c>
      <c r="R258" s="207">
        <v>52</v>
      </c>
      <c r="S258" s="207">
        <v>329</v>
      </c>
      <c r="T258" s="207">
        <v>171</v>
      </c>
      <c r="U258" s="207">
        <v>181</v>
      </c>
      <c r="V258" s="207">
        <v>2513</v>
      </c>
      <c r="W258" s="207">
        <v>875</v>
      </c>
      <c r="X258" s="207">
        <v>534</v>
      </c>
      <c r="Y258" s="207">
        <v>254</v>
      </c>
      <c r="Z258" s="207">
        <v>38</v>
      </c>
      <c r="AA258" s="207">
        <v>0</v>
      </c>
      <c r="AB258" s="207">
        <v>5060</v>
      </c>
      <c r="AC258" s="207">
        <v>60</v>
      </c>
      <c r="AD258" s="207">
        <v>1663</v>
      </c>
      <c r="AE258" s="480">
        <v>1.453877350815921</v>
      </c>
      <c r="AF258" s="207">
        <v>8833939.064349037</v>
      </c>
      <c r="AG258" s="175">
        <v>144</v>
      </c>
      <c r="AH258" s="175">
        <v>2167</v>
      </c>
      <c r="AI258" s="175">
        <v>0.6811265663677509</v>
      </c>
      <c r="AJ258" s="175">
        <v>60</v>
      </c>
      <c r="AK258" s="175">
        <v>0.011632415664986429</v>
      </c>
      <c r="AL258" s="175">
        <v>0.008351336554523432</v>
      </c>
      <c r="AM258" s="175">
        <v>0</v>
      </c>
      <c r="AN258" s="175">
        <v>38</v>
      </c>
      <c r="AO258" s="175">
        <v>0</v>
      </c>
      <c r="AP258" s="175">
        <v>0</v>
      </c>
      <c r="AQ258" s="175">
        <v>0</v>
      </c>
      <c r="AR258" s="175">
        <v>554.67</v>
      </c>
      <c r="AS258" s="175">
        <v>9.299222961400472</v>
      </c>
      <c r="AT258" s="175">
        <v>1.9518321279372453</v>
      </c>
      <c r="AU258" s="175">
        <v>176</v>
      </c>
      <c r="AV258" s="175">
        <v>1273</v>
      </c>
      <c r="AW258" s="175">
        <v>0.13825608798114689</v>
      </c>
      <c r="AX258" s="175">
        <v>0.08279485425166189</v>
      </c>
      <c r="AY258" s="175">
        <v>0</v>
      </c>
      <c r="AZ258" s="207">
        <v>1727</v>
      </c>
      <c r="BA258" s="175">
        <v>1865</v>
      </c>
      <c r="BB258" s="175">
        <v>0.9260053619302949</v>
      </c>
      <c r="BC258" s="175">
        <v>0.5363105145065831</v>
      </c>
      <c r="BD258" s="175">
        <v>0</v>
      </c>
      <c r="BE258" s="175">
        <v>0</v>
      </c>
      <c r="BF258" s="207">
        <v>-33247.39</v>
      </c>
      <c r="BG258" s="207">
        <v>-40676.68</v>
      </c>
      <c r="BH258" s="207">
        <v>-21147.8</v>
      </c>
      <c r="BI258" s="207">
        <v>-87992.3</v>
      </c>
      <c r="BJ258" s="207">
        <v>0</v>
      </c>
      <c r="BK258" s="207">
        <v>0</v>
      </c>
      <c r="BL258" s="207">
        <v>-115215</v>
      </c>
      <c r="BM258" s="207">
        <v>-177749.5204704235</v>
      </c>
      <c r="BN258" s="207">
        <v>-219524.48</v>
      </c>
      <c r="BO258" s="207">
        <v>62084.1270564124</v>
      </c>
      <c r="BP258" s="207">
        <v>576996</v>
      </c>
      <c r="BQ258" s="207">
        <v>180373</v>
      </c>
      <c r="BR258" s="207">
        <v>473410.9224047523</v>
      </c>
      <c r="BS258" s="207">
        <v>25183.388047769105</v>
      </c>
      <c r="BT258" s="207">
        <v>43857.31872270107</v>
      </c>
      <c r="BU258" s="207">
        <v>222955.8629928093</v>
      </c>
      <c r="BV258" s="207">
        <v>317312.53966913937</v>
      </c>
      <c r="BW258" s="207">
        <v>515527.2529931522</v>
      </c>
      <c r="BX258" s="207">
        <v>144626.5101105741</v>
      </c>
      <c r="BY258" s="207">
        <v>273798.9291505118</v>
      </c>
      <c r="BZ258" s="207">
        <v>464.21999999999997</v>
      </c>
      <c r="CA258" s="207">
        <v>2892.911402402562</v>
      </c>
      <c r="CB258" s="207">
        <v>-49773.74154118504</v>
      </c>
      <c r="CC258" s="207">
        <v>-788256.1920116085</v>
      </c>
      <c r="CD258" s="207">
        <v>0</v>
      </c>
      <c r="CE258" s="207">
        <v>377557.975283884</v>
      </c>
      <c r="CF258" s="207">
        <v>0</v>
      </c>
      <c r="CG258" s="207">
        <v>4992574.906974753</v>
      </c>
      <c r="CH258" s="207">
        <v>-376017</v>
      </c>
      <c r="CI258" s="207">
        <v>207982.386</v>
      </c>
      <c r="CJ258" s="207">
        <v>174202.2403</v>
      </c>
      <c r="CK258" s="207">
        <v>33780.145699999994</v>
      </c>
      <c r="CL258" s="207">
        <v>15302745.316134753</v>
      </c>
      <c r="CM258" s="207">
        <v>17528840.701261565</v>
      </c>
      <c r="CN258" s="207">
        <v>5269</v>
      </c>
    </row>
    <row r="259" spans="1:92" ht="9.75">
      <c r="A259" s="207">
        <v>848</v>
      </c>
      <c r="B259" s="207" t="s">
        <v>315</v>
      </c>
      <c r="C259" s="207">
        <v>4482</v>
      </c>
      <c r="D259" s="207">
        <v>15808883.2</v>
      </c>
      <c r="E259" s="207">
        <v>8436865.328737263</v>
      </c>
      <c r="F259" s="207">
        <v>1845218.4656931702</v>
      </c>
      <c r="G259" s="207">
        <v>26090966.99443043</v>
      </c>
      <c r="H259" s="207">
        <v>3654.72</v>
      </c>
      <c r="I259" s="207">
        <v>16380455.04</v>
      </c>
      <c r="J259" s="207">
        <v>9710511.954430431</v>
      </c>
      <c r="K259" s="207">
        <v>310165.73320011963</v>
      </c>
      <c r="L259" s="207">
        <v>-117664.66154637921</v>
      </c>
      <c r="M259" s="207">
        <v>0</v>
      </c>
      <c r="N259" s="207">
        <v>9903013.026084172</v>
      </c>
      <c r="O259" s="207">
        <v>4604892.250137064</v>
      </c>
      <c r="P259" s="207">
        <v>14507905.276221234</v>
      </c>
      <c r="Q259" s="207">
        <v>212</v>
      </c>
      <c r="R259" s="207">
        <v>41</v>
      </c>
      <c r="S259" s="207">
        <v>242</v>
      </c>
      <c r="T259" s="207">
        <v>113</v>
      </c>
      <c r="U259" s="207">
        <v>137</v>
      </c>
      <c r="V259" s="207">
        <v>2334</v>
      </c>
      <c r="W259" s="207">
        <v>797</v>
      </c>
      <c r="X259" s="207">
        <v>435</v>
      </c>
      <c r="Y259" s="207">
        <v>171</v>
      </c>
      <c r="Z259" s="207">
        <v>1</v>
      </c>
      <c r="AA259" s="207">
        <v>1</v>
      </c>
      <c r="AB259" s="207">
        <v>4266</v>
      </c>
      <c r="AC259" s="207">
        <v>214</v>
      </c>
      <c r="AD259" s="207">
        <v>1403</v>
      </c>
      <c r="AE259" s="480">
        <v>1.5979528998350054</v>
      </c>
      <c r="AF259" s="207">
        <v>8436865.328737263</v>
      </c>
      <c r="AG259" s="175">
        <v>306</v>
      </c>
      <c r="AH259" s="175">
        <v>1918</v>
      </c>
      <c r="AI259" s="175">
        <v>1.6352985908773188</v>
      </c>
      <c r="AJ259" s="175">
        <v>214</v>
      </c>
      <c r="AK259" s="175">
        <v>0.047746541722445336</v>
      </c>
      <c r="AL259" s="175">
        <v>0.04446546261198234</v>
      </c>
      <c r="AM259" s="175">
        <v>0</v>
      </c>
      <c r="AN259" s="175">
        <v>1</v>
      </c>
      <c r="AO259" s="175">
        <v>1</v>
      </c>
      <c r="AP259" s="175">
        <v>0</v>
      </c>
      <c r="AQ259" s="175">
        <v>0</v>
      </c>
      <c r="AR259" s="175">
        <v>837.76</v>
      </c>
      <c r="AS259" s="175">
        <v>5.34998090145149</v>
      </c>
      <c r="AT259" s="175">
        <v>3.392633072015043</v>
      </c>
      <c r="AU259" s="175">
        <v>180</v>
      </c>
      <c r="AV259" s="175">
        <v>1195</v>
      </c>
      <c r="AW259" s="175">
        <v>0.1506276150627615</v>
      </c>
      <c r="AX259" s="175">
        <v>0.09516638133327651</v>
      </c>
      <c r="AY259" s="175">
        <v>0.1798</v>
      </c>
      <c r="AZ259" s="207">
        <v>1291</v>
      </c>
      <c r="BA259" s="175">
        <v>1511</v>
      </c>
      <c r="BB259" s="175">
        <v>0.8544010589013898</v>
      </c>
      <c r="BC259" s="175">
        <v>0.464706211477678</v>
      </c>
      <c r="BD259" s="175">
        <v>0</v>
      </c>
      <c r="BE259" s="175">
        <v>1</v>
      </c>
      <c r="BF259" s="207">
        <v>-28843.01</v>
      </c>
      <c r="BG259" s="207">
        <v>-35288.119999999995</v>
      </c>
      <c r="BH259" s="207">
        <v>-18376.199999999997</v>
      </c>
      <c r="BI259" s="207">
        <v>-76335.7</v>
      </c>
      <c r="BJ259" s="207">
        <v>0</v>
      </c>
      <c r="BK259" s="207">
        <v>0</v>
      </c>
      <c r="BL259" s="207">
        <v>296673</v>
      </c>
      <c r="BM259" s="207">
        <v>-152005.35535611905</v>
      </c>
      <c r="BN259" s="207">
        <v>-190753.92</v>
      </c>
      <c r="BO259" s="207">
        <v>146059.5290362984</v>
      </c>
      <c r="BP259" s="207">
        <v>488924</v>
      </c>
      <c r="BQ259" s="207">
        <v>151458</v>
      </c>
      <c r="BR259" s="207">
        <v>407823.27488089685</v>
      </c>
      <c r="BS259" s="207">
        <v>23600.248029461156</v>
      </c>
      <c r="BT259" s="207">
        <v>70179.89737688669</v>
      </c>
      <c r="BU259" s="207">
        <v>178361.8782136875</v>
      </c>
      <c r="BV259" s="207">
        <v>258633.18425387493</v>
      </c>
      <c r="BW259" s="207">
        <v>426043.25547438674</v>
      </c>
      <c r="BX259" s="207">
        <v>124023.69196412733</v>
      </c>
      <c r="BY259" s="207">
        <v>230735.16298174483</v>
      </c>
      <c r="BZ259" s="207">
        <v>403.38</v>
      </c>
      <c r="CA259" s="207">
        <v>78219.85477344132</v>
      </c>
      <c r="CB259" s="207">
        <v>521355.7638097397</v>
      </c>
      <c r="CC259" s="207">
        <v>-117664.66154637921</v>
      </c>
      <c r="CD259" s="207">
        <v>0</v>
      </c>
      <c r="CE259" s="207">
        <v>316051.9923646566</v>
      </c>
      <c r="CF259" s="207">
        <v>0</v>
      </c>
      <c r="CG259" s="207">
        <v>4604892.250137064</v>
      </c>
      <c r="CH259" s="207">
        <v>458083</v>
      </c>
      <c r="CI259" s="207">
        <v>74764.91</v>
      </c>
      <c r="CJ259" s="207">
        <v>158392.86024</v>
      </c>
      <c r="CK259" s="207">
        <v>-83627.95024</v>
      </c>
      <c r="CL259" s="207">
        <v>14965988.276221234</v>
      </c>
      <c r="CM259" s="207">
        <v>16864448.324794788</v>
      </c>
      <c r="CN259" s="207">
        <v>4571</v>
      </c>
    </row>
    <row r="260" spans="1:92" ht="9.75">
      <c r="A260" s="207">
        <v>849</v>
      </c>
      <c r="B260" s="207" t="s">
        <v>316</v>
      </c>
      <c r="C260" s="207">
        <v>3112</v>
      </c>
      <c r="D260" s="207">
        <v>12496334.19</v>
      </c>
      <c r="E260" s="207">
        <v>4223765.956318058</v>
      </c>
      <c r="F260" s="207">
        <v>785354.9244939138</v>
      </c>
      <c r="G260" s="207">
        <v>17505455.070811972</v>
      </c>
      <c r="H260" s="207">
        <v>3654.72</v>
      </c>
      <c r="I260" s="207">
        <v>11373488.639999999</v>
      </c>
      <c r="J260" s="207">
        <v>6131966.430811973</v>
      </c>
      <c r="K260" s="207">
        <v>169761.42768163222</v>
      </c>
      <c r="L260" s="207">
        <v>-402892.59838418616</v>
      </c>
      <c r="M260" s="207">
        <v>0</v>
      </c>
      <c r="N260" s="207">
        <v>5898835.260109419</v>
      </c>
      <c r="O260" s="207">
        <v>3315780.640599553</v>
      </c>
      <c r="P260" s="207">
        <v>9214615.900708972</v>
      </c>
      <c r="Q260" s="207">
        <v>210</v>
      </c>
      <c r="R260" s="207">
        <v>30</v>
      </c>
      <c r="S260" s="207">
        <v>264</v>
      </c>
      <c r="T260" s="207">
        <v>140</v>
      </c>
      <c r="U260" s="207">
        <v>129</v>
      </c>
      <c r="V260" s="207">
        <v>1516</v>
      </c>
      <c r="W260" s="207">
        <v>451</v>
      </c>
      <c r="X260" s="207">
        <v>261</v>
      </c>
      <c r="Y260" s="207">
        <v>111</v>
      </c>
      <c r="Z260" s="207">
        <v>3</v>
      </c>
      <c r="AA260" s="207">
        <v>0</v>
      </c>
      <c r="AB260" s="207">
        <v>3074</v>
      </c>
      <c r="AC260" s="207">
        <v>35</v>
      </c>
      <c r="AD260" s="207">
        <v>823</v>
      </c>
      <c r="AE260" s="480">
        <v>1.1521657651192105</v>
      </c>
      <c r="AF260" s="207">
        <v>4223765.956318058</v>
      </c>
      <c r="AG260" s="175">
        <v>93</v>
      </c>
      <c r="AH260" s="175">
        <v>1296</v>
      </c>
      <c r="AI260" s="175">
        <v>0.7355330399448047</v>
      </c>
      <c r="AJ260" s="175">
        <v>35</v>
      </c>
      <c r="AK260" s="175">
        <v>0.011246786632390746</v>
      </c>
      <c r="AL260" s="175">
        <v>0.00796570752192775</v>
      </c>
      <c r="AM260" s="175">
        <v>0</v>
      </c>
      <c r="AN260" s="175">
        <v>3</v>
      </c>
      <c r="AO260" s="175">
        <v>0</v>
      </c>
      <c r="AP260" s="175">
        <v>0</v>
      </c>
      <c r="AQ260" s="175">
        <v>0</v>
      </c>
      <c r="AR260" s="175">
        <v>608.82</v>
      </c>
      <c r="AS260" s="175">
        <v>5.111527216582898</v>
      </c>
      <c r="AT260" s="175">
        <v>3.550900028865925</v>
      </c>
      <c r="AU260" s="175">
        <v>96</v>
      </c>
      <c r="AV260" s="175">
        <v>776</v>
      </c>
      <c r="AW260" s="175">
        <v>0.12371134020618557</v>
      </c>
      <c r="AX260" s="175">
        <v>0.06825010647670057</v>
      </c>
      <c r="AY260" s="175">
        <v>0.10186666666666666</v>
      </c>
      <c r="AZ260" s="207">
        <v>1040</v>
      </c>
      <c r="BA260" s="175">
        <v>1172</v>
      </c>
      <c r="BB260" s="175">
        <v>0.8873720136518771</v>
      </c>
      <c r="BC260" s="175">
        <v>0.49767716622816527</v>
      </c>
      <c r="BD260" s="175">
        <v>0</v>
      </c>
      <c r="BE260" s="175">
        <v>0</v>
      </c>
      <c r="BF260" s="207">
        <v>-20141.52</v>
      </c>
      <c r="BG260" s="207">
        <v>-24642.239999999998</v>
      </c>
      <c r="BH260" s="207">
        <v>-12759.199999999999</v>
      </c>
      <c r="BI260" s="207">
        <v>-53306.399999999994</v>
      </c>
      <c r="BJ260" s="207">
        <v>0</v>
      </c>
      <c r="BK260" s="207">
        <v>0</v>
      </c>
      <c r="BL260" s="207">
        <v>-35286</v>
      </c>
      <c r="BM260" s="207">
        <v>-44346.157184019976</v>
      </c>
      <c r="BN260" s="207">
        <v>-132446.72</v>
      </c>
      <c r="BO260" s="207">
        <v>23437.54527264461</v>
      </c>
      <c r="BP260" s="207">
        <v>314226</v>
      </c>
      <c r="BQ260" s="207">
        <v>100168</v>
      </c>
      <c r="BR260" s="207">
        <v>257451.3146865465</v>
      </c>
      <c r="BS260" s="207">
        <v>12554.810613471816</v>
      </c>
      <c r="BT260" s="207">
        <v>41698.33530034056</v>
      </c>
      <c r="BU260" s="207">
        <v>129523.2545463595</v>
      </c>
      <c r="BV260" s="207">
        <v>173125.70093132294</v>
      </c>
      <c r="BW260" s="207">
        <v>339131.47494841396</v>
      </c>
      <c r="BX260" s="207">
        <v>83990.13880289915</v>
      </c>
      <c r="BY260" s="207">
        <v>153250.83389795406</v>
      </c>
      <c r="BZ260" s="207">
        <v>280.08</v>
      </c>
      <c r="CA260" s="207">
        <v>-8268.06647281082</v>
      </c>
      <c r="CB260" s="207">
        <v>-19836.441200166213</v>
      </c>
      <c r="CC260" s="207">
        <v>-402892.59838418616</v>
      </c>
      <c r="CD260" s="207">
        <v>0</v>
      </c>
      <c r="CE260" s="207">
        <v>233364.93913772432</v>
      </c>
      <c r="CF260" s="207">
        <v>0</v>
      </c>
      <c r="CG260" s="207">
        <v>3315780.640599553</v>
      </c>
      <c r="CH260" s="207">
        <v>237492</v>
      </c>
      <c r="CI260" s="207">
        <v>172638.97400000002</v>
      </c>
      <c r="CJ260" s="207">
        <v>6796.81</v>
      </c>
      <c r="CK260" s="207">
        <v>165842.16400000002</v>
      </c>
      <c r="CL260" s="207">
        <v>9452107.900708972</v>
      </c>
      <c r="CM260" s="207">
        <v>10203125.511642594</v>
      </c>
      <c r="CN260" s="207">
        <v>3192</v>
      </c>
    </row>
    <row r="261" spans="1:92" ht="9.75">
      <c r="A261" s="207">
        <v>850</v>
      </c>
      <c r="B261" s="207" t="s">
        <v>317</v>
      </c>
      <c r="C261" s="207">
        <v>2406</v>
      </c>
      <c r="D261" s="207">
        <v>9095132.08</v>
      </c>
      <c r="E261" s="207">
        <v>2961457.943496281</v>
      </c>
      <c r="F261" s="207">
        <v>544449.3673537278</v>
      </c>
      <c r="G261" s="207">
        <v>12601039.39085001</v>
      </c>
      <c r="H261" s="207">
        <v>3654.72</v>
      </c>
      <c r="I261" s="207">
        <v>8793256.32</v>
      </c>
      <c r="J261" s="207">
        <v>3807783.070850009</v>
      </c>
      <c r="K261" s="207">
        <v>39271.108613172444</v>
      </c>
      <c r="L261" s="207">
        <v>-127928.96699980527</v>
      </c>
      <c r="M261" s="207">
        <v>0</v>
      </c>
      <c r="N261" s="207">
        <v>3719125.2124633766</v>
      </c>
      <c r="O261" s="207">
        <v>1626919.675507305</v>
      </c>
      <c r="P261" s="207">
        <v>5346044.887970681</v>
      </c>
      <c r="Q261" s="207">
        <v>145</v>
      </c>
      <c r="R261" s="207">
        <v>34</v>
      </c>
      <c r="S261" s="207">
        <v>218</v>
      </c>
      <c r="T261" s="207">
        <v>87</v>
      </c>
      <c r="U261" s="207">
        <v>66</v>
      </c>
      <c r="V261" s="207">
        <v>1209</v>
      </c>
      <c r="W261" s="207">
        <v>380</v>
      </c>
      <c r="X261" s="207">
        <v>195</v>
      </c>
      <c r="Y261" s="207">
        <v>72</v>
      </c>
      <c r="Z261" s="207">
        <v>1</v>
      </c>
      <c r="AA261" s="207">
        <v>0</v>
      </c>
      <c r="AB261" s="207">
        <v>2380</v>
      </c>
      <c r="AC261" s="207">
        <v>25</v>
      </c>
      <c r="AD261" s="207">
        <v>647</v>
      </c>
      <c r="AE261" s="480">
        <v>1.0448757645699986</v>
      </c>
      <c r="AF261" s="207">
        <v>2961457.943496281</v>
      </c>
      <c r="AG261" s="175">
        <v>88</v>
      </c>
      <c r="AH261" s="175">
        <v>1054</v>
      </c>
      <c r="AI261" s="175">
        <v>0.8557882122342442</v>
      </c>
      <c r="AJ261" s="175">
        <v>25</v>
      </c>
      <c r="AK261" s="175">
        <v>0.010390689941812137</v>
      </c>
      <c r="AL261" s="175">
        <v>0.00710961083134914</v>
      </c>
      <c r="AM261" s="175">
        <v>0</v>
      </c>
      <c r="AN261" s="175">
        <v>1</v>
      </c>
      <c r="AO261" s="175">
        <v>0</v>
      </c>
      <c r="AP261" s="175">
        <v>0</v>
      </c>
      <c r="AQ261" s="175">
        <v>0</v>
      </c>
      <c r="AR261" s="175">
        <v>361.45</v>
      </c>
      <c r="AS261" s="175">
        <v>6.656522340572693</v>
      </c>
      <c r="AT261" s="175">
        <v>2.7267274429896373</v>
      </c>
      <c r="AU261" s="175">
        <v>80</v>
      </c>
      <c r="AV261" s="175">
        <v>681</v>
      </c>
      <c r="AW261" s="175">
        <v>0.11747430249632893</v>
      </c>
      <c r="AX261" s="175">
        <v>0.06201306876684392</v>
      </c>
      <c r="AY261" s="175">
        <v>0</v>
      </c>
      <c r="AZ261" s="207">
        <v>586</v>
      </c>
      <c r="BA261" s="175">
        <v>917</v>
      </c>
      <c r="BB261" s="175">
        <v>0.6390403489640131</v>
      </c>
      <c r="BC261" s="175">
        <v>0.24934550154030122</v>
      </c>
      <c r="BD261" s="175">
        <v>0</v>
      </c>
      <c r="BE261" s="175">
        <v>0</v>
      </c>
      <c r="BF261" s="207">
        <v>-15043.039999999999</v>
      </c>
      <c r="BG261" s="207">
        <v>-18404.48</v>
      </c>
      <c r="BH261" s="207">
        <v>-9864.599999999999</v>
      </c>
      <c r="BI261" s="207">
        <v>-39812.799999999996</v>
      </c>
      <c r="BJ261" s="207">
        <v>0</v>
      </c>
      <c r="BK261" s="207">
        <v>0</v>
      </c>
      <c r="BL261" s="207">
        <v>37010</v>
      </c>
      <c r="BM261" s="207">
        <v>-51610.687468673656</v>
      </c>
      <c r="BN261" s="207">
        <v>-102399.36</v>
      </c>
      <c r="BO261" s="207">
        <v>129204.97141114902</v>
      </c>
      <c r="BP261" s="207">
        <v>217595</v>
      </c>
      <c r="BQ261" s="207">
        <v>70121</v>
      </c>
      <c r="BR261" s="207">
        <v>157566.65010776315</v>
      </c>
      <c r="BS261" s="207">
        <v>6018.4220331636425</v>
      </c>
      <c r="BT261" s="207">
        <v>16014.904402014883</v>
      </c>
      <c r="BU261" s="207">
        <v>71238.97880583534</v>
      </c>
      <c r="BV261" s="207">
        <v>131906.43722749897</v>
      </c>
      <c r="BW261" s="207">
        <v>199318.96465986373</v>
      </c>
      <c r="BX261" s="207">
        <v>52076.235371586336</v>
      </c>
      <c r="BY261" s="207">
        <v>106125.74955900428</v>
      </c>
      <c r="BZ261" s="207">
        <v>216.54</v>
      </c>
      <c r="CA261" s="207">
        <v>16542.449057719383</v>
      </c>
      <c r="CB261" s="207">
        <v>182973.9604688684</v>
      </c>
      <c r="CC261" s="207">
        <v>-127928.96699980527</v>
      </c>
      <c r="CD261" s="207">
        <v>0</v>
      </c>
      <c r="CE261" s="207">
        <v>123292.86229175363</v>
      </c>
      <c r="CF261" s="207">
        <v>0</v>
      </c>
      <c r="CG261" s="207">
        <v>1626919.675507305</v>
      </c>
      <c r="CH261" s="207">
        <v>-512245</v>
      </c>
      <c r="CI261" s="207">
        <v>363221.52640000003</v>
      </c>
      <c r="CJ261" s="207">
        <v>140136.62858000002</v>
      </c>
      <c r="CK261" s="207">
        <v>223084.89782</v>
      </c>
      <c r="CL261" s="207">
        <v>4833799.887970681</v>
      </c>
      <c r="CM261" s="207">
        <v>5850067.412945141</v>
      </c>
      <c r="CN261" s="207">
        <v>2384</v>
      </c>
    </row>
    <row r="262" spans="1:92" ht="9.75">
      <c r="A262" s="207">
        <v>851</v>
      </c>
      <c r="B262" s="207" t="s">
        <v>318</v>
      </c>
      <c r="C262" s="207">
        <v>21875</v>
      </c>
      <c r="D262" s="207">
        <v>77382916.69</v>
      </c>
      <c r="E262" s="207">
        <v>24899380.82104442</v>
      </c>
      <c r="F262" s="207">
        <v>4683910.076802554</v>
      </c>
      <c r="G262" s="207">
        <v>106966207.58784696</v>
      </c>
      <c r="H262" s="207">
        <v>3654.72</v>
      </c>
      <c r="I262" s="207">
        <v>79947000</v>
      </c>
      <c r="J262" s="207">
        <v>27019207.587846965</v>
      </c>
      <c r="K262" s="207">
        <v>1076879.3600331326</v>
      </c>
      <c r="L262" s="207">
        <v>-3425488.3786604945</v>
      </c>
      <c r="M262" s="207">
        <v>0</v>
      </c>
      <c r="N262" s="207">
        <v>24670598.569219604</v>
      </c>
      <c r="O262" s="207">
        <v>8333585.212522967</v>
      </c>
      <c r="P262" s="207">
        <v>33004183.781742573</v>
      </c>
      <c r="Q262" s="207">
        <v>1323</v>
      </c>
      <c r="R262" s="207">
        <v>254</v>
      </c>
      <c r="S262" s="207">
        <v>1679</v>
      </c>
      <c r="T262" s="207">
        <v>842</v>
      </c>
      <c r="U262" s="207">
        <v>817</v>
      </c>
      <c r="V262" s="207">
        <v>12016</v>
      </c>
      <c r="W262" s="207">
        <v>3033</v>
      </c>
      <c r="X262" s="207">
        <v>1358</v>
      </c>
      <c r="Y262" s="207">
        <v>553</v>
      </c>
      <c r="Z262" s="207">
        <v>98</v>
      </c>
      <c r="AA262" s="207">
        <v>15</v>
      </c>
      <c r="AB262" s="207">
        <v>21123</v>
      </c>
      <c r="AC262" s="207">
        <v>639</v>
      </c>
      <c r="AD262" s="207">
        <v>4944</v>
      </c>
      <c r="AE262" s="480">
        <v>0.9662626561647119</v>
      </c>
      <c r="AF262" s="207">
        <v>24899380.82104442</v>
      </c>
      <c r="AG262" s="175">
        <v>1070</v>
      </c>
      <c r="AH262" s="175">
        <v>10091</v>
      </c>
      <c r="AI262" s="175">
        <v>1.0868605125106259</v>
      </c>
      <c r="AJ262" s="175">
        <v>639</v>
      </c>
      <c r="AK262" s="175">
        <v>0.029211428571428572</v>
      </c>
      <c r="AL262" s="175">
        <v>0.025930349460965577</v>
      </c>
      <c r="AM262" s="175">
        <v>0</v>
      </c>
      <c r="AN262" s="175">
        <v>98</v>
      </c>
      <c r="AO262" s="175">
        <v>15</v>
      </c>
      <c r="AP262" s="175">
        <v>0</v>
      </c>
      <c r="AQ262" s="175">
        <v>0</v>
      </c>
      <c r="AR262" s="175">
        <v>1188.78</v>
      </c>
      <c r="AS262" s="175">
        <v>18.401218055485455</v>
      </c>
      <c r="AT262" s="175">
        <v>0.9863761239165607</v>
      </c>
      <c r="AU262" s="175">
        <v>707</v>
      </c>
      <c r="AV262" s="175">
        <v>6180</v>
      </c>
      <c r="AW262" s="175">
        <v>0.11440129449838188</v>
      </c>
      <c r="AX262" s="175">
        <v>0.05894006076889687</v>
      </c>
      <c r="AY262" s="175">
        <v>0.03768333333333333</v>
      </c>
      <c r="AZ262" s="207">
        <v>8689</v>
      </c>
      <c r="BA262" s="175">
        <v>8539</v>
      </c>
      <c r="BB262" s="175">
        <v>1.0175664597728071</v>
      </c>
      <c r="BC262" s="175">
        <v>0.6278716123490953</v>
      </c>
      <c r="BD262" s="175">
        <v>0</v>
      </c>
      <c r="BE262" s="175">
        <v>15</v>
      </c>
      <c r="BF262" s="207">
        <v>-138365.68</v>
      </c>
      <c r="BG262" s="207">
        <v>-169284.16</v>
      </c>
      <c r="BH262" s="207">
        <v>-89687.49999999999</v>
      </c>
      <c r="BI262" s="207">
        <v>-366197.6</v>
      </c>
      <c r="BJ262" s="207">
        <v>0</v>
      </c>
      <c r="BK262" s="207">
        <v>0</v>
      </c>
      <c r="BL262" s="207">
        <v>-14349</v>
      </c>
      <c r="BM262" s="207">
        <v>-655660.6552605086</v>
      </c>
      <c r="BN262" s="207">
        <v>-931000</v>
      </c>
      <c r="BO262" s="207">
        <v>-580763.6914084479</v>
      </c>
      <c r="BP262" s="207">
        <v>1689783</v>
      </c>
      <c r="BQ262" s="207">
        <v>512361</v>
      </c>
      <c r="BR262" s="207">
        <v>1252194.124183459</v>
      </c>
      <c r="BS262" s="207">
        <v>40707.48580701725</v>
      </c>
      <c r="BT262" s="207">
        <v>63350.42689183841</v>
      </c>
      <c r="BU262" s="207">
        <v>564846.7675050591</v>
      </c>
      <c r="BV262" s="207">
        <v>986831.8784667774</v>
      </c>
      <c r="BW262" s="207">
        <v>1548331.791137923</v>
      </c>
      <c r="BX262" s="207">
        <v>440767.03542465175</v>
      </c>
      <c r="BY262" s="207">
        <v>832994.803787737</v>
      </c>
      <c r="BZ262" s="207">
        <v>1968.75</v>
      </c>
      <c r="CA262" s="207">
        <v>188538.65800846156</v>
      </c>
      <c r="CB262" s="207">
        <v>-404605.28339998634</v>
      </c>
      <c r="CC262" s="207">
        <v>-3425488.3786604945</v>
      </c>
      <c r="CD262" s="207">
        <v>0</v>
      </c>
      <c r="CE262" s="207">
        <v>1076653.2994578972</v>
      </c>
      <c r="CF262" s="207">
        <v>0</v>
      </c>
      <c r="CG262" s="207">
        <v>8333585.212522967</v>
      </c>
      <c r="CH262" s="207">
        <v>-361529</v>
      </c>
      <c r="CI262" s="207">
        <v>354793.482</v>
      </c>
      <c r="CJ262" s="207">
        <v>219156.34164</v>
      </c>
      <c r="CK262" s="207">
        <v>135637.14036000002</v>
      </c>
      <c r="CL262" s="207">
        <v>32642654.781742573</v>
      </c>
      <c r="CM262" s="207">
        <v>37475776.993826725</v>
      </c>
      <c r="CN262" s="207">
        <v>21928</v>
      </c>
    </row>
    <row r="263" spans="1:92" ht="9.75">
      <c r="A263" s="207">
        <v>853</v>
      </c>
      <c r="B263" s="207" t="s">
        <v>319</v>
      </c>
      <c r="C263" s="207">
        <v>191331</v>
      </c>
      <c r="D263" s="207">
        <v>595616587.82</v>
      </c>
      <c r="E263" s="207">
        <v>208033575.32833892</v>
      </c>
      <c r="F263" s="207">
        <v>77991856.01332049</v>
      </c>
      <c r="G263" s="207">
        <v>881642019.1616595</v>
      </c>
      <c r="H263" s="207">
        <v>3654.72</v>
      </c>
      <c r="I263" s="207">
        <v>699261232.3199999</v>
      </c>
      <c r="J263" s="207">
        <v>182380786.84165955</v>
      </c>
      <c r="K263" s="207">
        <v>10484198.61975737</v>
      </c>
      <c r="L263" s="207">
        <v>-37925819.19089901</v>
      </c>
      <c r="M263" s="207">
        <v>0</v>
      </c>
      <c r="N263" s="207">
        <v>154939166.2705179</v>
      </c>
      <c r="O263" s="207">
        <v>-715643.6573476113</v>
      </c>
      <c r="P263" s="207">
        <v>154223522.61317027</v>
      </c>
      <c r="Q263" s="207">
        <v>10244</v>
      </c>
      <c r="R263" s="207">
        <v>1655</v>
      </c>
      <c r="S263" s="207">
        <v>9621</v>
      </c>
      <c r="T263" s="207">
        <v>4465</v>
      </c>
      <c r="U263" s="207">
        <v>4881</v>
      </c>
      <c r="V263" s="207">
        <v>121060</v>
      </c>
      <c r="W263" s="207">
        <v>22019</v>
      </c>
      <c r="X263" s="207">
        <v>11856</v>
      </c>
      <c r="Y263" s="207">
        <v>5530</v>
      </c>
      <c r="Z263" s="207">
        <v>10406</v>
      </c>
      <c r="AA263" s="207">
        <v>13</v>
      </c>
      <c r="AB263" s="207">
        <v>159018</v>
      </c>
      <c r="AC263" s="207">
        <v>21894</v>
      </c>
      <c r="AD263" s="207">
        <v>39405</v>
      </c>
      <c r="AE263" s="480">
        <v>0.9230023382546128</v>
      </c>
      <c r="AF263" s="207">
        <v>208033575.32833892</v>
      </c>
      <c r="AG263" s="175">
        <v>11513</v>
      </c>
      <c r="AH263" s="175">
        <v>93487</v>
      </c>
      <c r="AI263" s="175">
        <v>1.2622969127665913</v>
      </c>
      <c r="AJ263" s="175">
        <v>21894</v>
      </c>
      <c r="AK263" s="175">
        <v>0.11442996691597285</v>
      </c>
      <c r="AL263" s="175">
        <v>0.11114888780550986</v>
      </c>
      <c r="AM263" s="175">
        <v>1</v>
      </c>
      <c r="AN263" s="175">
        <v>10406</v>
      </c>
      <c r="AO263" s="175">
        <v>13</v>
      </c>
      <c r="AP263" s="175">
        <v>0</v>
      </c>
      <c r="AQ263" s="175">
        <v>0</v>
      </c>
      <c r="AR263" s="175">
        <v>245.66</v>
      </c>
      <c r="AS263" s="175">
        <v>778.8447447691932</v>
      </c>
      <c r="AT263" s="175">
        <v>0.02330441626885727</v>
      </c>
      <c r="AU263" s="175">
        <v>8618</v>
      </c>
      <c r="AV263" s="175">
        <v>58968</v>
      </c>
      <c r="AW263" s="175">
        <v>0.14614706281372947</v>
      </c>
      <c r="AX263" s="175">
        <v>0.09068582908424447</v>
      </c>
      <c r="AY263" s="175">
        <v>0</v>
      </c>
      <c r="AZ263" s="207">
        <v>100128</v>
      </c>
      <c r="BA263" s="175">
        <v>81618</v>
      </c>
      <c r="BB263" s="175">
        <v>1.2267882084834227</v>
      </c>
      <c r="BC263" s="175">
        <v>0.8370933610597109</v>
      </c>
      <c r="BD263" s="175">
        <v>0</v>
      </c>
      <c r="BE263" s="175">
        <v>13</v>
      </c>
      <c r="BF263" s="207">
        <v>-1196811.39</v>
      </c>
      <c r="BG263" s="207">
        <v>-1464244.68</v>
      </c>
      <c r="BH263" s="207">
        <v>-784457.1</v>
      </c>
      <c r="BI263" s="207">
        <v>-3167472.3</v>
      </c>
      <c r="BJ263" s="207">
        <v>0</v>
      </c>
      <c r="BK263" s="207">
        <v>0</v>
      </c>
      <c r="BL263" s="207">
        <v>491739</v>
      </c>
      <c r="BM263" s="207">
        <v>-18509251.986294605</v>
      </c>
      <c r="BN263" s="207">
        <v>-8143047.36</v>
      </c>
      <c r="BO263" s="207">
        <v>497689.7856930196</v>
      </c>
      <c r="BP263" s="207">
        <v>12023956</v>
      </c>
      <c r="BQ263" s="207">
        <v>4740530</v>
      </c>
      <c r="BR263" s="207">
        <v>11427222.350982357</v>
      </c>
      <c r="BS263" s="207">
        <v>564913.7235415687</v>
      </c>
      <c r="BT263" s="207">
        <v>366930.12714489934</v>
      </c>
      <c r="BU263" s="207">
        <v>4587595.647429567</v>
      </c>
      <c r="BV263" s="207">
        <v>9653934.222865572</v>
      </c>
      <c r="BW263" s="207">
        <v>13341231.3378736</v>
      </c>
      <c r="BX263" s="207">
        <v>5854496.715964283</v>
      </c>
      <c r="BY263" s="207">
        <v>9081982.03379936</v>
      </c>
      <c r="BZ263" s="207">
        <v>17219.79</v>
      </c>
      <c r="CA263" s="207">
        <v>199025.50970257632</v>
      </c>
      <c r="CB263" s="207">
        <v>1205674.085395596</v>
      </c>
      <c r="CC263" s="207">
        <v>-37925819.19089901</v>
      </c>
      <c r="CD263" s="207">
        <v>0</v>
      </c>
      <c r="CE263" s="207">
        <v>11413161.413686223</v>
      </c>
      <c r="CF263" s="207">
        <v>0</v>
      </c>
      <c r="CG263" s="207">
        <v>-715643.6573476113</v>
      </c>
      <c r="CH263" s="207">
        <v>41171266</v>
      </c>
      <c r="CI263" s="207">
        <v>6134392.897400001</v>
      </c>
      <c r="CJ263" s="207">
        <v>8906802.180865996</v>
      </c>
      <c r="CK263" s="207">
        <v>-2772409.2834659945</v>
      </c>
      <c r="CL263" s="207">
        <v>195394788.61317027</v>
      </c>
      <c r="CM263" s="207">
        <v>251747368.61183807</v>
      </c>
      <c r="CN263" s="207">
        <v>189669</v>
      </c>
    </row>
    <row r="264" spans="1:92" ht="9.75">
      <c r="A264" s="207">
        <v>857</v>
      </c>
      <c r="B264" s="207" t="s">
        <v>320</v>
      </c>
      <c r="C264" s="207">
        <v>2551</v>
      </c>
      <c r="D264" s="207">
        <v>8868369.15</v>
      </c>
      <c r="E264" s="207">
        <v>5400447.636816006</v>
      </c>
      <c r="F264" s="207">
        <v>920394.0537260425</v>
      </c>
      <c r="G264" s="207">
        <v>15189210.840542048</v>
      </c>
      <c r="H264" s="207">
        <v>3654.72</v>
      </c>
      <c r="I264" s="207">
        <v>9323190.719999999</v>
      </c>
      <c r="J264" s="207">
        <v>5866020.120542049</v>
      </c>
      <c r="K264" s="207">
        <v>250012.47693251603</v>
      </c>
      <c r="L264" s="207">
        <v>-287045.80365417805</v>
      </c>
      <c r="M264" s="207">
        <v>0</v>
      </c>
      <c r="N264" s="207">
        <v>5828986.793820388</v>
      </c>
      <c r="O264" s="207">
        <v>2569916.51098967</v>
      </c>
      <c r="P264" s="207">
        <v>8398903.304810058</v>
      </c>
      <c r="Q264" s="207">
        <v>82</v>
      </c>
      <c r="R264" s="207">
        <v>22</v>
      </c>
      <c r="S264" s="207">
        <v>115</v>
      </c>
      <c r="T264" s="207">
        <v>69</v>
      </c>
      <c r="U264" s="207">
        <v>69</v>
      </c>
      <c r="V264" s="207">
        <v>1315</v>
      </c>
      <c r="W264" s="207">
        <v>501</v>
      </c>
      <c r="X264" s="207">
        <v>274</v>
      </c>
      <c r="Y264" s="207">
        <v>104</v>
      </c>
      <c r="Z264" s="207">
        <v>2</v>
      </c>
      <c r="AA264" s="207">
        <v>1</v>
      </c>
      <c r="AB264" s="207">
        <v>2505</v>
      </c>
      <c r="AC264" s="207">
        <v>43</v>
      </c>
      <c r="AD264" s="207">
        <v>879</v>
      </c>
      <c r="AE264" s="480">
        <v>1.797107308634254</v>
      </c>
      <c r="AF264" s="207">
        <v>5400447.636816006</v>
      </c>
      <c r="AG264" s="175">
        <v>138</v>
      </c>
      <c r="AH264" s="175">
        <v>986</v>
      </c>
      <c r="AI264" s="175">
        <v>1.4345854122014485</v>
      </c>
      <c r="AJ264" s="175">
        <v>43</v>
      </c>
      <c r="AK264" s="175">
        <v>0.01685613484907879</v>
      </c>
      <c r="AL264" s="175">
        <v>0.013575055738615796</v>
      </c>
      <c r="AM264" s="175">
        <v>0</v>
      </c>
      <c r="AN264" s="175">
        <v>2</v>
      </c>
      <c r="AO264" s="175">
        <v>1</v>
      </c>
      <c r="AP264" s="175">
        <v>0</v>
      </c>
      <c r="AQ264" s="175">
        <v>0</v>
      </c>
      <c r="AR264" s="175">
        <v>543.18</v>
      </c>
      <c r="AS264" s="175">
        <v>4.696417393865754</v>
      </c>
      <c r="AT264" s="175">
        <v>3.8647591597417557</v>
      </c>
      <c r="AU264" s="175">
        <v>108</v>
      </c>
      <c r="AV264" s="175">
        <v>617</v>
      </c>
      <c r="AW264" s="175">
        <v>0.17504051863857376</v>
      </c>
      <c r="AX264" s="175">
        <v>0.11957928490908876</v>
      </c>
      <c r="AY264" s="175">
        <v>0.34726666666666667</v>
      </c>
      <c r="AZ264" s="207">
        <v>626</v>
      </c>
      <c r="BA264" s="175">
        <v>843</v>
      </c>
      <c r="BB264" s="175">
        <v>0.7425860023724793</v>
      </c>
      <c r="BC264" s="175">
        <v>0.35289115494876744</v>
      </c>
      <c r="BD264" s="175">
        <v>0</v>
      </c>
      <c r="BE264" s="175">
        <v>1</v>
      </c>
      <c r="BF264" s="207">
        <v>-16387.07</v>
      </c>
      <c r="BG264" s="207">
        <v>-20048.84</v>
      </c>
      <c r="BH264" s="207">
        <v>-10459.099999999999</v>
      </c>
      <c r="BI264" s="207">
        <v>-43369.9</v>
      </c>
      <c r="BJ264" s="207">
        <v>0</v>
      </c>
      <c r="BK264" s="207">
        <v>0</v>
      </c>
      <c r="BL264" s="207">
        <v>106862</v>
      </c>
      <c r="BM264" s="207">
        <v>-131678.7562897487</v>
      </c>
      <c r="BN264" s="207">
        <v>-108570.56000000001</v>
      </c>
      <c r="BO264" s="207">
        <v>24017.81958437711</v>
      </c>
      <c r="BP264" s="207">
        <v>300356</v>
      </c>
      <c r="BQ264" s="207">
        <v>87021</v>
      </c>
      <c r="BR264" s="207">
        <v>228750.0569633556</v>
      </c>
      <c r="BS264" s="207">
        <v>10969.57630153163</v>
      </c>
      <c r="BT264" s="207">
        <v>17385.613345586495</v>
      </c>
      <c r="BU264" s="207">
        <v>111786.84419278541</v>
      </c>
      <c r="BV264" s="207">
        <v>148155.05428529167</v>
      </c>
      <c r="BW264" s="207">
        <v>234119.64364674693</v>
      </c>
      <c r="BX264" s="207">
        <v>62099.270575895694</v>
      </c>
      <c r="BY264" s="207">
        <v>126183.83449558614</v>
      </c>
      <c r="BZ264" s="207">
        <v>229.59</v>
      </c>
      <c r="CA264" s="207">
        <v>-9427.326948806465</v>
      </c>
      <c r="CB264" s="207">
        <v>121682.08263557064</v>
      </c>
      <c r="CC264" s="207">
        <v>-287045.80365417805</v>
      </c>
      <c r="CD264" s="207">
        <v>0</v>
      </c>
      <c r="CE264" s="207">
        <v>179387.14097000952</v>
      </c>
      <c r="CF264" s="207">
        <v>0</v>
      </c>
      <c r="CG264" s="207">
        <v>2569916.51098967</v>
      </c>
      <c r="CH264" s="207">
        <v>-27843</v>
      </c>
      <c r="CI264" s="207">
        <v>932522.3320000002</v>
      </c>
      <c r="CJ264" s="207">
        <v>83532.79490000001</v>
      </c>
      <c r="CK264" s="207">
        <v>848989.5371000002</v>
      </c>
      <c r="CL264" s="207">
        <v>8371060.304810058</v>
      </c>
      <c r="CM264" s="207">
        <v>9555310.559671406</v>
      </c>
      <c r="CN264" s="207">
        <v>2597</v>
      </c>
    </row>
    <row r="265" spans="1:92" ht="9.75">
      <c r="A265" s="207">
        <v>858</v>
      </c>
      <c r="B265" s="207" t="s">
        <v>321</v>
      </c>
      <c r="C265" s="207">
        <v>38664</v>
      </c>
      <c r="D265" s="207">
        <v>132304089.37</v>
      </c>
      <c r="E265" s="207">
        <v>37063146.82547371</v>
      </c>
      <c r="F265" s="207">
        <v>7552160.413738565</v>
      </c>
      <c r="G265" s="207">
        <v>176919396.6092123</v>
      </c>
      <c r="H265" s="207">
        <v>3654.72</v>
      </c>
      <c r="I265" s="207">
        <v>141306094.07999998</v>
      </c>
      <c r="J265" s="207">
        <v>35613302.529212326</v>
      </c>
      <c r="K265" s="207">
        <v>989810.9021146107</v>
      </c>
      <c r="L265" s="207">
        <v>-6639280.849770756</v>
      </c>
      <c r="M265" s="207">
        <v>0</v>
      </c>
      <c r="N265" s="207">
        <v>29963832.58155618</v>
      </c>
      <c r="O265" s="207">
        <v>-9744577.188291524</v>
      </c>
      <c r="P265" s="207">
        <v>20219255.393264655</v>
      </c>
      <c r="Q265" s="207">
        <v>2317</v>
      </c>
      <c r="R265" s="207">
        <v>509</v>
      </c>
      <c r="S265" s="207">
        <v>3333</v>
      </c>
      <c r="T265" s="207">
        <v>1738</v>
      </c>
      <c r="U265" s="207">
        <v>1646</v>
      </c>
      <c r="V265" s="207">
        <v>22365</v>
      </c>
      <c r="W265" s="207">
        <v>4287</v>
      </c>
      <c r="X265" s="207">
        <v>1893</v>
      </c>
      <c r="Y265" s="207">
        <v>576</v>
      </c>
      <c r="Z265" s="207">
        <v>592</v>
      </c>
      <c r="AA265" s="207">
        <v>3</v>
      </c>
      <c r="AB265" s="207">
        <v>36034</v>
      </c>
      <c r="AC265" s="207">
        <v>2035</v>
      </c>
      <c r="AD265" s="207">
        <v>6756</v>
      </c>
      <c r="AE265" s="480">
        <v>0.8137485308425721</v>
      </c>
      <c r="AF265" s="207">
        <v>37063146.82547371</v>
      </c>
      <c r="AG265" s="175">
        <v>1225</v>
      </c>
      <c r="AH265" s="175">
        <v>19652</v>
      </c>
      <c r="AI265" s="175">
        <v>0.6389304293723541</v>
      </c>
      <c r="AJ265" s="175">
        <v>2035</v>
      </c>
      <c r="AK265" s="175">
        <v>0.05263294020277261</v>
      </c>
      <c r="AL265" s="175">
        <v>0.04935186109230961</v>
      </c>
      <c r="AM265" s="175">
        <v>0</v>
      </c>
      <c r="AN265" s="175">
        <v>592</v>
      </c>
      <c r="AO265" s="175">
        <v>3</v>
      </c>
      <c r="AP265" s="175">
        <v>0</v>
      </c>
      <c r="AQ265" s="175">
        <v>0</v>
      </c>
      <c r="AR265" s="175">
        <v>219.5</v>
      </c>
      <c r="AS265" s="175">
        <v>176.14578587699316</v>
      </c>
      <c r="AT265" s="175">
        <v>0.10304261354051422</v>
      </c>
      <c r="AU265" s="175">
        <v>1956</v>
      </c>
      <c r="AV265" s="175">
        <v>13819</v>
      </c>
      <c r="AW265" s="175">
        <v>0.14154425066936827</v>
      </c>
      <c r="AX265" s="175">
        <v>0.08608301693988327</v>
      </c>
      <c r="AY265" s="175">
        <v>0</v>
      </c>
      <c r="AZ265" s="207">
        <v>14225</v>
      </c>
      <c r="BA265" s="175">
        <v>18219</v>
      </c>
      <c r="BB265" s="175">
        <v>0.780778308359405</v>
      </c>
      <c r="BC265" s="175">
        <v>0.39108346093569313</v>
      </c>
      <c r="BD265" s="175">
        <v>0</v>
      </c>
      <c r="BE265" s="175">
        <v>3</v>
      </c>
      <c r="BF265" s="207">
        <v>-243856.25999999998</v>
      </c>
      <c r="BG265" s="207">
        <v>-298347.12</v>
      </c>
      <c r="BH265" s="207">
        <v>-158522.4</v>
      </c>
      <c r="BI265" s="207">
        <v>-645388.2</v>
      </c>
      <c r="BJ265" s="207">
        <v>0</v>
      </c>
      <c r="BK265" s="207">
        <v>0</v>
      </c>
      <c r="BL265" s="207">
        <v>-232623</v>
      </c>
      <c r="BM265" s="207">
        <v>-1450291.2123895036</v>
      </c>
      <c r="BN265" s="207">
        <v>-1645539.84</v>
      </c>
      <c r="BO265" s="207">
        <v>-666280.6096984223</v>
      </c>
      <c r="BP265" s="207">
        <v>2156396</v>
      </c>
      <c r="BQ265" s="207">
        <v>706861</v>
      </c>
      <c r="BR265" s="207">
        <v>1272093.3355424232</v>
      </c>
      <c r="BS265" s="207">
        <v>-2336.5735773642828</v>
      </c>
      <c r="BT265" s="207">
        <v>-229590.6980856142</v>
      </c>
      <c r="BU265" s="207">
        <v>469797.265750496</v>
      </c>
      <c r="BV265" s="207">
        <v>1509083.9554884597</v>
      </c>
      <c r="BW265" s="207">
        <v>2468625.2045464953</v>
      </c>
      <c r="BX265" s="207">
        <v>720069.4034586762</v>
      </c>
      <c r="BY265" s="207">
        <v>1223552.7957060828</v>
      </c>
      <c r="BZ265" s="207">
        <v>3479.7599999999998</v>
      </c>
      <c r="CA265" s="207">
        <v>-116473.72768283144</v>
      </c>
      <c r="CB265" s="207">
        <v>-1011897.5773812537</v>
      </c>
      <c r="CC265" s="207">
        <v>-6639280.849770756</v>
      </c>
      <c r="CD265" s="207">
        <v>0</v>
      </c>
      <c r="CE265" s="207">
        <v>1381577.1134986852</v>
      </c>
      <c r="CF265" s="207">
        <v>0</v>
      </c>
      <c r="CG265" s="207">
        <v>-9744577.188291524</v>
      </c>
      <c r="CH265" s="207">
        <v>-3244186</v>
      </c>
      <c r="CI265" s="207">
        <v>2664009.6794999996</v>
      </c>
      <c r="CJ265" s="207">
        <v>1648235.940534</v>
      </c>
      <c r="CK265" s="207">
        <v>1015773.7389659996</v>
      </c>
      <c r="CL265" s="207">
        <v>16975069.393264655</v>
      </c>
      <c r="CM265" s="207">
        <v>23555208.442711435</v>
      </c>
      <c r="CN265" s="207">
        <v>38646</v>
      </c>
    </row>
    <row r="266" spans="1:92" ht="9.75">
      <c r="A266" s="207">
        <v>859</v>
      </c>
      <c r="B266" s="207" t="s">
        <v>322</v>
      </c>
      <c r="C266" s="207">
        <v>6758</v>
      </c>
      <c r="D266" s="207">
        <v>29310852.110000003</v>
      </c>
      <c r="E266" s="207">
        <v>6523523.411397908</v>
      </c>
      <c r="F266" s="207">
        <v>991934.9960235489</v>
      </c>
      <c r="G266" s="207">
        <v>36826310.51742146</v>
      </c>
      <c r="H266" s="207">
        <v>3654.72</v>
      </c>
      <c r="I266" s="207">
        <v>24698597.759999998</v>
      </c>
      <c r="J266" s="207">
        <v>12127712.757421464</v>
      </c>
      <c r="K266" s="207">
        <v>76313.86362590962</v>
      </c>
      <c r="L266" s="207">
        <v>-836115.0166557406</v>
      </c>
      <c r="M266" s="207">
        <v>0</v>
      </c>
      <c r="N266" s="207">
        <v>11367911.604391633</v>
      </c>
      <c r="O266" s="207">
        <v>6966137.111284618</v>
      </c>
      <c r="P266" s="207">
        <v>18334048.71567625</v>
      </c>
      <c r="Q266" s="207">
        <v>753</v>
      </c>
      <c r="R266" s="207">
        <v>168</v>
      </c>
      <c r="S266" s="207">
        <v>956</v>
      </c>
      <c r="T266" s="207">
        <v>378</v>
      </c>
      <c r="U266" s="207">
        <v>326</v>
      </c>
      <c r="V266" s="207">
        <v>3322</v>
      </c>
      <c r="W266" s="207">
        <v>491</v>
      </c>
      <c r="X266" s="207">
        <v>259</v>
      </c>
      <c r="Y266" s="207">
        <v>105</v>
      </c>
      <c r="Z266" s="207">
        <v>23</v>
      </c>
      <c r="AA266" s="207">
        <v>1</v>
      </c>
      <c r="AB266" s="207">
        <v>6693</v>
      </c>
      <c r="AC266" s="207">
        <v>41</v>
      </c>
      <c r="AD266" s="207">
        <v>855</v>
      </c>
      <c r="AE266" s="480">
        <v>0.8194429957374179</v>
      </c>
      <c r="AF266" s="207">
        <v>6523523.411397908</v>
      </c>
      <c r="AG266" s="175">
        <v>241</v>
      </c>
      <c r="AH266" s="175">
        <v>2853</v>
      </c>
      <c r="AI266" s="175">
        <v>0.8658437169107052</v>
      </c>
      <c r="AJ266" s="175">
        <v>41</v>
      </c>
      <c r="AK266" s="175">
        <v>0.006066883693400415</v>
      </c>
      <c r="AL266" s="175">
        <v>0.002785804582937418</v>
      </c>
      <c r="AM266" s="175">
        <v>0</v>
      </c>
      <c r="AN266" s="175">
        <v>23</v>
      </c>
      <c r="AO266" s="175">
        <v>1</v>
      </c>
      <c r="AP266" s="175">
        <v>0</v>
      </c>
      <c r="AQ266" s="175">
        <v>0</v>
      </c>
      <c r="AR266" s="175">
        <v>491.81</v>
      </c>
      <c r="AS266" s="175">
        <v>13.741078871922083</v>
      </c>
      <c r="AT266" s="175">
        <v>1.3208949828532863</v>
      </c>
      <c r="AU266" s="175">
        <v>160</v>
      </c>
      <c r="AV266" s="175">
        <v>2039</v>
      </c>
      <c r="AW266" s="175">
        <v>0.0784698381559588</v>
      </c>
      <c r="AX266" s="175">
        <v>0.023008604426473796</v>
      </c>
      <c r="AY266" s="175">
        <v>0</v>
      </c>
      <c r="AZ266" s="207">
        <v>1419</v>
      </c>
      <c r="BA266" s="175">
        <v>2524</v>
      </c>
      <c r="BB266" s="175">
        <v>0.562202852614897</v>
      </c>
      <c r="BC266" s="175">
        <v>0.17250800519118514</v>
      </c>
      <c r="BD266" s="175">
        <v>0</v>
      </c>
      <c r="BE266" s="175">
        <v>1</v>
      </c>
      <c r="BF266" s="207">
        <v>-42466.299999999996</v>
      </c>
      <c r="BG266" s="207">
        <v>-51955.6</v>
      </c>
      <c r="BH266" s="207">
        <v>-27707.8</v>
      </c>
      <c r="BI266" s="207">
        <v>-112391</v>
      </c>
      <c r="BJ266" s="207">
        <v>0</v>
      </c>
      <c r="BK266" s="207">
        <v>0</v>
      </c>
      <c r="BL266" s="207">
        <v>-10589</v>
      </c>
      <c r="BM266" s="207">
        <v>-115701.38723360389</v>
      </c>
      <c r="BN266" s="207">
        <v>-287620.48000000004</v>
      </c>
      <c r="BO266" s="207">
        <v>-6601.024326741695</v>
      </c>
      <c r="BP266" s="207">
        <v>489868</v>
      </c>
      <c r="BQ266" s="207">
        <v>141649</v>
      </c>
      <c r="BR266" s="207">
        <v>325883.5747392184</v>
      </c>
      <c r="BS266" s="207">
        <v>7037.667965960214</v>
      </c>
      <c r="BT266" s="207">
        <v>-6387.871083132727</v>
      </c>
      <c r="BU266" s="207">
        <v>174419.49186866794</v>
      </c>
      <c r="BV266" s="207">
        <v>324994.10975018487</v>
      </c>
      <c r="BW266" s="207">
        <v>462236.31468592345</v>
      </c>
      <c r="BX266" s="207">
        <v>96271.69736819995</v>
      </c>
      <c r="BY266" s="207">
        <v>248500.20910079058</v>
      </c>
      <c r="BZ266" s="207">
        <v>608.22</v>
      </c>
      <c r="CA266" s="207">
        <v>25509.634904605024</v>
      </c>
      <c r="CB266" s="207">
        <v>8927.83057786333</v>
      </c>
      <c r="CC266" s="207">
        <v>-836115.0166557406</v>
      </c>
      <c r="CD266" s="207">
        <v>0</v>
      </c>
      <c r="CE266" s="207">
        <v>336167.9636952991</v>
      </c>
      <c r="CF266" s="207">
        <v>0</v>
      </c>
      <c r="CG266" s="207">
        <v>6966137.111284618</v>
      </c>
      <c r="CH266" s="207">
        <v>-1039300</v>
      </c>
      <c r="CI266" s="207">
        <v>220420.54830000002</v>
      </c>
      <c r="CJ266" s="207">
        <v>146348.91292</v>
      </c>
      <c r="CK266" s="207">
        <v>74071.63538000002</v>
      </c>
      <c r="CL266" s="207">
        <v>17294748.71567625</v>
      </c>
      <c r="CM266" s="207">
        <v>18511205.080193818</v>
      </c>
      <c r="CN266" s="207">
        <v>6730</v>
      </c>
    </row>
    <row r="267" spans="1:92" ht="9.75">
      <c r="A267" s="207">
        <v>886</v>
      </c>
      <c r="B267" s="207" t="s">
        <v>323</v>
      </c>
      <c r="C267" s="207">
        <v>13021</v>
      </c>
      <c r="D267" s="207">
        <v>46793687.87</v>
      </c>
      <c r="E267" s="207">
        <v>14040906.980081126</v>
      </c>
      <c r="F267" s="207">
        <v>1884511.5384495307</v>
      </c>
      <c r="G267" s="207">
        <v>62719106.38853066</v>
      </c>
      <c r="H267" s="207">
        <v>3654.72</v>
      </c>
      <c r="I267" s="207">
        <v>47588109.12</v>
      </c>
      <c r="J267" s="207">
        <v>15130997.26853066</v>
      </c>
      <c r="K267" s="207">
        <v>254336.09967046653</v>
      </c>
      <c r="L267" s="207">
        <v>-1577151.2848946315</v>
      </c>
      <c r="M267" s="207">
        <v>0</v>
      </c>
      <c r="N267" s="207">
        <v>13808182.083306493</v>
      </c>
      <c r="O267" s="207">
        <v>4248105.064304706</v>
      </c>
      <c r="P267" s="207">
        <v>18056287.1476112</v>
      </c>
      <c r="Q267" s="207">
        <v>787</v>
      </c>
      <c r="R267" s="207">
        <v>155</v>
      </c>
      <c r="S267" s="207">
        <v>963</v>
      </c>
      <c r="T267" s="207">
        <v>469</v>
      </c>
      <c r="U267" s="207">
        <v>458</v>
      </c>
      <c r="V267" s="207">
        <v>6843</v>
      </c>
      <c r="W267" s="207">
        <v>1934</v>
      </c>
      <c r="X267" s="207">
        <v>1081</v>
      </c>
      <c r="Y267" s="207">
        <v>331</v>
      </c>
      <c r="Z267" s="207">
        <v>35</v>
      </c>
      <c r="AA267" s="207">
        <v>1</v>
      </c>
      <c r="AB267" s="207">
        <v>12772</v>
      </c>
      <c r="AC267" s="207">
        <v>213</v>
      </c>
      <c r="AD267" s="207">
        <v>3346</v>
      </c>
      <c r="AE267" s="480">
        <v>0.9153886701814142</v>
      </c>
      <c r="AF267" s="207">
        <v>14040906.980081126</v>
      </c>
      <c r="AG267" s="175">
        <v>531</v>
      </c>
      <c r="AH267" s="175">
        <v>6000</v>
      </c>
      <c r="AI267" s="175">
        <v>0.9071257801022506</v>
      </c>
      <c r="AJ267" s="175">
        <v>213</v>
      </c>
      <c r="AK267" s="175">
        <v>0.016358190615160126</v>
      </c>
      <c r="AL267" s="175">
        <v>0.01307711150469713</v>
      </c>
      <c r="AM267" s="175">
        <v>0</v>
      </c>
      <c r="AN267" s="175">
        <v>35</v>
      </c>
      <c r="AO267" s="175">
        <v>1</v>
      </c>
      <c r="AP267" s="175">
        <v>0</v>
      </c>
      <c r="AQ267" s="175">
        <v>0</v>
      </c>
      <c r="AR267" s="175">
        <v>400.65</v>
      </c>
      <c r="AS267" s="175">
        <v>32.49968800698865</v>
      </c>
      <c r="AT267" s="175">
        <v>0.5584829656521667</v>
      </c>
      <c r="AU267" s="175">
        <v>347</v>
      </c>
      <c r="AV267" s="175">
        <v>3910</v>
      </c>
      <c r="AW267" s="175">
        <v>0.0887468030690537</v>
      </c>
      <c r="AX267" s="175">
        <v>0.0332855693395687</v>
      </c>
      <c r="AY267" s="175">
        <v>0</v>
      </c>
      <c r="AZ267" s="207">
        <v>3662</v>
      </c>
      <c r="BA267" s="175">
        <v>5322</v>
      </c>
      <c r="BB267" s="175">
        <v>0.6880871852686959</v>
      </c>
      <c r="BC267" s="175">
        <v>0.2983923378449841</v>
      </c>
      <c r="BD267" s="175">
        <v>0</v>
      </c>
      <c r="BE267" s="175">
        <v>1</v>
      </c>
      <c r="BF267" s="207">
        <v>-83525.47</v>
      </c>
      <c r="BG267" s="207">
        <v>-102189.64</v>
      </c>
      <c r="BH267" s="207">
        <v>-53386.1</v>
      </c>
      <c r="BI267" s="207">
        <v>-221057.9</v>
      </c>
      <c r="BJ267" s="207">
        <v>0</v>
      </c>
      <c r="BK267" s="207">
        <v>0</v>
      </c>
      <c r="BL267" s="207">
        <v>74126</v>
      </c>
      <c r="BM267" s="207">
        <v>-293513.88279656944</v>
      </c>
      <c r="BN267" s="207">
        <v>-554173.76</v>
      </c>
      <c r="BO267" s="207">
        <v>-4173.156892091036</v>
      </c>
      <c r="BP267" s="207">
        <v>922593</v>
      </c>
      <c r="BQ267" s="207">
        <v>300996</v>
      </c>
      <c r="BR267" s="207">
        <v>649118.2912190023</v>
      </c>
      <c r="BS267" s="207">
        <v>22538.759750654543</v>
      </c>
      <c r="BT267" s="207">
        <v>21797.099511807362</v>
      </c>
      <c r="BU267" s="207">
        <v>348972.57152508094</v>
      </c>
      <c r="BV267" s="207">
        <v>597647.8459807622</v>
      </c>
      <c r="BW267" s="207">
        <v>1026851.5923281434</v>
      </c>
      <c r="BX267" s="207">
        <v>254610.187741525</v>
      </c>
      <c r="BY267" s="207">
        <v>505369.26222574525</v>
      </c>
      <c r="BZ267" s="207">
        <v>1171.8899999999999</v>
      </c>
      <c r="CA267" s="207">
        <v>58794.594794029035</v>
      </c>
      <c r="CB267" s="207">
        <v>129919.327901938</v>
      </c>
      <c r="CC267" s="207">
        <v>-1577151.2848946315</v>
      </c>
      <c r="CD267" s="207">
        <v>0</v>
      </c>
      <c r="CE267" s="207">
        <v>649038.9705319596</v>
      </c>
      <c r="CF267" s="207">
        <v>0</v>
      </c>
      <c r="CG267" s="207">
        <v>4248105.064304706</v>
      </c>
      <c r="CH267" s="207">
        <v>-741222</v>
      </c>
      <c r="CI267" s="207">
        <v>696129.2801999999</v>
      </c>
      <c r="CJ267" s="207">
        <v>508130.874962</v>
      </c>
      <c r="CK267" s="207">
        <v>187998.40523799992</v>
      </c>
      <c r="CL267" s="207">
        <v>17315065.1476112</v>
      </c>
      <c r="CM267" s="207">
        <v>21069444.96106408</v>
      </c>
      <c r="CN267" s="207">
        <v>13237</v>
      </c>
    </row>
    <row r="268" spans="1:92" ht="9.75">
      <c r="A268" s="207">
        <v>887</v>
      </c>
      <c r="B268" s="207" t="s">
        <v>324</v>
      </c>
      <c r="C268" s="207">
        <v>4792</v>
      </c>
      <c r="D268" s="207">
        <v>17985965.759999998</v>
      </c>
      <c r="E268" s="207">
        <v>6750194.942249777</v>
      </c>
      <c r="F268" s="207">
        <v>1243737.9649342247</v>
      </c>
      <c r="G268" s="207">
        <v>25979898.667184</v>
      </c>
      <c r="H268" s="207">
        <v>3654.72</v>
      </c>
      <c r="I268" s="207">
        <v>17513418.24</v>
      </c>
      <c r="J268" s="207">
        <v>8466480.427184</v>
      </c>
      <c r="K268" s="207">
        <v>138176.0080991439</v>
      </c>
      <c r="L268" s="207">
        <v>-654023.4977501684</v>
      </c>
      <c r="M268" s="207">
        <v>0</v>
      </c>
      <c r="N268" s="207">
        <v>7950632.937532976</v>
      </c>
      <c r="O268" s="207">
        <v>4395191.9788612025</v>
      </c>
      <c r="P268" s="207">
        <v>12345824.916394178</v>
      </c>
      <c r="Q268" s="207">
        <v>232</v>
      </c>
      <c r="R268" s="207">
        <v>40</v>
      </c>
      <c r="S268" s="207">
        <v>276</v>
      </c>
      <c r="T268" s="207">
        <v>136</v>
      </c>
      <c r="U268" s="207">
        <v>137</v>
      </c>
      <c r="V268" s="207">
        <v>2450</v>
      </c>
      <c r="W268" s="207">
        <v>820</v>
      </c>
      <c r="X268" s="207">
        <v>475</v>
      </c>
      <c r="Y268" s="207">
        <v>226</v>
      </c>
      <c r="Z268" s="207">
        <v>12</v>
      </c>
      <c r="AA268" s="207">
        <v>0</v>
      </c>
      <c r="AB268" s="207">
        <v>4655</v>
      </c>
      <c r="AC268" s="207">
        <v>125</v>
      </c>
      <c r="AD268" s="207">
        <v>1521</v>
      </c>
      <c r="AE268" s="480">
        <v>1.1957880675223025</v>
      </c>
      <c r="AF268" s="207">
        <v>6750194.942249777</v>
      </c>
      <c r="AG268" s="175">
        <v>195</v>
      </c>
      <c r="AH268" s="175">
        <v>2018</v>
      </c>
      <c r="AI268" s="175">
        <v>0.9904617040978028</v>
      </c>
      <c r="AJ268" s="175">
        <v>125</v>
      </c>
      <c r="AK268" s="175">
        <v>0.026085141903171953</v>
      </c>
      <c r="AL268" s="175">
        <v>0.022804062792708957</v>
      </c>
      <c r="AM268" s="175">
        <v>0</v>
      </c>
      <c r="AN268" s="175">
        <v>12</v>
      </c>
      <c r="AO268" s="175">
        <v>0</v>
      </c>
      <c r="AP268" s="175">
        <v>0</v>
      </c>
      <c r="AQ268" s="175">
        <v>0</v>
      </c>
      <c r="AR268" s="175">
        <v>475.4</v>
      </c>
      <c r="AS268" s="175">
        <v>10.079932688262517</v>
      </c>
      <c r="AT268" s="175">
        <v>1.8006590621431808</v>
      </c>
      <c r="AU268" s="175">
        <v>246</v>
      </c>
      <c r="AV268" s="175">
        <v>1341</v>
      </c>
      <c r="AW268" s="175">
        <v>0.18344519015659955</v>
      </c>
      <c r="AX268" s="175">
        <v>0.12798395642711455</v>
      </c>
      <c r="AY268" s="175">
        <v>0</v>
      </c>
      <c r="AZ268" s="207">
        <v>1452</v>
      </c>
      <c r="BA268" s="175">
        <v>1749</v>
      </c>
      <c r="BB268" s="175">
        <v>0.8301886792452831</v>
      </c>
      <c r="BC268" s="175">
        <v>0.4404938318215712</v>
      </c>
      <c r="BD268" s="175">
        <v>0</v>
      </c>
      <c r="BE268" s="175">
        <v>0</v>
      </c>
      <c r="BF268" s="207">
        <v>-30470.989999999998</v>
      </c>
      <c r="BG268" s="207">
        <v>-37279.88</v>
      </c>
      <c r="BH268" s="207">
        <v>-19647.199999999997</v>
      </c>
      <c r="BI268" s="207">
        <v>-80644.3</v>
      </c>
      <c r="BJ268" s="207">
        <v>0</v>
      </c>
      <c r="BK268" s="207">
        <v>0</v>
      </c>
      <c r="BL268" s="207">
        <v>52063</v>
      </c>
      <c r="BM268" s="207">
        <v>-227881.07993531827</v>
      </c>
      <c r="BN268" s="207">
        <v>-203947.52000000002</v>
      </c>
      <c r="BO268" s="207">
        <v>15813.88045085594</v>
      </c>
      <c r="BP268" s="207">
        <v>549175</v>
      </c>
      <c r="BQ268" s="207">
        <v>163385</v>
      </c>
      <c r="BR268" s="207">
        <v>401924.0422769373</v>
      </c>
      <c r="BS268" s="207">
        <v>19645.457703307464</v>
      </c>
      <c r="BT268" s="207">
        <v>75344.32793068762</v>
      </c>
      <c r="BU268" s="207">
        <v>180286.47575446786</v>
      </c>
      <c r="BV268" s="207">
        <v>280776.1027136017</v>
      </c>
      <c r="BW268" s="207">
        <v>474953.86153675884</v>
      </c>
      <c r="BX268" s="207">
        <v>133064.05355624924</v>
      </c>
      <c r="BY268" s="207">
        <v>233376.78067092708</v>
      </c>
      <c r="BZ268" s="207">
        <v>431.28</v>
      </c>
      <c r="CA268" s="207">
        <v>24462.031734294018</v>
      </c>
      <c r="CB268" s="207">
        <v>92770.19218514996</v>
      </c>
      <c r="CC268" s="207">
        <v>-654023.4977501684</v>
      </c>
      <c r="CD268" s="207">
        <v>0</v>
      </c>
      <c r="CE268" s="207">
        <v>330544.0754745422</v>
      </c>
      <c r="CF268" s="207">
        <v>0</v>
      </c>
      <c r="CG268" s="207">
        <v>4395191.9788612025</v>
      </c>
      <c r="CH268" s="207">
        <v>-357221</v>
      </c>
      <c r="CI268" s="207">
        <v>627005.7224999999</v>
      </c>
      <c r="CJ268" s="207">
        <v>276072.82858000003</v>
      </c>
      <c r="CK268" s="207">
        <v>350932.8939199999</v>
      </c>
      <c r="CL268" s="207">
        <v>11988603.916394178</v>
      </c>
      <c r="CM268" s="207">
        <v>13370998.94198524</v>
      </c>
      <c r="CN268" s="207">
        <v>4829</v>
      </c>
    </row>
    <row r="269" spans="1:92" ht="9.75">
      <c r="A269" s="207">
        <v>889</v>
      </c>
      <c r="B269" s="207" t="s">
        <v>325</v>
      </c>
      <c r="C269" s="207">
        <v>2702</v>
      </c>
      <c r="D269" s="207">
        <v>10649355.57</v>
      </c>
      <c r="E269" s="207">
        <v>5091042.925819509</v>
      </c>
      <c r="F269" s="207">
        <v>1647420.598689848</v>
      </c>
      <c r="G269" s="207">
        <v>17387819.094509356</v>
      </c>
      <c r="H269" s="207">
        <v>3654.72</v>
      </c>
      <c r="I269" s="207">
        <v>9875053.44</v>
      </c>
      <c r="J269" s="207">
        <v>7512765.654509356</v>
      </c>
      <c r="K269" s="207">
        <v>341902.0226473206</v>
      </c>
      <c r="L269" s="207">
        <v>-336521.0970710137</v>
      </c>
      <c r="M269" s="207">
        <v>0</v>
      </c>
      <c r="N269" s="207">
        <v>7518146.580085663</v>
      </c>
      <c r="O269" s="207">
        <v>2612196.205356017</v>
      </c>
      <c r="P269" s="207">
        <v>10130342.78544168</v>
      </c>
      <c r="Q269" s="207">
        <v>121</v>
      </c>
      <c r="R269" s="207">
        <v>37</v>
      </c>
      <c r="S269" s="207">
        <v>187</v>
      </c>
      <c r="T269" s="207">
        <v>109</v>
      </c>
      <c r="U269" s="207">
        <v>89</v>
      </c>
      <c r="V269" s="207">
        <v>1355</v>
      </c>
      <c r="W269" s="207">
        <v>449</v>
      </c>
      <c r="X269" s="207">
        <v>225</v>
      </c>
      <c r="Y269" s="207">
        <v>130</v>
      </c>
      <c r="Z269" s="207">
        <v>0</v>
      </c>
      <c r="AA269" s="207">
        <v>0</v>
      </c>
      <c r="AB269" s="207">
        <v>2647</v>
      </c>
      <c r="AC269" s="207">
        <v>55</v>
      </c>
      <c r="AD269" s="207">
        <v>804</v>
      </c>
      <c r="AE269" s="480">
        <v>1.5994700918955551</v>
      </c>
      <c r="AF269" s="207">
        <v>5091042.925819509</v>
      </c>
      <c r="AG269" s="175">
        <v>115</v>
      </c>
      <c r="AH269" s="175">
        <v>1106</v>
      </c>
      <c r="AI269" s="175">
        <v>1.0657784933925771</v>
      </c>
      <c r="AJ269" s="175">
        <v>55</v>
      </c>
      <c r="AK269" s="175">
        <v>0.020355292376017766</v>
      </c>
      <c r="AL269" s="175">
        <v>0.01707421326555477</v>
      </c>
      <c r="AM269" s="175">
        <v>0</v>
      </c>
      <c r="AN269" s="175">
        <v>0</v>
      </c>
      <c r="AO269" s="175">
        <v>0</v>
      </c>
      <c r="AP269" s="175">
        <v>0</v>
      </c>
      <c r="AQ269" s="175">
        <v>0</v>
      </c>
      <c r="AR269" s="175">
        <v>1671.17</v>
      </c>
      <c r="AS269" s="175">
        <v>1.6168313217685812</v>
      </c>
      <c r="AT269" s="175">
        <v>11.225983747679448</v>
      </c>
      <c r="AU269" s="175">
        <v>87</v>
      </c>
      <c r="AV269" s="175">
        <v>663</v>
      </c>
      <c r="AW269" s="175">
        <v>0.13122171945701358</v>
      </c>
      <c r="AX269" s="175">
        <v>0.07576048572752858</v>
      </c>
      <c r="AY269" s="175">
        <v>0.40953333333333336</v>
      </c>
      <c r="AZ269" s="207">
        <v>910</v>
      </c>
      <c r="BA269" s="175">
        <v>935</v>
      </c>
      <c r="BB269" s="175">
        <v>0.9732620320855615</v>
      </c>
      <c r="BC269" s="175">
        <v>0.5835671846618496</v>
      </c>
      <c r="BD269" s="175">
        <v>0</v>
      </c>
      <c r="BE269" s="175">
        <v>0</v>
      </c>
      <c r="BF269" s="207">
        <v>-17466.079999999998</v>
      </c>
      <c r="BG269" s="207">
        <v>-21368.96</v>
      </c>
      <c r="BH269" s="207">
        <v>-11078.199999999999</v>
      </c>
      <c r="BI269" s="207">
        <v>-46225.6</v>
      </c>
      <c r="BJ269" s="207">
        <v>0</v>
      </c>
      <c r="BK269" s="207">
        <v>0</v>
      </c>
      <c r="BL269" s="207">
        <v>-7310</v>
      </c>
      <c r="BM269" s="207">
        <v>536.5048762996012</v>
      </c>
      <c r="BN269" s="207">
        <v>-114997.12000000001</v>
      </c>
      <c r="BO269" s="207">
        <v>-2570.9969102814794</v>
      </c>
      <c r="BP269" s="207">
        <v>304094</v>
      </c>
      <c r="BQ269" s="207">
        <v>86201</v>
      </c>
      <c r="BR269" s="207">
        <v>209049.50168991182</v>
      </c>
      <c r="BS269" s="207">
        <v>11733.723567627167</v>
      </c>
      <c r="BT269" s="207">
        <v>30010.95659348567</v>
      </c>
      <c r="BU269" s="207">
        <v>107001.43628257842</v>
      </c>
      <c r="BV269" s="207">
        <v>164155.83698869185</v>
      </c>
      <c r="BW269" s="207">
        <v>240348.33304669717</v>
      </c>
      <c r="BX269" s="207">
        <v>59483.150294640654</v>
      </c>
      <c r="BY269" s="207">
        <v>130808.43734629493</v>
      </c>
      <c r="BZ269" s="207">
        <v>243.17999999999998</v>
      </c>
      <c r="CA269" s="207">
        <v>-33440.505037031864</v>
      </c>
      <c r="CB269" s="207">
        <v>-43078.32194731334</v>
      </c>
      <c r="CC269" s="207">
        <v>-336521.0970710137</v>
      </c>
      <c r="CD269" s="207">
        <v>0</v>
      </c>
      <c r="CE269" s="207">
        <v>171836.31249603935</v>
      </c>
      <c r="CF269" s="207">
        <v>0</v>
      </c>
      <c r="CG269" s="207">
        <v>2612196.205356017</v>
      </c>
      <c r="CH269" s="207">
        <v>423811</v>
      </c>
      <c r="CI269" s="207">
        <v>190582.55240000002</v>
      </c>
      <c r="CJ269" s="207">
        <v>57093.204</v>
      </c>
      <c r="CK269" s="207">
        <v>133489.34840000002</v>
      </c>
      <c r="CL269" s="207">
        <v>10554153.78544168</v>
      </c>
      <c r="CM269" s="207">
        <v>11386675.771235896</v>
      </c>
      <c r="CN269" s="207">
        <v>2768</v>
      </c>
    </row>
    <row r="270" spans="1:92" ht="9.75">
      <c r="A270" s="207">
        <v>890</v>
      </c>
      <c r="B270" s="207" t="s">
        <v>326</v>
      </c>
      <c r="C270" s="207">
        <v>1232</v>
      </c>
      <c r="D270" s="207">
        <v>4446535.91</v>
      </c>
      <c r="E270" s="207">
        <v>1333608.3416195444</v>
      </c>
      <c r="F270" s="207">
        <v>1212549.7640853634</v>
      </c>
      <c r="G270" s="207">
        <v>6992694.015704908</v>
      </c>
      <c r="H270" s="207">
        <v>3654.72</v>
      </c>
      <c r="I270" s="207">
        <v>4502615.04</v>
      </c>
      <c r="J270" s="207">
        <v>2490078.9757049084</v>
      </c>
      <c r="K270" s="207">
        <v>3050969.533724253</v>
      </c>
      <c r="L270" s="207">
        <v>201153.38893035264</v>
      </c>
      <c r="M270" s="207">
        <v>0</v>
      </c>
      <c r="N270" s="207">
        <v>5742201.898359514</v>
      </c>
      <c r="O270" s="207">
        <v>787541.0699316079</v>
      </c>
      <c r="P270" s="207">
        <v>6529742.968291122</v>
      </c>
      <c r="Q270" s="207">
        <v>56</v>
      </c>
      <c r="R270" s="207">
        <v>10</v>
      </c>
      <c r="S270" s="207">
        <v>83</v>
      </c>
      <c r="T270" s="207">
        <v>43</v>
      </c>
      <c r="U270" s="207">
        <v>34</v>
      </c>
      <c r="V270" s="207">
        <v>638</v>
      </c>
      <c r="W270" s="207">
        <v>212</v>
      </c>
      <c r="X270" s="207">
        <v>113</v>
      </c>
      <c r="Y270" s="207">
        <v>43</v>
      </c>
      <c r="Z270" s="207">
        <v>2</v>
      </c>
      <c r="AA270" s="207">
        <v>530</v>
      </c>
      <c r="AB270" s="207">
        <v>655</v>
      </c>
      <c r="AC270" s="207">
        <v>45</v>
      </c>
      <c r="AD270" s="207">
        <v>368</v>
      </c>
      <c r="AE270" s="480">
        <v>0.918908576623614</v>
      </c>
      <c r="AF270" s="207">
        <v>1333608.3416195444</v>
      </c>
      <c r="AG270" s="175">
        <v>41</v>
      </c>
      <c r="AH270" s="175">
        <v>561</v>
      </c>
      <c r="AI270" s="175">
        <v>0.7491093786155126</v>
      </c>
      <c r="AJ270" s="175">
        <v>45</v>
      </c>
      <c r="AK270" s="175">
        <v>0.036525974025974024</v>
      </c>
      <c r="AL270" s="175">
        <v>0.033244894915511025</v>
      </c>
      <c r="AM270" s="175">
        <v>0</v>
      </c>
      <c r="AN270" s="175">
        <v>2</v>
      </c>
      <c r="AO270" s="175">
        <v>530</v>
      </c>
      <c r="AP270" s="175">
        <v>0</v>
      </c>
      <c r="AQ270" s="175">
        <v>0</v>
      </c>
      <c r="AR270" s="175">
        <v>5145.98</v>
      </c>
      <c r="AS270" s="175">
        <v>0.23941018037380637</v>
      </c>
      <c r="AT270" s="175">
        <v>75.8134934469938</v>
      </c>
      <c r="AU270" s="175">
        <v>67</v>
      </c>
      <c r="AV270" s="175">
        <v>363</v>
      </c>
      <c r="AW270" s="175">
        <v>0.18457300275482094</v>
      </c>
      <c r="AX270" s="175">
        <v>0.12911176902533594</v>
      </c>
      <c r="AY270" s="175">
        <v>1.9466333333333332</v>
      </c>
      <c r="AZ270" s="207">
        <v>473</v>
      </c>
      <c r="BA270" s="175">
        <v>486</v>
      </c>
      <c r="BB270" s="175">
        <v>0.9732510288065843</v>
      </c>
      <c r="BC270" s="175">
        <v>0.5835561813828725</v>
      </c>
      <c r="BD270" s="175">
        <v>1</v>
      </c>
      <c r="BE270" s="175">
        <v>530</v>
      </c>
      <c r="BF270" s="207">
        <v>-7837.0199999999995</v>
      </c>
      <c r="BG270" s="207">
        <v>-9588.24</v>
      </c>
      <c r="BH270" s="207">
        <v>-5051.2</v>
      </c>
      <c r="BI270" s="207">
        <v>-20741.399999999998</v>
      </c>
      <c r="BJ270" s="207">
        <v>0</v>
      </c>
      <c r="BK270" s="207">
        <v>0</v>
      </c>
      <c r="BL270" s="207">
        <v>32233</v>
      </c>
      <c r="BM270" s="207">
        <v>-4677.901082857305</v>
      </c>
      <c r="BN270" s="207">
        <v>-52433.920000000006</v>
      </c>
      <c r="BO270" s="207">
        <v>295977.30180672323</v>
      </c>
      <c r="BP270" s="207">
        <v>114134</v>
      </c>
      <c r="BQ270" s="207">
        <v>37115</v>
      </c>
      <c r="BR270" s="207">
        <v>107131.66346656052</v>
      </c>
      <c r="BS270" s="207">
        <v>5615.056836758378</v>
      </c>
      <c r="BT270" s="207">
        <v>13408.48778940565</v>
      </c>
      <c r="BU270" s="207">
        <v>38983.78110031201</v>
      </c>
      <c r="BV270" s="207">
        <v>70506.5568337633</v>
      </c>
      <c r="BW270" s="207">
        <v>98486.0367708824</v>
      </c>
      <c r="BX270" s="207">
        <v>37722.66417145874</v>
      </c>
      <c r="BY270" s="207">
        <v>57139.295304500825</v>
      </c>
      <c r="BZ270" s="207">
        <v>110.88</v>
      </c>
      <c r="CA270" s="207">
        <v>10935.00820648672</v>
      </c>
      <c r="CB270" s="207">
        <v>339256.19001320994</v>
      </c>
      <c r="CC270" s="207">
        <v>201153.38893035264</v>
      </c>
      <c r="CD270" s="207">
        <v>0</v>
      </c>
      <c r="CE270" s="207">
        <v>79861.96357632018</v>
      </c>
      <c r="CF270" s="207">
        <v>0</v>
      </c>
      <c r="CG270" s="207">
        <v>787541.0699316079</v>
      </c>
      <c r="CH270" s="207">
        <v>142801</v>
      </c>
      <c r="CI270" s="207">
        <v>48937.03200000001</v>
      </c>
      <c r="CJ270" s="207">
        <v>21749.792</v>
      </c>
      <c r="CK270" s="207">
        <v>27187.240000000005</v>
      </c>
      <c r="CL270" s="207">
        <v>6672543.968291122</v>
      </c>
      <c r="CM270" s="207">
        <v>7214929.567482982</v>
      </c>
      <c r="CN270" s="207">
        <v>1242</v>
      </c>
    </row>
    <row r="271" spans="1:92" ht="9.75">
      <c r="A271" s="207">
        <v>892</v>
      </c>
      <c r="B271" s="207" t="s">
        <v>327</v>
      </c>
      <c r="C271" s="207">
        <v>3783</v>
      </c>
      <c r="D271" s="207">
        <v>15169915.86</v>
      </c>
      <c r="E271" s="207">
        <v>3869081.061909942</v>
      </c>
      <c r="F271" s="207">
        <v>683217.8096824754</v>
      </c>
      <c r="G271" s="207">
        <v>19722214.731592417</v>
      </c>
      <c r="H271" s="207">
        <v>3654.72</v>
      </c>
      <c r="I271" s="207">
        <v>13825805.76</v>
      </c>
      <c r="J271" s="207">
        <v>5896408.971592417</v>
      </c>
      <c r="K271" s="207">
        <v>53935.34250834753</v>
      </c>
      <c r="L271" s="207">
        <v>-327938.6843992362</v>
      </c>
      <c r="M271" s="207">
        <v>0</v>
      </c>
      <c r="N271" s="207">
        <v>5622405.629701529</v>
      </c>
      <c r="O271" s="207">
        <v>3516468.4936366375</v>
      </c>
      <c r="P271" s="207">
        <v>9138874.123338167</v>
      </c>
      <c r="Q271" s="207">
        <v>358</v>
      </c>
      <c r="R271" s="207">
        <v>77</v>
      </c>
      <c r="S271" s="207">
        <v>427</v>
      </c>
      <c r="T271" s="207">
        <v>171</v>
      </c>
      <c r="U271" s="207">
        <v>128</v>
      </c>
      <c r="V271" s="207">
        <v>1894</v>
      </c>
      <c r="W271" s="207">
        <v>439</v>
      </c>
      <c r="X271" s="207">
        <v>217</v>
      </c>
      <c r="Y271" s="207">
        <v>72</v>
      </c>
      <c r="Z271" s="207">
        <v>5</v>
      </c>
      <c r="AA271" s="207">
        <v>0</v>
      </c>
      <c r="AB271" s="207">
        <v>3736</v>
      </c>
      <c r="AC271" s="207">
        <v>42</v>
      </c>
      <c r="AD271" s="207">
        <v>728</v>
      </c>
      <c r="AE271" s="480">
        <v>0.8682128254742403</v>
      </c>
      <c r="AF271" s="207">
        <v>3869081.061909942</v>
      </c>
      <c r="AG271" s="175">
        <v>147</v>
      </c>
      <c r="AH271" s="175">
        <v>1642</v>
      </c>
      <c r="AI271" s="175">
        <v>0.9176317270176982</v>
      </c>
      <c r="AJ271" s="175">
        <v>42</v>
      </c>
      <c r="AK271" s="175">
        <v>0.011102299762093577</v>
      </c>
      <c r="AL271" s="175">
        <v>0.00782122065163058</v>
      </c>
      <c r="AM271" s="175">
        <v>0</v>
      </c>
      <c r="AN271" s="175">
        <v>5</v>
      </c>
      <c r="AO271" s="175">
        <v>0</v>
      </c>
      <c r="AP271" s="175">
        <v>0</v>
      </c>
      <c r="AQ271" s="175">
        <v>0</v>
      </c>
      <c r="AR271" s="175">
        <v>347.98</v>
      </c>
      <c r="AS271" s="175">
        <v>10.871314443358813</v>
      </c>
      <c r="AT271" s="175">
        <v>1.669579353580483</v>
      </c>
      <c r="AU271" s="175">
        <v>108</v>
      </c>
      <c r="AV271" s="175">
        <v>1183</v>
      </c>
      <c r="AW271" s="175">
        <v>0.09129332206255283</v>
      </c>
      <c r="AX271" s="175">
        <v>0.03583208833306783</v>
      </c>
      <c r="AY271" s="175">
        <v>0</v>
      </c>
      <c r="AZ271" s="207">
        <v>859</v>
      </c>
      <c r="BA271" s="175">
        <v>1414</v>
      </c>
      <c r="BB271" s="175">
        <v>0.6074964639321075</v>
      </c>
      <c r="BC271" s="175">
        <v>0.2178016165083957</v>
      </c>
      <c r="BD271" s="175">
        <v>0</v>
      </c>
      <c r="BE271" s="175">
        <v>0</v>
      </c>
      <c r="BF271" s="207">
        <v>-23643.57</v>
      </c>
      <c r="BG271" s="207">
        <v>-28926.84</v>
      </c>
      <c r="BH271" s="207">
        <v>-15510.3</v>
      </c>
      <c r="BI271" s="207">
        <v>-62574.899999999994</v>
      </c>
      <c r="BJ271" s="207">
        <v>0</v>
      </c>
      <c r="BK271" s="207">
        <v>0</v>
      </c>
      <c r="BL271" s="207">
        <v>67444</v>
      </c>
      <c r="BM271" s="207">
        <v>-64119.49839662282</v>
      </c>
      <c r="BN271" s="207">
        <v>-161004.48</v>
      </c>
      <c r="BO271" s="207">
        <v>63468.46938453615</v>
      </c>
      <c r="BP271" s="207">
        <v>285316</v>
      </c>
      <c r="BQ271" s="207">
        <v>92849</v>
      </c>
      <c r="BR271" s="207">
        <v>221767.09672598483</v>
      </c>
      <c r="BS271" s="207">
        <v>8071.591759540226</v>
      </c>
      <c r="BT271" s="207">
        <v>27328.93024877923</v>
      </c>
      <c r="BU271" s="207">
        <v>100574.92665356949</v>
      </c>
      <c r="BV271" s="207">
        <v>184187.12894500932</v>
      </c>
      <c r="BW271" s="207">
        <v>273073.42582165677</v>
      </c>
      <c r="BX271" s="207">
        <v>69107.0166599702</v>
      </c>
      <c r="BY271" s="207">
        <v>146158.3446623623</v>
      </c>
      <c r="BZ271" s="207">
        <v>340.46999999999997</v>
      </c>
      <c r="CA271" s="207">
        <v>12574.74461285055</v>
      </c>
      <c r="CB271" s="207">
        <v>143827.6839973867</v>
      </c>
      <c r="CC271" s="207">
        <v>-327938.6843992362</v>
      </c>
      <c r="CD271" s="207">
        <v>0</v>
      </c>
      <c r="CE271" s="207">
        <v>193114.12923133516</v>
      </c>
      <c r="CF271" s="207">
        <v>0</v>
      </c>
      <c r="CG271" s="207">
        <v>3516468.4936366375</v>
      </c>
      <c r="CH271" s="207">
        <v>-568142</v>
      </c>
      <c r="CI271" s="207">
        <v>81561.72</v>
      </c>
      <c r="CJ271" s="207">
        <v>58751.625640000006</v>
      </c>
      <c r="CK271" s="207">
        <v>22810.094359999996</v>
      </c>
      <c r="CL271" s="207">
        <v>8570732.123338167</v>
      </c>
      <c r="CM271" s="207">
        <v>9132029.369699</v>
      </c>
      <c r="CN271" s="207">
        <v>3747</v>
      </c>
    </row>
    <row r="272" spans="1:92" ht="9.75">
      <c r="A272" s="207">
        <v>893</v>
      </c>
      <c r="B272" s="207" t="s">
        <v>328</v>
      </c>
      <c r="C272" s="207">
        <v>7455</v>
      </c>
      <c r="D272" s="207">
        <v>28357518.740000002</v>
      </c>
      <c r="E272" s="207">
        <v>7985463.851857706</v>
      </c>
      <c r="F272" s="207">
        <v>3862903.7685151454</v>
      </c>
      <c r="G272" s="207">
        <v>40205886.360372856</v>
      </c>
      <c r="H272" s="207">
        <v>3654.72</v>
      </c>
      <c r="I272" s="207">
        <v>27245937.599999998</v>
      </c>
      <c r="J272" s="207">
        <v>12959948.760372858</v>
      </c>
      <c r="K272" s="207">
        <v>287827.8855608285</v>
      </c>
      <c r="L272" s="207">
        <v>-1012447.0979755252</v>
      </c>
      <c r="M272" s="207">
        <v>0</v>
      </c>
      <c r="N272" s="207">
        <v>12235329.547958162</v>
      </c>
      <c r="O272" s="207">
        <v>4279540.895560603</v>
      </c>
      <c r="P272" s="207">
        <v>16514870.443518765</v>
      </c>
      <c r="Q272" s="207">
        <v>492</v>
      </c>
      <c r="R272" s="207">
        <v>106</v>
      </c>
      <c r="S272" s="207">
        <v>601</v>
      </c>
      <c r="T272" s="207">
        <v>231</v>
      </c>
      <c r="U272" s="207">
        <v>229</v>
      </c>
      <c r="V272" s="207">
        <v>3923</v>
      </c>
      <c r="W272" s="207">
        <v>1000</v>
      </c>
      <c r="X272" s="207">
        <v>600</v>
      </c>
      <c r="Y272" s="207">
        <v>273</v>
      </c>
      <c r="Z272" s="207">
        <v>6440</v>
      </c>
      <c r="AA272" s="207">
        <v>0</v>
      </c>
      <c r="AB272" s="207">
        <v>514</v>
      </c>
      <c r="AC272" s="207">
        <v>501</v>
      </c>
      <c r="AD272" s="207">
        <v>1873</v>
      </c>
      <c r="AE272" s="480">
        <v>0.9093000392687427</v>
      </c>
      <c r="AF272" s="207">
        <v>7985463.851857706</v>
      </c>
      <c r="AG272" s="175">
        <v>132</v>
      </c>
      <c r="AH272" s="175">
        <v>3520</v>
      </c>
      <c r="AI272" s="175">
        <v>0.3843753305518011</v>
      </c>
      <c r="AJ272" s="175">
        <v>501</v>
      </c>
      <c r="AK272" s="175">
        <v>0.06720321931589537</v>
      </c>
      <c r="AL272" s="175">
        <v>0.06392214020543238</v>
      </c>
      <c r="AM272" s="175">
        <v>3</v>
      </c>
      <c r="AN272" s="175">
        <v>6440</v>
      </c>
      <c r="AO272" s="175">
        <v>0</v>
      </c>
      <c r="AP272" s="175">
        <v>0</v>
      </c>
      <c r="AQ272" s="175">
        <v>0</v>
      </c>
      <c r="AR272" s="175">
        <v>732.66</v>
      </c>
      <c r="AS272" s="175">
        <v>10.17525182212759</v>
      </c>
      <c r="AT272" s="175">
        <v>1.7837909526172295</v>
      </c>
      <c r="AU272" s="175">
        <v>332</v>
      </c>
      <c r="AV272" s="175">
        <v>2202</v>
      </c>
      <c r="AW272" s="175">
        <v>0.15077202543142598</v>
      </c>
      <c r="AX272" s="175">
        <v>0.09531079170194098</v>
      </c>
      <c r="AY272" s="175">
        <v>0</v>
      </c>
      <c r="AZ272" s="207">
        <v>3297</v>
      </c>
      <c r="BA272" s="175">
        <v>3366</v>
      </c>
      <c r="BB272" s="175">
        <v>0.9795008912655971</v>
      </c>
      <c r="BC272" s="175">
        <v>0.5898060438418853</v>
      </c>
      <c r="BD272" s="175">
        <v>0</v>
      </c>
      <c r="BE272" s="175">
        <v>0</v>
      </c>
      <c r="BF272" s="207">
        <v>-47457.509999999995</v>
      </c>
      <c r="BG272" s="207">
        <v>-58062.119999999995</v>
      </c>
      <c r="BH272" s="207">
        <v>-30565.499999999996</v>
      </c>
      <c r="BI272" s="207">
        <v>-125600.7</v>
      </c>
      <c r="BJ272" s="207">
        <v>0</v>
      </c>
      <c r="BK272" s="207">
        <v>0</v>
      </c>
      <c r="BL272" s="207">
        <v>-69710</v>
      </c>
      <c r="BM272" s="207">
        <v>-87815.26413968725</v>
      </c>
      <c r="BN272" s="207">
        <v>-317284.8</v>
      </c>
      <c r="BO272" s="207">
        <v>113972.07233760692</v>
      </c>
      <c r="BP272" s="207">
        <v>659086</v>
      </c>
      <c r="BQ272" s="207">
        <v>245210</v>
      </c>
      <c r="BR272" s="207">
        <v>624224.0978398636</v>
      </c>
      <c r="BS272" s="207">
        <v>31886.17452603681</v>
      </c>
      <c r="BT272" s="207">
        <v>51936.5584288604</v>
      </c>
      <c r="BU272" s="207">
        <v>220299.48727579231</v>
      </c>
      <c r="BV272" s="207">
        <v>462578.72966419393</v>
      </c>
      <c r="BW272" s="207">
        <v>711571.955157124</v>
      </c>
      <c r="BX272" s="207">
        <v>227956.0897390783</v>
      </c>
      <c r="BY272" s="207">
        <v>371049.7601439036</v>
      </c>
      <c r="BZ272" s="207">
        <v>670.9499999999999</v>
      </c>
      <c r="CA272" s="207">
        <v>-162023.92617344484</v>
      </c>
      <c r="CB272" s="207">
        <v>-117090.90383583792</v>
      </c>
      <c r="CC272" s="207">
        <v>-1012447.0979755252</v>
      </c>
      <c r="CD272" s="207">
        <v>0</v>
      </c>
      <c r="CE272" s="207">
        <v>509650.7039329666</v>
      </c>
      <c r="CF272" s="207">
        <v>0</v>
      </c>
      <c r="CG272" s="207">
        <v>4279540.895560603</v>
      </c>
      <c r="CH272" s="207">
        <v>-357194</v>
      </c>
      <c r="CI272" s="207">
        <v>31265.326000000005</v>
      </c>
      <c r="CJ272" s="207">
        <v>127780.028</v>
      </c>
      <c r="CK272" s="207">
        <v>-96514.702</v>
      </c>
      <c r="CL272" s="207">
        <v>16157676.443518765</v>
      </c>
      <c r="CM272" s="207">
        <v>18505421.013602205</v>
      </c>
      <c r="CN272" s="207">
        <v>7521</v>
      </c>
    </row>
    <row r="273" spans="1:92" ht="9.75">
      <c r="A273" s="207">
        <v>895</v>
      </c>
      <c r="B273" s="207" t="s">
        <v>329</v>
      </c>
      <c r="C273" s="207">
        <v>15700</v>
      </c>
      <c r="D273" s="207">
        <v>53207954.34</v>
      </c>
      <c r="E273" s="207">
        <v>21737665.93899775</v>
      </c>
      <c r="F273" s="207">
        <v>3481006.071274315</v>
      </c>
      <c r="G273" s="207">
        <v>78426626.35027206</v>
      </c>
      <c r="H273" s="207">
        <v>3654.72</v>
      </c>
      <c r="I273" s="207">
        <v>57379104</v>
      </c>
      <c r="J273" s="207">
        <v>21047522.35027206</v>
      </c>
      <c r="K273" s="207">
        <v>953619.2772499768</v>
      </c>
      <c r="L273" s="207">
        <v>-2267538.1943949875</v>
      </c>
      <c r="M273" s="207">
        <v>0</v>
      </c>
      <c r="N273" s="207">
        <v>19733603.43312705</v>
      </c>
      <c r="O273" s="207">
        <v>2199341.49940192</v>
      </c>
      <c r="P273" s="207">
        <v>21932944.93252897</v>
      </c>
      <c r="Q273" s="207">
        <v>772</v>
      </c>
      <c r="R273" s="207">
        <v>145</v>
      </c>
      <c r="S273" s="207">
        <v>907</v>
      </c>
      <c r="T273" s="207">
        <v>454</v>
      </c>
      <c r="U273" s="207">
        <v>409</v>
      </c>
      <c r="V273" s="207">
        <v>8681</v>
      </c>
      <c r="W273" s="207">
        <v>2520</v>
      </c>
      <c r="X273" s="207">
        <v>1326</v>
      </c>
      <c r="Y273" s="207">
        <v>486</v>
      </c>
      <c r="Z273" s="207">
        <v>62</v>
      </c>
      <c r="AA273" s="207">
        <v>1</v>
      </c>
      <c r="AB273" s="207">
        <v>14857</v>
      </c>
      <c r="AC273" s="207">
        <v>780</v>
      </c>
      <c r="AD273" s="207">
        <v>4332</v>
      </c>
      <c r="AE273" s="480">
        <v>1.175352045407727</v>
      </c>
      <c r="AF273" s="207">
        <v>21737665.93899775</v>
      </c>
      <c r="AG273" s="175">
        <v>428</v>
      </c>
      <c r="AH273" s="175">
        <v>7032</v>
      </c>
      <c r="AI273" s="175">
        <v>0.6238628800764918</v>
      </c>
      <c r="AJ273" s="175">
        <v>780</v>
      </c>
      <c r="AK273" s="175">
        <v>0.049681528662420385</v>
      </c>
      <c r="AL273" s="175">
        <v>0.046400449551957386</v>
      </c>
      <c r="AM273" s="175">
        <v>0</v>
      </c>
      <c r="AN273" s="175">
        <v>62</v>
      </c>
      <c r="AO273" s="175">
        <v>1</v>
      </c>
      <c r="AP273" s="175">
        <v>3</v>
      </c>
      <c r="AQ273" s="175">
        <v>683</v>
      </c>
      <c r="AR273" s="175">
        <v>502.75</v>
      </c>
      <c r="AS273" s="175">
        <v>31.228244654400797</v>
      </c>
      <c r="AT273" s="175">
        <v>0.5812213379837006</v>
      </c>
      <c r="AU273" s="175">
        <v>660</v>
      </c>
      <c r="AV273" s="175">
        <v>4491</v>
      </c>
      <c r="AW273" s="175">
        <v>0.14696058784235136</v>
      </c>
      <c r="AX273" s="175">
        <v>0.09149935411286636</v>
      </c>
      <c r="AY273" s="175">
        <v>0</v>
      </c>
      <c r="AZ273" s="207">
        <v>9123</v>
      </c>
      <c r="BA273" s="175">
        <v>6924</v>
      </c>
      <c r="BB273" s="175">
        <v>1.3175909878682843</v>
      </c>
      <c r="BC273" s="175">
        <v>0.9278961404445725</v>
      </c>
      <c r="BD273" s="175">
        <v>0</v>
      </c>
      <c r="BE273" s="175">
        <v>1</v>
      </c>
      <c r="BF273" s="207">
        <v>-99395.12</v>
      </c>
      <c r="BG273" s="207">
        <v>-121605.44</v>
      </c>
      <c r="BH273" s="207">
        <v>-64369.99999999999</v>
      </c>
      <c r="BI273" s="207">
        <v>-263058.39999999997</v>
      </c>
      <c r="BJ273" s="207">
        <v>0</v>
      </c>
      <c r="BK273" s="207">
        <v>0</v>
      </c>
      <c r="BL273" s="207">
        <v>166575</v>
      </c>
      <c r="BM273" s="207">
        <v>-519028.06172096997</v>
      </c>
      <c r="BN273" s="207">
        <v>-668192</v>
      </c>
      <c r="BO273" s="207">
        <v>-127042.48566932231</v>
      </c>
      <c r="BP273" s="207">
        <v>1109415</v>
      </c>
      <c r="BQ273" s="207">
        <v>399076</v>
      </c>
      <c r="BR273" s="207">
        <v>905475.307138261</v>
      </c>
      <c r="BS273" s="207">
        <v>41384.80129070485</v>
      </c>
      <c r="BT273" s="207">
        <v>80168.54506648163</v>
      </c>
      <c r="BU273" s="207">
        <v>432683.95358545834</v>
      </c>
      <c r="BV273" s="207">
        <v>714318.2047305912</v>
      </c>
      <c r="BW273" s="207">
        <v>1333112.8678891251</v>
      </c>
      <c r="BX273" s="207">
        <v>405710.0888038961</v>
      </c>
      <c r="BY273" s="207">
        <v>650287.3567031103</v>
      </c>
      <c r="BZ273" s="207">
        <v>1413</v>
      </c>
      <c r="CA273" s="207">
        <v>-91472.68700469522</v>
      </c>
      <c r="CB273" s="207">
        <v>-50527.172674017536</v>
      </c>
      <c r="CC273" s="207">
        <v>-2267538.1943949875</v>
      </c>
      <c r="CD273" s="207">
        <v>0</v>
      </c>
      <c r="CE273" s="207">
        <v>850005.0122777857</v>
      </c>
      <c r="CF273" s="207">
        <v>0</v>
      </c>
      <c r="CG273" s="207">
        <v>2199341.49940192</v>
      </c>
      <c r="CH273" s="207">
        <v>-1451169</v>
      </c>
      <c r="CI273" s="207">
        <v>228372.81600000005</v>
      </c>
      <c r="CJ273" s="207">
        <v>63957.9821</v>
      </c>
      <c r="CK273" s="207">
        <v>164414.83390000006</v>
      </c>
      <c r="CL273" s="207">
        <v>20481775.93252897</v>
      </c>
      <c r="CM273" s="207">
        <v>23114623.144189674</v>
      </c>
      <c r="CN273" s="207">
        <v>15752</v>
      </c>
    </row>
    <row r="274" spans="1:92" ht="9.75">
      <c r="A274" s="207">
        <v>785</v>
      </c>
      <c r="B274" s="207" t="s">
        <v>330</v>
      </c>
      <c r="C274" s="207">
        <v>2869</v>
      </c>
      <c r="D274" s="207">
        <v>10875060.110000001</v>
      </c>
      <c r="E274" s="207">
        <v>5664548.575543375</v>
      </c>
      <c r="F274" s="207">
        <v>1439815.7793787606</v>
      </c>
      <c r="G274" s="207">
        <v>17979424.464922138</v>
      </c>
      <c r="H274" s="207">
        <v>3654.72</v>
      </c>
      <c r="I274" s="207">
        <v>10485391.68</v>
      </c>
      <c r="J274" s="207">
        <v>7494032.784922138</v>
      </c>
      <c r="K274" s="207">
        <v>1460214.227357425</v>
      </c>
      <c r="L274" s="207">
        <v>-359721.07431899547</v>
      </c>
      <c r="M274" s="207">
        <v>0</v>
      </c>
      <c r="N274" s="207">
        <v>8594525.937960567</v>
      </c>
      <c r="O274" s="207">
        <v>2734147.4783375836</v>
      </c>
      <c r="P274" s="207">
        <v>11328673.416298151</v>
      </c>
      <c r="Q274" s="207">
        <v>117</v>
      </c>
      <c r="R274" s="207">
        <v>19</v>
      </c>
      <c r="S274" s="207">
        <v>148</v>
      </c>
      <c r="T274" s="207">
        <v>94</v>
      </c>
      <c r="U274" s="207">
        <v>94</v>
      </c>
      <c r="V274" s="207">
        <v>1386</v>
      </c>
      <c r="W274" s="207">
        <v>541</v>
      </c>
      <c r="X274" s="207">
        <v>338</v>
      </c>
      <c r="Y274" s="207">
        <v>132</v>
      </c>
      <c r="Z274" s="207">
        <v>1</v>
      </c>
      <c r="AA274" s="207">
        <v>0</v>
      </c>
      <c r="AB274" s="207">
        <v>2842</v>
      </c>
      <c r="AC274" s="207">
        <v>26</v>
      </c>
      <c r="AD274" s="207">
        <v>1011</v>
      </c>
      <c r="AE274" s="480">
        <v>1.6760596338777953</v>
      </c>
      <c r="AF274" s="207">
        <v>5664548.575543375</v>
      </c>
      <c r="AG274" s="175">
        <v>159</v>
      </c>
      <c r="AH274" s="175">
        <v>1152</v>
      </c>
      <c r="AI274" s="175">
        <v>1.414714758280935</v>
      </c>
      <c r="AJ274" s="175">
        <v>26</v>
      </c>
      <c r="AK274" s="175">
        <v>0.009062391077030324</v>
      </c>
      <c r="AL274" s="175">
        <v>0.005781311966567328</v>
      </c>
      <c r="AM274" s="175">
        <v>0</v>
      </c>
      <c r="AN274" s="175">
        <v>1</v>
      </c>
      <c r="AO274" s="175">
        <v>0</v>
      </c>
      <c r="AP274" s="175">
        <v>3</v>
      </c>
      <c r="AQ274" s="175">
        <v>81</v>
      </c>
      <c r="AR274" s="175">
        <v>1302.72</v>
      </c>
      <c r="AS274" s="175">
        <v>2.2023151559813314</v>
      </c>
      <c r="AT274" s="175">
        <v>8.241564379020708</v>
      </c>
      <c r="AU274" s="175">
        <v>73</v>
      </c>
      <c r="AV274" s="175">
        <v>633</v>
      </c>
      <c r="AW274" s="175">
        <v>0.11532385466034756</v>
      </c>
      <c r="AX274" s="175">
        <v>0.05986262093086255</v>
      </c>
      <c r="AY274" s="175">
        <v>1.4576833333333332</v>
      </c>
      <c r="AZ274" s="207">
        <v>887</v>
      </c>
      <c r="BA274" s="175">
        <v>924</v>
      </c>
      <c r="BB274" s="175">
        <v>0.95995670995671</v>
      </c>
      <c r="BC274" s="175">
        <v>0.5702618625329982</v>
      </c>
      <c r="BD274" s="175">
        <v>0</v>
      </c>
      <c r="BE274" s="175">
        <v>0</v>
      </c>
      <c r="BF274" s="207">
        <v>-18557.71</v>
      </c>
      <c r="BG274" s="207">
        <v>-22704.52</v>
      </c>
      <c r="BH274" s="207">
        <v>-11762.9</v>
      </c>
      <c r="BI274" s="207">
        <v>-49114.7</v>
      </c>
      <c r="BJ274" s="207">
        <v>0</v>
      </c>
      <c r="BK274" s="207">
        <v>0</v>
      </c>
      <c r="BL274" s="207">
        <v>87467</v>
      </c>
      <c r="BM274" s="207">
        <v>-64990.91589391994</v>
      </c>
      <c r="BN274" s="207">
        <v>-122104.64</v>
      </c>
      <c r="BO274" s="207">
        <v>-70951.2395362258</v>
      </c>
      <c r="BP274" s="207">
        <v>310888</v>
      </c>
      <c r="BQ274" s="207">
        <v>92189</v>
      </c>
      <c r="BR274" s="207">
        <v>250966.4378107918</v>
      </c>
      <c r="BS274" s="207">
        <v>15001.394378429974</v>
      </c>
      <c r="BT274" s="207">
        <v>44539.947269726195</v>
      </c>
      <c r="BU274" s="207">
        <v>126757.85397782503</v>
      </c>
      <c r="BV274" s="207">
        <v>154052.91971320764</v>
      </c>
      <c r="BW274" s="207">
        <v>270595.83848855575</v>
      </c>
      <c r="BX274" s="207">
        <v>75512.61194520385</v>
      </c>
      <c r="BY274" s="207">
        <v>145181.5206986564</v>
      </c>
      <c r="BZ274" s="207">
        <v>258.21</v>
      </c>
      <c r="CA274" s="207">
        <v>703.881111150291</v>
      </c>
      <c r="CB274" s="207">
        <v>17477.851574924494</v>
      </c>
      <c r="CC274" s="207">
        <v>-359721.07431899547</v>
      </c>
      <c r="CD274" s="207">
        <v>0</v>
      </c>
      <c r="CE274" s="207">
        <v>186903.6427671945</v>
      </c>
      <c r="CF274" s="207">
        <v>0</v>
      </c>
      <c r="CG274" s="207">
        <v>2734147.4783375836</v>
      </c>
      <c r="CH274" s="207">
        <v>149787</v>
      </c>
      <c r="CI274" s="207">
        <v>43499.584</v>
      </c>
      <c r="CJ274" s="207">
        <v>50296.394</v>
      </c>
      <c r="CK274" s="207">
        <v>-6796.809999999998</v>
      </c>
      <c r="CL274" s="207">
        <v>11478460.416298151</v>
      </c>
      <c r="CM274" s="207">
        <v>12627789.489590589</v>
      </c>
      <c r="CN274" s="207">
        <v>2941</v>
      </c>
    </row>
    <row r="275" spans="1:92" ht="9.75">
      <c r="A275" s="207">
        <v>905</v>
      </c>
      <c r="B275" s="207" t="s">
        <v>331</v>
      </c>
      <c r="C275" s="207">
        <v>67552</v>
      </c>
      <c r="D275" s="207">
        <v>226354397.03000003</v>
      </c>
      <c r="E275" s="207">
        <v>69918465.005228</v>
      </c>
      <c r="F275" s="207">
        <v>24306417.21586305</v>
      </c>
      <c r="G275" s="207">
        <v>320579279.25109106</v>
      </c>
      <c r="H275" s="207">
        <v>3654.72</v>
      </c>
      <c r="I275" s="207">
        <v>246883645.44</v>
      </c>
      <c r="J275" s="207">
        <v>73695633.81109107</v>
      </c>
      <c r="K275" s="207">
        <v>3785996.043044994</v>
      </c>
      <c r="L275" s="207">
        <v>-13069029.664947849</v>
      </c>
      <c r="M275" s="207">
        <v>0</v>
      </c>
      <c r="N275" s="207">
        <v>64412600.18918821</v>
      </c>
      <c r="O275" s="207">
        <v>3591451.4696645495</v>
      </c>
      <c r="P275" s="207">
        <v>68004051.65885276</v>
      </c>
      <c r="Q275" s="207">
        <v>4032</v>
      </c>
      <c r="R275" s="207">
        <v>762</v>
      </c>
      <c r="S275" s="207">
        <v>4350</v>
      </c>
      <c r="T275" s="207">
        <v>2129</v>
      </c>
      <c r="U275" s="207">
        <v>2178</v>
      </c>
      <c r="V275" s="207">
        <v>40690</v>
      </c>
      <c r="W275" s="207">
        <v>7379</v>
      </c>
      <c r="X275" s="207">
        <v>4214</v>
      </c>
      <c r="Y275" s="207">
        <v>1818</v>
      </c>
      <c r="Z275" s="207">
        <v>15555</v>
      </c>
      <c r="AA275" s="207">
        <v>7</v>
      </c>
      <c r="AB275" s="207">
        <v>45981</v>
      </c>
      <c r="AC275" s="207">
        <v>6009</v>
      </c>
      <c r="AD275" s="207">
        <v>13411</v>
      </c>
      <c r="AE275" s="480">
        <v>0.8786347651896063</v>
      </c>
      <c r="AF275" s="207">
        <v>69918465.005228</v>
      </c>
      <c r="AG275" s="175">
        <v>2859</v>
      </c>
      <c r="AH275" s="175">
        <v>32910</v>
      </c>
      <c r="AI275" s="175">
        <v>0.8904519963922614</v>
      </c>
      <c r="AJ275" s="175">
        <v>6009</v>
      </c>
      <c r="AK275" s="175">
        <v>0.08895369493131218</v>
      </c>
      <c r="AL275" s="175">
        <v>0.08567261582084919</v>
      </c>
      <c r="AM275" s="175">
        <v>1</v>
      </c>
      <c r="AN275" s="175">
        <v>15555</v>
      </c>
      <c r="AO275" s="175">
        <v>7</v>
      </c>
      <c r="AP275" s="175">
        <v>0</v>
      </c>
      <c r="AQ275" s="175">
        <v>0</v>
      </c>
      <c r="AR275" s="175">
        <v>364.67</v>
      </c>
      <c r="AS275" s="175">
        <v>185.24145117503497</v>
      </c>
      <c r="AT275" s="175">
        <v>0.09798304874950864</v>
      </c>
      <c r="AU275" s="175">
        <v>2383</v>
      </c>
      <c r="AV275" s="175">
        <v>20625</v>
      </c>
      <c r="AW275" s="175">
        <v>0.11553939393939394</v>
      </c>
      <c r="AX275" s="175">
        <v>0.060078160209908936</v>
      </c>
      <c r="AY275" s="175">
        <v>0</v>
      </c>
      <c r="AZ275" s="207">
        <v>36635</v>
      </c>
      <c r="BA275" s="175">
        <v>29405</v>
      </c>
      <c r="BB275" s="175">
        <v>1.2458765516068695</v>
      </c>
      <c r="BC275" s="175">
        <v>0.8561817041831576</v>
      </c>
      <c r="BD275" s="175">
        <v>0</v>
      </c>
      <c r="BE275" s="175">
        <v>7</v>
      </c>
      <c r="BF275" s="207">
        <v>-425243.51999999996</v>
      </c>
      <c r="BG275" s="207">
        <v>-520266.24</v>
      </c>
      <c r="BH275" s="207">
        <v>-276963.19999999995</v>
      </c>
      <c r="BI275" s="207">
        <v>-1125446.4</v>
      </c>
      <c r="BJ275" s="207">
        <v>0</v>
      </c>
      <c r="BK275" s="207">
        <v>0</v>
      </c>
      <c r="BL275" s="207">
        <v>-766334</v>
      </c>
      <c r="BM275" s="207">
        <v>-4448158.334986984</v>
      </c>
      <c r="BN275" s="207">
        <v>-2875013.12</v>
      </c>
      <c r="BO275" s="207">
        <v>274345.0710465126</v>
      </c>
      <c r="BP275" s="207">
        <v>4274447</v>
      </c>
      <c r="BQ275" s="207">
        <v>1565331</v>
      </c>
      <c r="BR275" s="207">
        <v>3626619.6572058755</v>
      </c>
      <c r="BS275" s="207">
        <v>138381.79957621533</v>
      </c>
      <c r="BT275" s="207">
        <v>123045.09646081526</v>
      </c>
      <c r="BU275" s="207">
        <v>1613817.4548447337</v>
      </c>
      <c r="BV275" s="207">
        <v>3371237.1497896183</v>
      </c>
      <c r="BW275" s="207">
        <v>4725068.448890915</v>
      </c>
      <c r="BX275" s="207">
        <v>1837727.4642141988</v>
      </c>
      <c r="BY275" s="207">
        <v>2936288.512976931</v>
      </c>
      <c r="BZ275" s="207">
        <v>6079.679999999999</v>
      </c>
      <c r="CA275" s="207">
        <v>-840885.2810073787</v>
      </c>
      <c r="CB275" s="207">
        <v>-1326794.529960866</v>
      </c>
      <c r="CC275" s="207">
        <v>-13069029.664947849</v>
      </c>
      <c r="CD275" s="207">
        <v>0</v>
      </c>
      <c r="CE275" s="207">
        <v>3823606.4028757033</v>
      </c>
      <c r="CF275" s="207">
        <v>0</v>
      </c>
      <c r="CG275" s="207">
        <v>3591451.4696645495</v>
      </c>
      <c r="CH275" s="207">
        <v>24392386</v>
      </c>
      <c r="CI275" s="207">
        <v>1288743.1440999995</v>
      </c>
      <c r="CJ275" s="207">
        <v>6063882.790459998</v>
      </c>
      <c r="CK275" s="207">
        <v>-4775139.646359999</v>
      </c>
      <c r="CL275" s="207">
        <v>92396437.65885276</v>
      </c>
      <c r="CM275" s="207">
        <v>107291932.40222897</v>
      </c>
      <c r="CN275" s="207">
        <v>67392</v>
      </c>
    </row>
    <row r="276" spans="1:92" ht="9.75">
      <c r="A276" s="207">
        <v>908</v>
      </c>
      <c r="B276" s="207" t="s">
        <v>332</v>
      </c>
      <c r="C276" s="207">
        <v>21137</v>
      </c>
      <c r="D276" s="207">
        <v>77109002.44</v>
      </c>
      <c r="E276" s="207">
        <v>26856337.16455954</v>
      </c>
      <c r="F276" s="207">
        <v>3618839.5996478684</v>
      </c>
      <c r="G276" s="207">
        <v>107584179.2042074</v>
      </c>
      <c r="H276" s="207">
        <v>3654.72</v>
      </c>
      <c r="I276" s="207">
        <v>77249816.64</v>
      </c>
      <c r="J276" s="207">
        <v>30334362.564207405</v>
      </c>
      <c r="K276" s="207">
        <v>629628.5940836114</v>
      </c>
      <c r="L276" s="207">
        <v>-2374268.012983991</v>
      </c>
      <c r="M276" s="207">
        <v>0</v>
      </c>
      <c r="N276" s="207">
        <v>28589723.145307027</v>
      </c>
      <c r="O276" s="207">
        <v>4464690.965261757</v>
      </c>
      <c r="P276" s="207">
        <v>33054414.110568784</v>
      </c>
      <c r="Q276" s="207">
        <v>1143</v>
      </c>
      <c r="R276" s="207">
        <v>267</v>
      </c>
      <c r="S276" s="207">
        <v>1518</v>
      </c>
      <c r="T276" s="207">
        <v>726</v>
      </c>
      <c r="U276" s="207">
        <v>698</v>
      </c>
      <c r="V276" s="207">
        <v>11196</v>
      </c>
      <c r="W276" s="207">
        <v>3246</v>
      </c>
      <c r="X276" s="207">
        <v>1621</v>
      </c>
      <c r="Y276" s="207">
        <v>722</v>
      </c>
      <c r="Z276" s="207">
        <v>43</v>
      </c>
      <c r="AA276" s="207">
        <v>1</v>
      </c>
      <c r="AB276" s="207">
        <v>20367</v>
      </c>
      <c r="AC276" s="207">
        <v>726</v>
      </c>
      <c r="AD276" s="207">
        <v>5589</v>
      </c>
      <c r="AE276" s="480">
        <v>1.07859435427683</v>
      </c>
      <c r="AF276" s="207">
        <v>26856337.16455954</v>
      </c>
      <c r="AG276" s="175">
        <v>833</v>
      </c>
      <c r="AH276" s="175">
        <v>9294</v>
      </c>
      <c r="AI276" s="175">
        <v>0.9186848873098067</v>
      </c>
      <c r="AJ276" s="175">
        <v>726</v>
      </c>
      <c r="AK276" s="175">
        <v>0.034347352982920944</v>
      </c>
      <c r="AL276" s="175">
        <v>0.031066273872457948</v>
      </c>
      <c r="AM276" s="175">
        <v>0</v>
      </c>
      <c r="AN276" s="175">
        <v>43</v>
      </c>
      <c r="AO276" s="175">
        <v>1</v>
      </c>
      <c r="AP276" s="175">
        <v>0</v>
      </c>
      <c r="AQ276" s="175">
        <v>0</v>
      </c>
      <c r="AR276" s="175">
        <v>272.04</v>
      </c>
      <c r="AS276" s="175">
        <v>77.69813262755477</v>
      </c>
      <c r="AT276" s="175">
        <v>0.23360306775862327</v>
      </c>
      <c r="AU276" s="175">
        <v>615</v>
      </c>
      <c r="AV276" s="175">
        <v>6444</v>
      </c>
      <c r="AW276" s="175">
        <v>0.09543761638733705</v>
      </c>
      <c r="AX276" s="175">
        <v>0.03997638265785205</v>
      </c>
      <c r="AY276" s="175">
        <v>0</v>
      </c>
      <c r="AZ276" s="207">
        <v>6856</v>
      </c>
      <c r="BA276" s="175">
        <v>8116</v>
      </c>
      <c r="BB276" s="175">
        <v>0.8447511089206505</v>
      </c>
      <c r="BC276" s="175">
        <v>0.4550562614969387</v>
      </c>
      <c r="BD276" s="175">
        <v>0</v>
      </c>
      <c r="BE276" s="175">
        <v>1</v>
      </c>
      <c r="BF276" s="207">
        <v>-133368.16</v>
      </c>
      <c r="BG276" s="207">
        <v>-163169.91999999998</v>
      </c>
      <c r="BH276" s="207">
        <v>-86661.7</v>
      </c>
      <c r="BI276" s="207">
        <v>-352971.2</v>
      </c>
      <c r="BJ276" s="207">
        <v>0</v>
      </c>
      <c r="BK276" s="207">
        <v>0</v>
      </c>
      <c r="BL276" s="207">
        <v>606941</v>
      </c>
      <c r="BM276" s="207">
        <v>-842299.495054953</v>
      </c>
      <c r="BN276" s="207">
        <v>-899590.7200000001</v>
      </c>
      <c r="BO276" s="207">
        <v>29654.960622604936</v>
      </c>
      <c r="BP276" s="207">
        <v>1300662</v>
      </c>
      <c r="BQ276" s="207">
        <v>441444</v>
      </c>
      <c r="BR276" s="207">
        <v>804355.6399916415</v>
      </c>
      <c r="BS276" s="207">
        <v>27221.020783908443</v>
      </c>
      <c r="BT276" s="207">
        <v>143785.4359805037</v>
      </c>
      <c r="BU276" s="207">
        <v>492082.1333048082</v>
      </c>
      <c r="BV276" s="207">
        <v>907246.1630341989</v>
      </c>
      <c r="BW276" s="207">
        <v>1486362.2494838221</v>
      </c>
      <c r="BX276" s="207">
        <v>409666.72623455676</v>
      </c>
      <c r="BY276" s="207">
        <v>765592.4018031876</v>
      </c>
      <c r="BZ276" s="207">
        <v>1902.33</v>
      </c>
      <c r="CA276" s="207">
        <v>113355.31144835742</v>
      </c>
      <c r="CB276" s="207">
        <v>751853.6020709623</v>
      </c>
      <c r="CC276" s="207">
        <v>-2374268.012983991</v>
      </c>
      <c r="CD276" s="207">
        <v>0</v>
      </c>
      <c r="CE276" s="207">
        <v>907560.136237351</v>
      </c>
      <c r="CF276" s="207">
        <v>0</v>
      </c>
      <c r="CG276" s="207">
        <v>4464690.965261757</v>
      </c>
      <c r="CH276" s="207">
        <v>593859</v>
      </c>
      <c r="CI276" s="207">
        <v>325227.35850000003</v>
      </c>
      <c r="CJ276" s="207">
        <v>526766.3686200001</v>
      </c>
      <c r="CK276" s="207">
        <v>-201539.01012000005</v>
      </c>
      <c r="CL276" s="207">
        <v>33648273.110568784</v>
      </c>
      <c r="CM276" s="207">
        <v>37223587.08795264</v>
      </c>
      <c r="CN276" s="207">
        <v>21136</v>
      </c>
    </row>
    <row r="277" spans="1:92" ht="9.75">
      <c r="A277" s="207">
        <v>92</v>
      </c>
      <c r="B277" s="207" t="s">
        <v>334</v>
      </c>
      <c r="C277" s="207">
        <v>228166</v>
      </c>
      <c r="D277" s="207">
        <v>719416942.72</v>
      </c>
      <c r="E277" s="207">
        <v>193212951.9390696</v>
      </c>
      <c r="F277" s="207">
        <v>123942126.8341364</v>
      </c>
      <c r="G277" s="207">
        <v>1036572021.493206</v>
      </c>
      <c r="H277" s="207">
        <v>3654.72</v>
      </c>
      <c r="I277" s="207">
        <v>833882843.52</v>
      </c>
      <c r="J277" s="207">
        <v>202689177.97320604</v>
      </c>
      <c r="K277" s="207">
        <v>10487789.96465734</v>
      </c>
      <c r="L277" s="207">
        <v>-53454650.99935918</v>
      </c>
      <c r="M277" s="207">
        <v>0</v>
      </c>
      <c r="N277" s="207">
        <v>159722316.9385042</v>
      </c>
      <c r="O277" s="207">
        <v>-38593638.96754232</v>
      </c>
      <c r="P277" s="207">
        <v>121128677.97096187</v>
      </c>
      <c r="Q277" s="207">
        <v>15905</v>
      </c>
      <c r="R277" s="207">
        <v>2666</v>
      </c>
      <c r="S277" s="207">
        <v>16345</v>
      </c>
      <c r="T277" s="207">
        <v>7545</v>
      </c>
      <c r="U277" s="207">
        <v>7372</v>
      </c>
      <c r="V277" s="207">
        <v>143389</v>
      </c>
      <c r="W277" s="207">
        <v>21543</v>
      </c>
      <c r="X277" s="207">
        <v>10344</v>
      </c>
      <c r="Y277" s="207">
        <v>3057</v>
      </c>
      <c r="Z277" s="207">
        <v>5559</v>
      </c>
      <c r="AA277" s="207">
        <v>21</v>
      </c>
      <c r="AB277" s="207">
        <v>179457</v>
      </c>
      <c r="AC277" s="207">
        <v>43129</v>
      </c>
      <c r="AD277" s="207">
        <v>34944</v>
      </c>
      <c r="AE277" s="480">
        <v>0.7188528791597998</v>
      </c>
      <c r="AF277" s="207">
        <v>193212951.9390696</v>
      </c>
      <c r="AG277" s="175">
        <v>10478</v>
      </c>
      <c r="AH277" s="175">
        <v>116592</v>
      </c>
      <c r="AI277" s="175">
        <v>0.9211574753034564</v>
      </c>
      <c r="AJ277" s="175">
        <v>43129</v>
      </c>
      <c r="AK277" s="175">
        <v>0.18902465748621616</v>
      </c>
      <c r="AL277" s="175">
        <v>0.18574357837575317</v>
      </c>
      <c r="AM277" s="175">
        <v>1</v>
      </c>
      <c r="AN277" s="175">
        <v>5559</v>
      </c>
      <c r="AO277" s="175">
        <v>21</v>
      </c>
      <c r="AP277" s="175">
        <v>0</v>
      </c>
      <c r="AQ277" s="175">
        <v>0</v>
      </c>
      <c r="AR277" s="175">
        <v>238.37</v>
      </c>
      <c r="AS277" s="175">
        <v>957.1925997399002</v>
      </c>
      <c r="AT277" s="175">
        <v>0.01896224662188702</v>
      </c>
      <c r="AU277" s="175">
        <v>17450</v>
      </c>
      <c r="AV277" s="175">
        <v>82028</v>
      </c>
      <c r="AW277" s="175">
        <v>0.21273223777246794</v>
      </c>
      <c r="AX277" s="175">
        <v>0.15727100404298294</v>
      </c>
      <c r="AY277" s="175">
        <v>0</v>
      </c>
      <c r="AZ277" s="207">
        <v>116320</v>
      </c>
      <c r="BA277" s="175">
        <v>106531</v>
      </c>
      <c r="BB277" s="175">
        <v>1.0918887459988174</v>
      </c>
      <c r="BC277" s="175">
        <v>0.7021938985751055</v>
      </c>
      <c r="BD277" s="175">
        <v>0</v>
      </c>
      <c r="BE277" s="175">
        <v>21</v>
      </c>
      <c r="BF277" s="207">
        <v>-1407300.3699999999</v>
      </c>
      <c r="BG277" s="207">
        <v>-1721768.44</v>
      </c>
      <c r="BH277" s="207">
        <v>-935480.6</v>
      </c>
      <c r="BI277" s="207">
        <v>-3724550.9</v>
      </c>
      <c r="BJ277" s="207">
        <v>0</v>
      </c>
      <c r="BK277" s="207">
        <v>0</v>
      </c>
      <c r="BL277" s="207">
        <v>-3024032</v>
      </c>
      <c r="BM277" s="207">
        <v>-25285876.31496216</v>
      </c>
      <c r="BN277" s="207">
        <v>-9710744.96</v>
      </c>
      <c r="BO277" s="207">
        <v>-133128.08959154785</v>
      </c>
      <c r="BP277" s="207">
        <v>10598953</v>
      </c>
      <c r="BQ277" s="207">
        <v>4100799</v>
      </c>
      <c r="BR277" s="207">
        <v>9211292.593758624</v>
      </c>
      <c r="BS277" s="207">
        <v>227178.49044565213</v>
      </c>
      <c r="BT277" s="207">
        <v>82298.47186307986</v>
      </c>
      <c r="BU277" s="207">
        <v>3932399.72004996</v>
      </c>
      <c r="BV277" s="207">
        <v>9755745.8127085</v>
      </c>
      <c r="BW277" s="207">
        <v>13693210.390970083</v>
      </c>
      <c r="BX277" s="207">
        <v>4847253.448079878</v>
      </c>
      <c r="BY277" s="207">
        <v>8400914.958768297</v>
      </c>
      <c r="BZ277" s="207">
        <v>20534.94</v>
      </c>
      <c r="CA277" s="207">
        <v>-536734.7048054747</v>
      </c>
      <c r="CB277" s="207">
        <v>-3673359.8543970226</v>
      </c>
      <c r="CC277" s="207">
        <v>-53454650.99935918</v>
      </c>
      <c r="CD277" s="207">
        <v>0</v>
      </c>
      <c r="CE277" s="207">
        <v>11551527.935120055</v>
      </c>
      <c r="CF277" s="207">
        <v>0</v>
      </c>
      <c r="CG277" s="207">
        <v>-38593638.96754232</v>
      </c>
      <c r="CH277" s="207">
        <v>17978651</v>
      </c>
      <c r="CI277" s="207">
        <v>3454546.6506000003</v>
      </c>
      <c r="CJ277" s="207">
        <v>9180110.067137996</v>
      </c>
      <c r="CK277" s="207">
        <v>-5725563.416537995</v>
      </c>
      <c r="CL277" s="207">
        <v>139107328.97096187</v>
      </c>
      <c r="CM277" s="207">
        <v>172324700.40615034</v>
      </c>
      <c r="CN277" s="207">
        <v>223027</v>
      </c>
    </row>
    <row r="278" spans="1:92" ht="9.75">
      <c r="A278" s="207">
        <v>915</v>
      </c>
      <c r="B278" s="207" t="s">
        <v>335</v>
      </c>
      <c r="C278" s="207">
        <v>20829</v>
      </c>
      <c r="D278" s="207">
        <v>73273644.97</v>
      </c>
      <c r="E278" s="207">
        <v>37730848.86513144</v>
      </c>
      <c r="F278" s="207">
        <v>4721198.448147692</v>
      </c>
      <c r="G278" s="207">
        <v>115725692.28327912</v>
      </c>
      <c r="H278" s="207">
        <v>3654.72</v>
      </c>
      <c r="I278" s="207">
        <v>76124162.88</v>
      </c>
      <c r="J278" s="207">
        <v>39601529.403279126</v>
      </c>
      <c r="K278" s="207">
        <v>983951.5870064107</v>
      </c>
      <c r="L278" s="207">
        <v>-3159774.468693257</v>
      </c>
      <c r="M278" s="207">
        <v>0</v>
      </c>
      <c r="N278" s="207">
        <v>37425706.52159228</v>
      </c>
      <c r="O278" s="207">
        <v>8596995.464220893</v>
      </c>
      <c r="P278" s="207">
        <v>46022701.98581317</v>
      </c>
      <c r="Q278" s="207">
        <v>882</v>
      </c>
      <c r="R278" s="207">
        <v>165</v>
      </c>
      <c r="S278" s="207">
        <v>1120</v>
      </c>
      <c r="T278" s="207">
        <v>596</v>
      </c>
      <c r="U278" s="207">
        <v>657</v>
      </c>
      <c r="V278" s="207">
        <v>11262</v>
      </c>
      <c r="W278" s="207">
        <v>3413</v>
      </c>
      <c r="X278" s="207">
        <v>1898</v>
      </c>
      <c r="Y278" s="207">
        <v>836</v>
      </c>
      <c r="Z278" s="207">
        <v>42</v>
      </c>
      <c r="AA278" s="207">
        <v>1</v>
      </c>
      <c r="AB278" s="207">
        <v>20127</v>
      </c>
      <c r="AC278" s="207">
        <v>659</v>
      </c>
      <c r="AD278" s="207">
        <v>6147</v>
      </c>
      <c r="AE278" s="480">
        <v>1.537739837599556</v>
      </c>
      <c r="AF278" s="207">
        <v>37730848.86513144</v>
      </c>
      <c r="AG278" s="175">
        <v>1212</v>
      </c>
      <c r="AH278" s="175">
        <v>9069</v>
      </c>
      <c r="AI278" s="175">
        <v>1.3698324714339192</v>
      </c>
      <c r="AJ278" s="175">
        <v>659</v>
      </c>
      <c r="AK278" s="175">
        <v>0.03163858082481156</v>
      </c>
      <c r="AL278" s="175">
        <v>0.028357501714348563</v>
      </c>
      <c r="AM278" s="175">
        <v>0</v>
      </c>
      <c r="AN278" s="175">
        <v>42</v>
      </c>
      <c r="AO278" s="175">
        <v>1</v>
      </c>
      <c r="AP278" s="175">
        <v>0</v>
      </c>
      <c r="AQ278" s="175">
        <v>0</v>
      </c>
      <c r="AR278" s="175">
        <v>385.63</v>
      </c>
      <c r="AS278" s="175">
        <v>54.01291393304463</v>
      </c>
      <c r="AT278" s="175">
        <v>0.33604041736042767</v>
      </c>
      <c r="AU278" s="175">
        <v>751</v>
      </c>
      <c r="AV278" s="175">
        <v>5624</v>
      </c>
      <c r="AW278" s="175">
        <v>0.1335348506401138</v>
      </c>
      <c r="AX278" s="175">
        <v>0.0780736169106288</v>
      </c>
      <c r="AY278" s="175">
        <v>0</v>
      </c>
      <c r="AZ278" s="207">
        <v>8294</v>
      </c>
      <c r="BA278" s="175">
        <v>7463</v>
      </c>
      <c r="BB278" s="175">
        <v>1.1113493233284202</v>
      </c>
      <c r="BC278" s="175">
        <v>0.7216544759047083</v>
      </c>
      <c r="BD278" s="175">
        <v>0</v>
      </c>
      <c r="BE278" s="175">
        <v>1</v>
      </c>
      <c r="BF278" s="207">
        <v>-133488.05</v>
      </c>
      <c r="BG278" s="207">
        <v>-163316.6</v>
      </c>
      <c r="BH278" s="207">
        <v>-85398.9</v>
      </c>
      <c r="BI278" s="207">
        <v>-353288.5</v>
      </c>
      <c r="BJ278" s="207">
        <v>0</v>
      </c>
      <c r="BK278" s="207">
        <v>0</v>
      </c>
      <c r="BL278" s="207">
        <v>496889</v>
      </c>
      <c r="BM278" s="207">
        <v>-1579359.0302348405</v>
      </c>
      <c r="BN278" s="207">
        <v>-886482.24</v>
      </c>
      <c r="BO278" s="207">
        <v>-27351.97135592252</v>
      </c>
      <c r="BP278" s="207">
        <v>1653793</v>
      </c>
      <c r="BQ278" s="207">
        <v>512148</v>
      </c>
      <c r="BR278" s="207">
        <v>1193037.444890245</v>
      </c>
      <c r="BS278" s="207">
        <v>56295.40430510851</v>
      </c>
      <c r="BT278" s="207">
        <v>159674.2018735389</v>
      </c>
      <c r="BU278" s="207">
        <v>682568.9884026675</v>
      </c>
      <c r="BV278" s="207">
        <v>970869.2276908858</v>
      </c>
      <c r="BW278" s="207">
        <v>1570206.396035505</v>
      </c>
      <c r="BX278" s="207">
        <v>455376.49303466274</v>
      </c>
      <c r="BY278" s="207">
        <v>874237.1679686434</v>
      </c>
      <c r="BZ278" s="207">
        <v>1874.61</v>
      </c>
      <c r="CA278" s="207">
        <v>208764.35289750661</v>
      </c>
      <c r="CB278" s="207">
        <v>680175.991541584</v>
      </c>
      <c r="CC278" s="207">
        <v>-3159774.468693257</v>
      </c>
      <c r="CD278" s="207">
        <v>0</v>
      </c>
      <c r="CE278" s="207">
        <v>1069398.2575607456</v>
      </c>
      <c r="CF278" s="207">
        <v>0</v>
      </c>
      <c r="CG278" s="207">
        <v>8596995.464220893</v>
      </c>
      <c r="CH278" s="207">
        <v>-2442273</v>
      </c>
      <c r="CI278" s="207">
        <v>314216.5263</v>
      </c>
      <c r="CJ278" s="207">
        <v>234775.41102000003</v>
      </c>
      <c r="CK278" s="207">
        <v>79441.11528</v>
      </c>
      <c r="CL278" s="207">
        <v>43580428.98581317</v>
      </c>
      <c r="CM278" s="207">
        <v>48591685.39436525</v>
      </c>
      <c r="CN278" s="207">
        <v>0</v>
      </c>
    </row>
    <row r="279" spans="1:92" ht="9.75">
      <c r="A279" s="207">
        <v>918</v>
      </c>
      <c r="B279" s="207" t="s">
        <v>336</v>
      </c>
      <c r="C279" s="207">
        <v>2285</v>
      </c>
      <c r="D279" s="207">
        <v>8389941.700000001</v>
      </c>
      <c r="E279" s="207">
        <v>3072999.193815024</v>
      </c>
      <c r="F279" s="207">
        <v>466282.3522466321</v>
      </c>
      <c r="G279" s="207">
        <v>11929223.246061658</v>
      </c>
      <c r="H279" s="207">
        <v>3654.72</v>
      </c>
      <c r="I279" s="207">
        <v>8351035.199999999</v>
      </c>
      <c r="J279" s="207">
        <v>3578188.046061659</v>
      </c>
      <c r="K279" s="207">
        <v>52105.2773808717</v>
      </c>
      <c r="L279" s="207">
        <v>-264091.42650114506</v>
      </c>
      <c r="M279" s="207">
        <v>0</v>
      </c>
      <c r="N279" s="207">
        <v>3366201.8969413857</v>
      </c>
      <c r="O279" s="207">
        <v>1518392.1570508375</v>
      </c>
      <c r="P279" s="207">
        <v>4884594.053992223</v>
      </c>
      <c r="Q279" s="207">
        <v>124</v>
      </c>
      <c r="R279" s="207">
        <v>20</v>
      </c>
      <c r="S279" s="207">
        <v>135</v>
      </c>
      <c r="T279" s="207">
        <v>61</v>
      </c>
      <c r="U279" s="207">
        <v>74</v>
      </c>
      <c r="V279" s="207">
        <v>1231</v>
      </c>
      <c r="W279" s="207">
        <v>354</v>
      </c>
      <c r="X279" s="207">
        <v>181</v>
      </c>
      <c r="Y279" s="207">
        <v>105</v>
      </c>
      <c r="Z279" s="207">
        <v>16</v>
      </c>
      <c r="AA279" s="207">
        <v>0</v>
      </c>
      <c r="AB279" s="207">
        <v>2219</v>
      </c>
      <c r="AC279" s="207">
        <v>50</v>
      </c>
      <c r="AD279" s="207">
        <v>640</v>
      </c>
      <c r="AE279" s="480">
        <v>1.1416446648865317</v>
      </c>
      <c r="AF279" s="207">
        <v>3072999.193815024</v>
      </c>
      <c r="AG279" s="175">
        <v>68</v>
      </c>
      <c r="AH279" s="175">
        <v>1054</v>
      </c>
      <c r="AI279" s="175">
        <v>0.661290891271916</v>
      </c>
      <c r="AJ279" s="175">
        <v>50</v>
      </c>
      <c r="AK279" s="175">
        <v>0.02188183807439825</v>
      </c>
      <c r="AL279" s="175">
        <v>0.018600758963935253</v>
      </c>
      <c r="AM279" s="175">
        <v>0</v>
      </c>
      <c r="AN279" s="175">
        <v>16</v>
      </c>
      <c r="AO279" s="175">
        <v>0</v>
      </c>
      <c r="AP279" s="175">
        <v>0</v>
      </c>
      <c r="AQ279" s="175">
        <v>0</v>
      </c>
      <c r="AR279" s="175">
        <v>188.85</v>
      </c>
      <c r="AS279" s="175">
        <v>12.099549907333863</v>
      </c>
      <c r="AT279" s="175">
        <v>1.5000989524338963</v>
      </c>
      <c r="AU279" s="175">
        <v>111</v>
      </c>
      <c r="AV279" s="175">
        <v>649</v>
      </c>
      <c r="AW279" s="175">
        <v>0.17103235747303544</v>
      </c>
      <c r="AX279" s="175">
        <v>0.11557112374355044</v>
      </c>
      <c r="AY279" s="175">
        <v>0</v>
      </c>
      <c r="AZ279" s="207">
        <v>741</v>
      </c>
      <c r="BA279" s="175">
        <v>1004</v>
      </c>
      <c r="BB279" s="175">
        <v>0.7380478087649402</v>
      </c>
      <c r="BC279" s="175">
        <v>0.3483529613412284</v>
      </c>
      <c r="BD279" s="175">
        <v>0</v>
      </c>
      <c r="BE279" s="175">
        <v>0</v>
      </c>
      <c r="BF279" s="207">
        <v>-14613.96</v>
      </c>
      <c r="BG279" s="207">
        <v>-17879.52</v>
      </c>
      <c r="BH279" s="207">
        <v>-9368.5</v>
      </c>
      <c r="BI279" s="207">
        <v>-38677.2</v>
      </c>
      <c r="BJ279" s="207">
        <v>0</v>
      </c>
      <c r="BK279" s="207">
        <v>0</v>
      </c>
      <c r="BL279" s="207">
        <v>-27273</v>
      </c>
      <c r="BM279" s="207">
        <v>8550.555684776176</v>
      </c>
      <c r="BN279" s="207">
        <v>-97249.6</v>
      </c>
      <c r="BO279" s="207">
        <v>4954.212569518015</v>
      </c>
      <c r="BP279" s="207">
        <v>248075</v>
      </c>
      <c r="BQ279" s="207">
        <v>85184</v>
      </c>
      <c r="BR279" s="207">
        <v>189146.4491313759</v>
      </c>
      <c r="BS279" s="207">
        <v>8965.572928964224</v>
      </c>
      <c r="BT279" s="207">
        <v>6698.7777193360425</v>
      </c>
      <c r="BU279" s="207">
        <v>69879.02413088459</v>
      </c>
      <c r="BV279" s="207">
        <v>152070.0449183733</v>
      </c>
      <c r="BW279" s="207">
        <v>249805.59383009965</v>
      </c>
      <c r="BX279" s="207">
        <v>73752.9668179956</v>
      </c>
      <c r="BY279" s="207">
        <v>117200.99420505411</v>
      </c>
      <c r="BZ279" s="207">
        <v>205.65</v>
      </c>
      <c r="CA279" s="207">
        <v>-2681.9647554392523</v>
      </c>
      <c r="CB279" s="207">
        <v>-24795.102185921234</v>
      </c>
      <c r="CC279" s="207">
        <v>-264091.42650114506</v>
      </c>
      <c r="CD279" s="207">
        <v>0</v>
      </c>
      <c r="CE279" s="207">
        <v>159065.56569936004</v>
      </c>
      <c r="CF279" s="207">
        <v>0</v>
      </c>
      <c r="CG279" s="207">
        <v>1518392.1570508375</v>
      </c>
      <c r="CH279" s="207">
        <v>-491464</v>
      </c>
      <c r="CI279" s="207">
        <v>17671.706000000002</v>
      </c>
      <c r="CJ279" s="207">
        <v>61171.29</v>
      </c>
      <c r="CK279" s="207">
        <v>-43499.584</v>
      </c>
      <c r="CL279" s="207">
        <v>4393130.053992223</v>
      </c>
      <c r="CM279" s="207">
        <v>5550172.731345398</v>
      </c>
      <c r="CN279" s="207">
        <v>2218</v>
      </c>
    </row>
    <row r="280" spans="1:92" ht="9.75">
      <c r="A280" s="207">
        <v>921</v>
      </c>
      <c r="B280" s="207" t="s">
        <v>337</v>
      </c>
      <c r="C280" s="207">
        <v>2058</v>
      </c>
      <c r="D280" s="207">
        <v>7911193.850000001</v>
      </c>
      <c r="E280" s="207">
        <v>4997602.21807187</v>
      </c>
      <c r="F280" s="207">
        <v>671026.510999892</v>
      </c>
      <c r="G280" s="207">
        <v>13579822.579071762</v>
      </c>
      <c r="H280" s="207">
        <v>3654.72</v>
      </c>
      <c r="I280" s="207">
        <v>7521413.76</v>
      </c>
      <c r="J280" s="207">
        <v>6058408.819071762</v>
      </c>
      <c r="K280" s="207">
        <v>415243.52657830773</v>
      </c>
      <c r="L280" s="207">
        <v>-159359.41444144872</v>
      </c>
      <c r="M280" s="207">
        <v>0</v>
      </c>
      <c r="N280" s="207">
        <v>6314292.931208622</v>
      </c>
      <c r="O280" s="207">
        <v>2336856.915786362</v>
      </c>
      <c r="P280" s="207">
        <v>8651149.846994983</v>
      </c>
      <c r="Q280" s="207">
        <v>63</v>
      </c>
      <c r="R280" s="207">
        <v>12</v>
      </c>
      <c r="S280" s="207">
        <v>101</v>
      </c>
      <c r="T280" s="207">
        <v>45</v>
      </c>
      <c r="U280" s="207">
        <v>58</v>
      </c>
      <c r="V280" s="207">
        <v>953</v>
      </c>
      <c r="W280" s="207">
        <v>448</v>
      </c>
      <c r="X280" s="207">
        <v>257</v>
      </c>
      <c r="Y280" s="207">
        <v>121</v>
      </c>
      <c r="Z280" s="207">
        <v>4</v>
      </c>
      <c r="AA280" s="207">
        <v>0</v>
      </c>
      <c r="AB280" s="207">
        <v>2021</v>
      </c>
      <c r="AC280" s="207">
        <v>33</v>
      </c>
      <c r="AD280" s="207">
        <v>826</v>
      </c>
      <c r="AE280" s="480">
        <v>2.0614415474465746</v>
      </c>
      <c r="AF280" s="207">
        <v>4997602.21807187</v>
      </c>
      <c r="AG280" s="175">
        <v>94</v>
      </c>
      <c r="AH280" s="175">
        <v>807</v>
      </c>
      <c r="AI280" s="175">
        <v>1.1939291556173253</v>
      </c>
      <c r="AJ280" s="175">
        <v>33</v>
      </c>
      <c r="AK280" s="175">
        <v>0.016034985422740525</v>
      </c>
      <c r="AL280" s="175">
        <v>0.012753906312277529</v>
      </c>
      <c r="AM280" s="175">
        <v>0</v>
      </c>
      <c r="AN280" s="175">
        <v>4</v>
      </c>
      <c r="AO280" s="175">
        <v>0</v>
      </c>
      <c r="AP280" s="175">
        <v>0</v>
      </c>
      <c r="AQ280" s="175">
        <v>0</v>
      </c>
      <c r="AR280" s="175">
        <v>422.62</v>
      </c>
      <c r="AS280" s="175">
        <v>4.869622829018977</v>
      </c>
      <c r="AT280" s="175">
        <v>3.727295270744765</v>
      </c>
      <c r="AU280" s="175">
        <v>79</v>
      </c>
      <c r="AV280" s="175">
        <v>490</v>
      </c>
      <c r="AW280" s="175">
        <v>0.16122448979591836</v>
      </c>
      <c r="AX280" s="175">
        <v>0.10576325606643336</v>
      </c>
      <c r="AY280" s="175">
        <v>0.8039999999999999</v>
      </c>
      <c r="AZ280" s="207">
        <v>557</v>
      </c>
      <c r="BA280" s="175">
        <v>677</v>
      </c>
      <c r="BB280" s="175">
        <v>0.8227474150664698</v>
      </c>
      <c r="BC280" s="175">
        <v>0.4330525676427579</v>
      </c>
      <c r="BD280" s="175">
        <v>0</v>
      </c>
      <c r="BE280" s="175">
        <v>0</v>
      </c>
      <c r="BF280" s="207">
        <v>-13213.14</v>
      </c>
      <c r="BG280" s="207">
        <v>-16165.68</v>
      </c>
      <c r="BH280" s="207">
        <v>-8437.8</v>
      </c>
      <c r="BI280" s="207">
        <v>-34969.799999999996</v>
      </c>
      <c r="BJ280" s="207">
        <v>0</v>
      </c>
      <c r="BK280" s="207">
        <v>0</v>
      </c>
      <c r="BL280" s="207">
        <v>-66078</v>
      </c>
      <c r="BM280" s="207">
        <v>-50168.939743789444</v>
      </c>
      <c r="BN280" s="207">
        <v>-87588.48000000001</v>
      </c>
      <c r="BO280" s="207">
        <v>186918.53762630746</v>
      </c>
      <c r="BP280" s="207">
        <v>272212</v>
      </c>
      <c r="BQ280" s="207">
        <v>80979</v>
      </c>
      <c r="BR280" s="207">
        <v>222117.1668681534</v>
      </c>
      <c r="BS280" s="207">
        <v>13393.678597821072</v>
      </c>
      <c r="BT280" s="207">
        <v>24441.04425130178</v>
      </c>
      <c r="BU280" s="207">
        <v>105814.7538803817</v>
      </c>
      <c r="BV280" s="207">
        <v>121929.47807716508</v>
      </c>
      <c r="BW280" s="207">
        <v>201205.73777891742</v>
      </c>
      <c r="BX280" s="207">
        <v>64741.53751084909</v>
      </c>
      <c r="BY280" s="207">
        <v>110994.11100456932</v>
      </c>
      <c r="BZ280" s="207">
        <v>185.22</v>
      </c>
      <c r="CA280" s="207">
        <v>-6743.0523239666945</v>
      </c>
      <c r="CB280" s="207">
        <v>114282.70530234076</v>
      </c>
      <c r="CC280" s="207">
        <v>-159359.41444144872</v>
      </c>
      <c r="CD280" s="207">
        <v>0</v>
      </c>
      <c r="CE280" s="207">
        <v>154615.7049721652</v>
      </c>
      <c r="CF280" s="207">
        <v>0</v>
      </c>
      <c r="CG280" s="207">
        <v>2336856.915786362</v>
      </c>
      <c r="CH280" s="207">
        <v>204284</v>
      </c>
      <c r="CI280" s="207">
        <v>189019.28610000003</v>
      </c>
      <c r="CJ280" s="207">
        <v>45810.4994</v>
      </c>
      <c r="CK280" s="207">
        <v>143208.78670000003</v>
      </c>
      <c r="CL280" s="207">
        <v>8855433.846994983</v>
      </c>
      <c r="CM280" s="207">
        <v>9519298.541917767</v>
      </c>
      <c r="CN280" s="207">
        <v>21155</v>
      </c>
    </row>
    <row r="281" spans="1:92" ht="9.75">
      <c r="A281" s="207">
        <v>922</v>
      </c>
      <c r="B281" s="207" t="s">
        <v>338</v>
      </c>
      <c r="C281" s="207">
        <v>4393</v>
      </c>
      <c r="D281" s="207">
        <v>16915185.8</v>
      </c>
      <c r="E281" s="207">
        <v>3925022.0304156905</v>
      </c>
      <c r="F281" s="207">
        <v>622377.0489263572</v>
      </c>
      <c r="G281" s="207">
        <v>21462584.87934205</v>
      </c>
      <c r="H281" s="207">
        <v>3654.72</v>
      </c>
      <c r="I281" s="207">
        <v>16055184.959999999</v>
      </c>
      <c r="J281" s="207">
        <v>5407399.91934205</v>
      </c>
      <c r="K281" s="207">
        <v>14346.221363619306</v>
      </c>
      <c r="L281" s="207">
        <v>-569732.4460825726</v>
      </c>
      <c r="M281" s="207">
        <v>0</v>
      </c>
      <c r="N281" s="207">
        <v>4852013.694623097</v>
      </c>
      <c r="O281" s="207">
        <v>2001247.5382749531</v>
      </c>
      <c r="P281" s="207">
        <v>6853261.23289805</v>
      </c>
      <c r="Q281" s="207">
        <v>286</v>
      </c>
      <c r="R281" s="207">
        <v>70</v>
      </c>
      <c r="S281" s="207">
        <v>416</v>
      </c>
      <c r="T281" s="207">
        <v>229</v>
      </c>
      <c r="U281" s="207">
        <v>191</v>
      </c>
      <c r="V281" s="207">
        <v>2394</v>
      </c>
      <c r="W281" s="207">
        <v>463</v>
      </c>
      <c r="X281" s="207">
        <v>227</v>
      </c>
      <c r="Y281" s="207">
        <v>117</v>
      </c>
      <c r="Z281" s="207">
        <v>15</v>
      </c>
      <c r="AA281" s="207">
        <v>0</v>
      </c>
      <c r="AB281" s="207">
        <v>4301</v>
      </c>
      <c r="AC281" s="207">
        <v>77</v>
      </c>
      <c r="AD281" s="207">
        <v>807</v>
      </c>
      <c r="AE281" s="480">
        <v>0.7584651052773977</v>
      </c>
      <c r="AF281" s="207">
        <v>3925022.0304156905</v>
      </c>
      <c r="AG281" s="175">
        <v>125</v>
      </c>
      <c r="AH281" s="175">
        <v>2109</v>
      </c>
      <c r="AI281" s="175">
        <v>0.607515932593332</v>
      </c>
      <c r="AJ281" s="175">
        <v>77</v>
      </c>
      <c r="AK281" s="175">
        <v>0.017527885272023674</v>
      </c>
      <c r="AL281" s="175">
        <v>0.014246806161560679</v>
      </c>
      <c r="AM281" s="175">
        <v>0</v>
      </c>
      <c r="AN281" s="175">
        <v>15</v>
      </c>
      <c r="AO281" s="175">
        <v>0</v>
      </c>
      <c r="AP281" s="175">
        <v>0</v>
      </c>
      <c r="AQ281" s="175">
        <v>0</v>
      </c>
      <c r="AR281" s="175">
        <v>301.02</v>
      </c>
      <c r="AS281" s="175">
        <v>14.593714703341972</v>
      </c>
      <c r="AT281" s="175">
        <v>1.243721869988091</v>
      </c>
      <c r="AU281" s="175">
        <v>115</v>
      </c>
      <c r="AV281" s="175">
        <v>1518</v>
      </c>
      <c r="AW281" s="175">
        <v>0.07575757575757576</v>
      </c>
      <c r="AX281" s="175">
        <v>0.020296342028090754</v>
      </c>
      <c r="AY281" s="175">
        <v>0</v>
      </c>
      <c r="AZ281" s="207">
        <v>844</v>
      </c>
      <c r="BA281" s="175">
        <v>1920</v>
      </c>
      <c r="BB281" s="175">
        <v>0.4395833333333333</v>
      </c>
      <c r="BC281" s="175">
        <v>0.04988848590962147</v>
      </c>
      <c r="BD281" s="175">
        <v>0</v>
      </c>
      <c r="BE281" s="175">
        <v>0</v>
      </c>
      <c r="BF281" s="207">
        <v>-28142.6</v>
      </c>
      <c r="BG281" s="207">
        <v>-34431.2</v>
      </c>
      <c r="BH281" s="207">
        <v>-18011.3</v>
      </c>
      <c r="BI281" s="207">
        <v>-74482</v>
      </c>
      <c r="BJ281" s="207">
        <v>0</v>
      </c>
      <c r="BK281" s="207">
        <v>0</v>
      </c>
      <c r="BL281" s="207">
        <v>7844</v>
      </c>
      <c r="BM281" s="207">
        <v>-96611.70667005992</v>
      </c>
      <c r="BN281" s="207">
        <v>-186966.08000000002</v>
      </c>
      <c r="BO281" s="207">
        <v>-17408.788966968656</v>
      </c>
      <c r="BP281" s="207">
        <v>372593</v>
      </c>
      <c r="BQ281" s="207">
        <v>113630</v>
      </c>
      <c r="BR281" s="207">
        <v>247453.05399288182</v>
      </c>
      <c r="BS281" s="207">
        <v>4791.849889109826</v>
      </c>
      <c r="BT281" s="207">
        <v>24729.80966282126</v>
      </c>
      <c r="BU281" s="207">
        <v>87174.84135904237</v>
      </c>
      <c r="BV281" s="207">
        <v>227204.16309526682</v>
      </c>
      <c r="BW281" s="207">
        <v>331634.24889975326</v>
      </c>
      <c r="BX281" s="207">
        <v>90740.24528226476</v>
      </c>
      <c r="BY281" s="207">
        <v>175356.23759167743</v>
      </c>
      <c r="BZ281" s="207">
        <v>395.37</v>
      </c>
      <c r="CA281" s="207">
        <v>12771.239554456046</v>
      </c>
      <c r="CB281" s="207">
        <v>3601.820587487391</v>
      </c>
      <c r="CC281" s="207">
        <v>-569732.4460825726</v>
      </c>
      <c r="CD281" s="207">
        <v>0</v>
      </c>
      <c r="CE281" s="207">
        <v>232811.2344942775</v>
      </c>
      <c r="CF281" s="207">
        <v>0</v>
      </c>
      <c r="CG281" s="207">
        <v>2001247.5382749531</v>
      </c>
      <c r="CH281" s="207">
        <v>-930232</v>
      </c>
      <c r="CI281" s="207">
        <v>167269.4941</v>
      </c>
      <c r="CJ281" s="207">
        <v>107987.71728</v>
      </c>
      <c r="CK281" s="207">
        <v>59281.776820000014</v>
      </c>
      <c r="CL281" s="207">
        <v>5923029.23289805</v>
      </c>
      <c r="CM281" s="207">
        <v>7722465.2828947045</v>
      </c>
      <c r="CN281" s="207">
        <v>2316</v>
      </c>
    </row>
    <row r="282" spans="1:92" ht="9.75">
      <c r="A282" s="207">
        <v>924</v>
      </c>
      <c r="B282" s="207" t="s">
        <v>339</v>
      </c>
      <c r="C282" s="207">
        <v>3166</v>
      </c>
      <c r="D282" s="207">
        <v>12110683.32</v>
      </c>
      <c r="E282" s="207">
        <v>4933279.848558134</v>
      </c>
      <c r="F282" s="207">
        <v>730974.2039285194</v>
      </c>
      <c r="G282" s="207">
        <v>17774937.372486655</v>
      </c>
      <c r="H282" s="207">
        <v>3654.72</v>
      </c>
      <c r="I282" s="207">
        <v>11570843.52</v>
      </c>
      <c r="J282" s="207">
        <v>6204093.852486655</v>
      </c>
      <c r="K282" s="207">
        <v>219978.04587562178</v>
      </c>
      <c r="L282" s="207">
        <v>-286017.64771829755</v>
      </c>
      <c r="M282" s="207">
        <v>0</v>
      </c>
      <c r="N282" s="207">
        <v>6138054.25064398</v>
      </c>
      <c r="O282" s="207">
        <v>2782829.5549176997</v>
      </c>
      <c r="P282" s="207">
        <v>8920883.80556168</v>
      </c>
      <c r="Q282" s="207">
        <v>163</v>
      </c>
      <c r="R282" s="207">
        <v>40</v>
      </c>
      <c r="S282" s="207">
        <v>244</v>
      </c>
      <c r="T282" s="207">
        <v>95</v>
      </c>
      <c r="U282" s="207">
        <v>95</v>
      </c>
      <c r="V282" s="207">
        <v>1605</v>
      </c>
      <c r="W282" s="207">
        <v>500</v>
      </c>
      <c r="X282" s="207">
        <v>290</v>
      </c>
      <c r="Y282" s="207">
        <v>134</v>
      </c>
      <c r="Z282" s="207">
        <v>51</v>
      </c>
      <c r="AA282" s="207">
        <v>0</v>
      </c>
      <c r="AB282" s="207">
        <v>3046</v>
      </c>
      <c r="AC282" s="207">
        <v>69</v>
      </c>
      <c r="AD282" s="207">
        <v>924</v>
      </c>
      <c r="AE282" s="480">
        <v>1.322755424667583</v>
      </c>
      <c r="AF282" s="207">
        <v>4933279.848558134</v>
      </c>
      <c r="AG282" s="175">
        <v>90</v>
      </c>
      <c r="AH282" s="175">
        <v>1436</v>
      </c>
      <c r="AI282" s="175">
        <v>0.6424100232063529</v>
      </c>
      <c r="AJ282" s="175">
        <v>69</v>
      </c>
      <c r="AK282" s="175">
        <v>0.021794061907770057</v>
      </c>
      <c r="AL282" s="175">
        <v>0.01851298279730706</v>
      </c>
      <c r="AM282" s="175">
        <v>0</v>
      </c>
      <c r="AN282" s="175">
        <v>51</v>
      </c>
      <c r="AO282" s="175">
        <v>0</v>
      </c>
      <c r="AP282" s="175">
        <v>0</v>
      </c>
      <c r="AQ282" s="175">
        <v>0</v>
      </c>
      <c r="AR282" s="175">
        <v>502.13</v>
      </c>
      <c r="AS282" s="175">
        <v>6.305140103160536</v>
      </c>
      <c r="AT282" s="175">
        <v>2.87868657063068</v>
      </c>
      <c r="AU282" s="175">
        <v>88</v>
      </c>
      <c r="AV282" s="175">
        <v>828</v>
      </c>
      <c r="AW282" s="175">
        <v>0.10628019323671498</v>
      </c>
      <c r="AX282" s="175">
        <v>0.05081895950722997</v>
      </c>
      <c r="AY282" s="175">
        <v>0.18286666666666668</v>
      </c>
      <c r="AZ282" s="207">
        <v>1087</v>
      </c>
      <c r="BA282" s="175">
        <v>1281</v>
      </c>
      <c r="BB282" s="175">
        <v>0.8485558157689306</v>
      </c>
      <c r="BC282" s="175">
        <v>0.4588609683452187</v>
      </c>
      <c r="BD282" s="175">
        <v>0</v>
      </c>
      <c r="BE282" s="175">
        <v>0</v>
      </c>
      <c r="BF282" s="207">
        <v>-20292.96</v>
      </c>
      <c r="BG282" s="207">
        <v>-24827.52</v>
      </c>
      <c r="BH282" s="207">
        <v>-12980.599999999999</v>
      </c>
      <c r="BI282" s="207">
        <v>-53707.2</v>
      </c>
      <c r="BJ282" s="207">
        <v>0</v>
      </c>
      <c r="BK282" s="207">
        <v>0</v>
      </c>
      <c r="BL282" s="207">
        <v>-2352</v>
      </c>
      <c r="BM282" s="207">
        <v>-15660.653221790679</v>
      </c>
      <c r="BN282" s="207">
        <v>-134744.96000000002</v>
      </c>
      <c r="BO282" s="207">
        <v>96922.8365674261</v>
      </c>
      <c r="BP282" s="207">
        <v>317973</v>
      </c>
      <c r="BQ282" s="207">
        <v>108817</v>
      </c>
      <c r="BR282" s="207">
        <v>294373.6014908999</v>
      </c>
      <c r="BS282" s="207">
        <v>16327.450232480376</v>
      </c>
      <c r="BT282" s="207">
        <v>23733.81038234982</v>
      </c>
      <c r="BU282" s="207">
        <v>124141.35144134986</v>
      </c>
      <c r="BV282" s="207">
        <v>210098.3103882597</v>
      </c>
      <c r="BW282" s="207">
        <v>352062.1337239467</v>
      </c>
      <c r="BX282" s="207">
        <v>99079.52733505667</v>
      </c>
      <c r="BY282" s="207">
        <v>163968.8276254966</v>
      </c>
      <c r="BZ282" s="207">
        <v>284.94</v>
      </c>
      <c r="CA282" s="207">
        <v>-21589.971063933</v>
      </c>
      <c r="CB282" s="207">
        <v>73265.8055034931</v>
      </c>
      <c r="CC282" s="207">
        <v>-286017.64771829755</v>
      </c>
      <c r="CD282" s="207">
        <v>0</v>
      </c>
      <c r="CE282" s="207">
        <v>233081.60563204729</v>
      </c>
      <c r="CF282" s="207">
        <v>0</v>
      </c>
      <c r="CG282" s="207">
        <v>2782829.5549176997</v>
      </c>
      <c r="CH282" s="207">
        <v>-283287</v>
      </c>
      <c r="CI282" s="207">
        <v>61171.29000000001</v>
      </c>
      <c r="CJ282" s="207">
        <v>28682.538200000003</v>
      </c>
      <c r="CK282" s="207">
        <v>32488.751800000005</v>
      </c>
      <c r="CL282" s="207">
        <v>8637596.80556168</v>
      </c>
      <c r="CM282" s="207">
        <v>9677499.362534389</v>
      </c>
      <c r="CN282" s="207">
        <v>2094</v>
      </c>
    </row>
    <row r="283" spans="1:92" ht="9.75">
      <c r="A283" s="207">
        <v>925</v>
      </c>
      <c r="B283" s="207" t="s">
        <v>340</v>
      </c>
      <c r="C283" s="207">
        <v>3676</v>
      </c>
      <c r="D283" s="207">
        <v>13405886.15</v>
      </c>
      <c r="E283" s="207">
        <v>6486417.539439953</v>
      </c>
      <c r="F283" s="207">
        <v>1281574.4796293073</v>
      </c>
      <c r="G283" s="207">
        <v>21173878.16906926</v>
      </c>
      <c r="H283" s="207">
        <v>3654.72</v>
      </c>
      <c r="I283" s="207">
        <v>13434750.719999999</v>
      </c>
      <c r="J283" s="207">
        <v>7739127.449069262</v>
      </c>
      <c r="K283" s="207">
        <v>376948.74911737867</v>
      </c>
      <c r="L283" s="207">
        <v>-385817.3327979573</v>
      </c>
      <c r="M283" s="207">
        <v>0</v>
      </c>
      <c r="N283" s="207">
        <v>7730258.865388683</v>
      </c>
      <c r="O283" s="207">
        <v>1209443.18572223</v>
      </c>
      <c r="P283" s="207">
        <v>8939702.051110912</v>
      </c>
      <c r="Q283" s="207">
        <v>212</v>
      </c>
      <c r="R283" s="207">
        <v>43</v>
      </c>
      <c r="S283" s="207">
        <v>237</v>
      </c>
      <c r="T283" s="207">
        <v>125</v>
      </c>
      <c r="U283" s="207">
        <v>120</v>
      </c>
      <c r="V283" s="207">
        <v>1988</v>
      </c>
      <c r="W283" s="207">
        <v>529</v>
      </c>
      <c r="X283" s="207">
        <v>290</v>
      </c>
      <c r="Y283" s="207">
        <v>132</v>
      </c>
      <c r="Z283" s="207">
        <v>3</v>
      </c>
      <c r="AA283" s="207">
        <v>0</v>
      </c>
      <c r="AB283" s="207">
        <v>3559</v>
      </c>
      <c r="AC283" s="207">
        <v>114</v>
      </c>
      <c r="AD283" s="207">
        <v>951</v>
      </c>
      <c r="AE283" s="480">
        <v>1.4979044403657074</v>
      </c>
      <c r="AF283" s="207">
        <v>6486417.539439953</v>
      </c>
      <c r="AG283" s="175">
        <v>146</v>
      </c>
      <c r="AH283" s="175">
        <v>1690</v>
      </c>
      <c r="AI283" s="175">
        <v>0.8855037200877786</v>
      </c>
      <c r="AJ283" s="175">
        <v>114</v>
      </c>
      <c r="AK283" s="175">
        <v>0.031011969532100107</v>
      </c>
      <c r="AL283" s="175">
        <v>0.027730890421637112</v>
      </c>
      <c r="AM283" s="175">
        <v>0</v>
      </c>
      <c r="AN283" s="175">
        <v>3</v>
      </c>
      <c r="AO283" s="175">
        <v>0</v>
      </c>
      <c r="AP283" s="175">
        <v>0</v>
      </c>
      <c r="AQ283" s="175">
        <v>0</v>
      </c>
      <c r="AR283" s="175">
        <v>925.21</v>
      </c>
      <c r="AS283" s="175">
        <v>3.9731520411582233</v>
      </c>
      <c r="AT283" s="175">
        <v>4.568292869965799</v>
      </c>
      <c r="AU283" s="175">
        <v>137</v>
      </c>
      <c r="AV283" s="175">
        <v>1049</v>
      </c>
      <c r="AW283" s="175">
        <v>0.1306005719733079</v>
      </c>
      <c r="AX283" s="175">
        <v>0.0751393382438229</v>
      </c>
      <c r="AY283" s="175">
        <v>0.18396666666666667</v>
      </c>
      <c r="AZ283" s="207">
        <v>2052</v>
      </c>
      <c r="BA283" s="175">
        <v>1520</v>
      </c>
      <c r="BB283" s="175">
        <v>1.35</v>
      </c>
      <c r="BC283" s="175">
        <v>0.9603051525762882</v>
      </c>
      <c r="BD283" s="175">
        <v>0</v>
      </c>
      <c r="BE283" s="175">
        <v>0</v>
      </c>
      <c r="BF283" s="207">
        <v>-23252.35</v>
      </c>
      <c r="BG283" s="207">
        <v>-28448.2</v>
      </c>
      <c r="BH283" s="207">
        <v>-15071.599999999999</v>
      </c>
      <c r="BI283" s="207">
        <v>-61539.5</v>
      </c>
      <c r="BJ283" s="207">
        <v>0</v>
      </c>
      <c r="BK283" s="207">
        <v>0</v>
      </c>
      <c r="BL283" s="207">
        <v>81614</v>
      </c>
      <c r="BM283" s="207">
        <v>-114242.17739892926</v>
      </c>
      <c r="BN283" s="207">
        <v>-156450.56</v>
      </c>
      <c r="BO283" s="207">
        <v>104347.35000475124</v>
      </c>
      <c r="BP283" s="207">
        <v>384706</v>
      </c>
      <c r="BQ283" s="207">
        <v>121762</v>
      </c>
      <c r="BR283" s="207">
        <v>310293.88668585266</v>
      </c>
      <c r="BS283" s="207">
        <v>16652.30352597964</v>
      </c>
      <c r="BT283" s="207">
        <v>51151.930757798465</v>
      </c>
      <c r="BU283" s="207">
        <v>148958.9285510253</v>
      </c>
      <c r="BV283" s="207">
        <v>218427.78682115505</v>
      </c>
      <c r="BW283" s="207">
        <v>366883.5387637215</v>
      </c>
      <c r="BX283" s="207">
        <v>109056.87091837132</v>
      </c>
      <c r="BY283" s="207">
        <v>190013.84041287802</v>
      </c>
      <c r="BZ283" s="207">
        <v>330.84</v>
      </c>
      <c r="CA283" s="207">
        <v>-60398.975403779266</v>
      </c>
      <c r="CB283" s="207">
        <v>125893.21460097196</v>
      </c>
      <c r="CC283" s="207">
        <v>-385817.3327979573</v>
      </c>
      <c r="CD283" s="207">
        <v>0</v>
      </c>
      <c r="CE283" s="207">
        <v>272572.4091527862</v>
      </c>
      <c r="CF283" s="207">
        <v>0</v>
      </c>
      <c r="CG283" s="207">
        <v>1209443.18572223</v>
      </c>
      <c r="CH283" s="207">
        <v>37130</v>
      </c>
      <c r="CI283" s="207">
        <v>146811.09600000002</v>
      </c>
      <c r="CJ283" s="207">
        <v>78326.43844</v>
      </c>
      <c r="CK283" s="207">
        <v>68484.65756000002</v>
      </c>
      <c r="CL283" s="207">
        <v>8976832.051110912</v>
      </c>
      <c r="CM283" s="207">
        <v>10359487.400351956</v>
      </c>
      <c r="CN283" s="207">
        <v>4460</v>
      </c>
    </row>
    <row r="284" spans="1:92" ht="9.75">
      <c r="A284" s="207">
        <v>927</v>
      </c>
      <c r="B284" s="207" t="s">
        <v>341</v>
      </c>
      <c r="C284" s="207">
        <v>29211</v>
      </c>
      <c r="D284" s="207">
        <v>100340643.86</v>
      </c>
      <c r="E284" s="207">
        <v>26760351.11067077</v>
      </c>
      <c r="F284" s="207">
        <v>6398645.944244046</v>
      </c>
      <c r="G284" s="207">
        <v>133499640.91491482</v>
      </c>
      <c r="H284" s="207">
        <v>3654.72</v>
      </c>
      <c r="I284" s="207">
        <v>106758025.91999999</v>
      </c>
      <c r="J284" s="207">
        <v>26741614.99491483</v>
      </c>
      <c r="K284" s="207">
        <v>429696.1705716562</v>
      </c>
      <c r="L284" s="207">
        <v>-5128392.75748528</v>
      </c>
      <c r="M284" s="207">
        <v>0</v>
      </c>
      <c r="N284" s="207">
        <v>22042918.408001207</v>
      </c>
      <c r="O284" s="207">
        <v>-1301807.2308052953</v>
      </c>
      <c r="P284" s="207">
        <v>20741111.17719591</v>
      </c>
      <c r="Q284" s="207">
        <v>1835</v>
      </c>
      <c r="R284" s="207">
        <v>401</v>
      </c>
      <c r="S284" s="207">
        <v>2548</v>
      </c>
      <c r="T284" s="207">
        <v>1160</v>
      </c>
      <c r="U284" s="207">
        <v>1108</v>
      </c>
      <c r="V284" s="207">
        <v>16710</v>
      </c>
      <c r="W284" s="207">
        <v>3474</v>
      </c>
      <c r="X284" s="207">
        <v>1472</v>
      </c>
      <c r="Y284" s="207">
        <v>503</v>
      </c>
      <c r="Z284" s="207">
        <v>491</v>
      </c>
      <c r="AA284" s="207">
        <v>1</v>
      </c>
      <c r="AB284" s="207">
        <v>27163</v>
      </c>
      <c r="AC284" s="207">
        <v>1556</v>
      </c>
      <c r="AD284" s="207">
        <v>5449</v>
      </c>
      <c r="AE284" s="480">
        <v>0.7776784994498134</v>
      </c>
      <c r="AF284" s="207">
        <v>26760351.11067077</v>
      </c>
      <c r="AG284" s="175">
        <v>1077</v>
      </c>
      <c r="AH284" s="175">
        <v>14551</v>
      </c>
      <c r="AI284" s="175">
        <v>0.7586598511062971</v>
      </c>
      <c r="AJ284" s="175">
        <v>1556</v>
      </c>
      <c r="AK284" s="175">
        <v>0.05326760466947383</v>
      </c>
      <c r="AL284" s="175">
        <v>0.04998652555901083</v>
      </c>
      <c r="AM284" s="175">
        <v>0</v>
      </c>
      <c r="AN284" s="175">
        <v>491</v>
      </c>
      <c r="AO284" s="175">
        <v>1</v>
      </c>
      <c r="AP284" s="175">
        <v>0</v>
      </c>
      <c r="AQ284" s="175">
        <v>0</v>
      </c>
      <c r="AR284" s="175">
        <v>522.02</v>
      </c>
      <c r="AS284" s="175">
        <v>55.95762614459216</v>
      </c>
      <c r="AT284" s="175">
        <v>0.32436190366640977</v>
      </c>
      <c r="AU284" s="175">
        <v>1495</v>
      </c>
      <c r="AV284" s="175">
        <v>10091</v>
      </c>
      <c r="AW284" s="175">
        <v>0.14815181845208603</v>
      </c>
      <c r="AX284" s="175">
        <v>0.09269058472260103</v>
      </c>
      <c r="AY284" s="175">
        <v>0</v>
      </c>
      <c r="AZ284" s="207">
        <v>8176</v>
      </c>
      <c r="BA284" s="175">
        <v>13307</v>
      </c>
      <c r="BB284" s="175">
        <v>0.6144134665965282</v>
      </c>
      <c r="BC284" s="175">
        <v>0.22471861917281633</v>
      </c>
      <c r="BD284" s="175">
        <v>0</v>
      </c>
      <c r="BE284" s="175">
        <v>1</v>
      </c>
      <c r="BF284" s="207">
        <v>-183330.74</v>
      </c>
      <c r="BG284" s="207">
        <v>-224296.88</v>
      </c>
      <c r="BH284" s="207">
        <v>-119765.09999999999</v>
      </c>
      <c r="BI284" s="207">
        <v>-485201.8</v>
      </c>
      <c r="BJ284" s="207">
        <v>0</v>
      </c>
      <c r="BK284" s="207">
        <v>0</v>
      </c>
      <c r="BL284" s="207">
        <v>-203115</v>
      </c>
      <c r="BM284" s="207">
        <v>-1982351.6452671355</v>
      </c>
      <c r="BN284" s="207">
        <v>-1243220.1600000001</v>
      </c>
      <c r="BO284" s="207">
        <v>94447.8555355221</v>
      </c>
      <c r="BP284" s="207">
        <v>2001890</v>
      </c>
      <c r="BQ284" s="207">
        <v>666810</v>
      </c>
      <c r="BR284" s="207">
        <v>1272981.3959105464</v>
      </c>
      <c r="BS284" s="207">
        <v>-2804.2325492603327</v>
      </c>
      <c r="BT284" s="207">
        <v>-241738.51153038506</v>
      </c>
      <c r="BU284" s="207">
        <v>313170.3837544156</v>
      </c>
      <c r="BV284" s="207">
        <v>1325133.6142187256</v>
      </c>
      <c r="BW284" s="207">
        <v>2049572.9673950246</v>
      </c>
      <c r="BX284" s="207">
        <v>606296.4218010124</v>
      </c>
      <c r="BY284" s="207">
        <v>1053102.977439796</v>
      </c>
      <c r="BZ284" s="207">
        <v>2628.99</v>
      </c>
      <c r="CA284" s="207">
        <v>111420.98224633394</v>
      </c>
      <c r="CB284" s="207">
        <v>5382.8277818560455</v>
      </c>
      <c r="CC284" s="207">
        <v>-5128392.75748528</v>
      </c>
      <c r="CD284" s="207">
        <v>0</v>
      </c>
      <c r="CE284" s="207">
        <v>1311766.7570832449</v>
      </c>
      <c r="CF284" s="207">
        <v>0</v>
      </c>
      <c r="CG284" s="207">
        <v>-1301807.2308052953</v>
      </c>
      <c r="CH284" s="207">
        <v>-2725806</v>
      </c>
      <c r="CI284" s="207">
        <v>855582.4428</v>
      </c>
      <c r="CJ284" s="207">
        <v>741545.5646200002</v>
      </c>
      <c r="CK284" s="207">
        <v>114036.87817999977</v>
      </c>
      <c r="CL284" s="207">
        <v>18015305.17719591</v>
      </c>
      <c r="CM284" s="207">
        <v>23110771.241102777</v>
      </c>
      <c r="CN284" s="207">
        <v>3216</v>
      </c>
    </row>
    <row r="285" spans="1:92" ht="9.75">
      <c r="A285" s="207">
        <v>931</v>
      </c>
      <c r="B285" s="207" t="s">
        <v>342</v>
      </c>
      <c r="C285" s="207">
        <v>6264</v>
      </c>
      <c r="D285" s="207">
        <v>23494316.5</v>
      </c>
      <c r="E285" s="207">
        <v>12142312.830793489</v>
      </c>
      <c r="F285" s="207">
        <v>1898052.547790848</v>
      </c>
      <c r="G285" s="207">
        <v>37534681.87858433</v>
      </c>
      <c r="H285" s="207">
        <v>3654.72</v>
      </c>
      <c r="I285" s="207">
        <v>22893166.08</v>
      </c>
      <c r="J285" s="207">
        <v>14641515.798584335</v>
      </c>
      <c r="K285" s="207">
        <v>2378344.712041801</v>
      </c>
      <c r="L285" s="207">
        <v>-925584.8471449789</v>
      </c>
      <c r="M285" s="207">
        <v>0</v>
      </c>
      <c r="N285" s="207">
        <v>16094275.66348116</v>
      </c>
      <c r="O285" s="207">
        <v>5223258.869748683</v>
      </c>
      <c r="P285" s="207">
        <v>21317534.533229843</v>
      </c>
      <c r="Q285" s="207">
        <v>263</v>
      </c>
      <c r="R285" s="207">
        <v>43</v>
      </c>
      <c r="S285" s="207">
        <v>304</v>
      </c>
      <c r="T285" s="207">
        <v>178</v>
      </c>
      <c r="U285" s="207">
        <v>195</v>
      </c>
      <c r="V285" s="207">
        <v>3115</v>
      </c>
      <c r="W285" s="207">
        <v>1151</v>
      </c>
      <c r="X285" s="207">
        <v>709</v>
      </c>
      <c r="Y285" s="207">
        <v>306</v>
      </c>
      <c r="Z285" s="207">
        <v>9</v>
      </c>
      <c r="AA285" s="207">
        <v>0</v>
      </c>
      <c r="AB285" s="207">
        <v>6178</v>
      </c>
      <c r="AC285" s="207">
        <v>77</v>
      </c>
      <c r="AD285" s="207">
        <v>2166</v>
      </c>
      <c r="AE285" s="480">
        <v>1.6455245961499199</v>
      </c>
      <c r="AF285" s="207">
        <v>12142312.830793489</v>
      </c>
      <c r="AG285" s="175">
        <v>309</v>
      </c>
      <c r="AH285" s="175">
        <v>2717</v>
      </c>
      <c r="AI285" s="175">
        <v>1.1657168655674792</v>
      </c>
      <c r="AJ285" s="175">
        <v>77</v>
      </c>
      <c r="AK285" s="175">
        <v>0.012292464878671775</v>
      </c>
      <c r="AL285" s="175">
        <v>0.009011385768208778</v>
      </c>
      <c r="AM285" s="175">
        <v>0</v>
      </c>
      <c r="AN285" s="175">
        <v>9</v>
      </c>
      <c r="AO285" s="175">
        <v>0</v>
      </c>
      <c r="AP285" s="175">
        <v>0</v>
      </c>
      <c r="AQ285" s="175">
        <v>0</v>
      </c>
      <c r="AR285" s="175">
        <v>1248.55</v>
      </c>
      <c r="AS285" s="175">
        <v>5.017019742901766</v>
      </c>
      <c r="AT285" s="175">
        <v>3.617789658211549</v>
      </c>
      <c r="AU285" s="175">
        <v>203</v>
      </c>
      <c r="AV285" s="175">
        <v>1452</v>
      </c>
      <c r="AW285" s="175">
        <v>0.13980716253443526</v>
      </c>
      <c r="AX285" s="175">
        <v>0.08434592880495026</v>
      </c>
      <c r="AY285" s="175">
        <v>1.0460333333333334</v>
      </c>
      <c r="AZ285" s="207">
        <v>2225</v>
      </c>
      <c r="BA285" s="175">
        <v>2182</v>
      </c>
      <c r="BB285" s="175">
        <v>1.0197066911090742</v>
      </c>
      <c r="BC285" s="175">
        <v>0.6300118436853623</v>
      </c>
      <c r="BD285" s="175">
        <v>0</v>
      </c>
      <c r="BE285" s="175">
        <v>0</v>
      </c>
      <c r="BF285" s="207">
        <v>-40453.409999999996</v>
      </c>
      <c r="BG285" s="207">
        <v>-49492.92</v>
      </c>
      <c r="BH285" s="207">
        <v>-25682.399999999998</v>
      </c>
      <c r="BI285" s="207">
        <v>-107063.7</v>
      </c>
      <c r="BJ285" s="207">
        <v>0</v>
      </c>
      <c r="BK285" s="207">
        <v>0</v>
      </c>
      <c r="BL285" s="207">
        <v>142346</v>
      </c>
      <c r="BM285" s="207">
        <v>-340325.7638940532</v>
      </c>
      <c r="BN285" s="207">
        <v>-266595.84</v>
      </c>
      <c r="BO285" s="207">
        <v>-29884.02446912974</v>
      </c>
      <c r="BP285" s="207">
        <v>657403</v>
      </c>
      <c r="BQ285" s="207">
        <v>205740</v>
      </c>
      <c r="BR285" s="207">
        <v>515917.62991671666</v>
      </c>
      <c r="BS285" s="207">
        <v>27738.114858243203</v>
      </c>
      <c r="BT285" s="207">
        <v>74511.39124093392</v>
      </c>
      <c r="BU285" s="207">
        <v>279038.2165761009</v>
      </c>
      <c r="BV285" s="207">
        <v>384013.8091867772</v>
      </c>
      <c r="BW285" s="207">
        <v>605953.8217100743</v>
      </c>
      <c r="BX285" s="207">
        <v>181857.56105457552</v>
      </c>
      <c r="BY285" s="207">
        <v>335745.7182726537</v>
      </c>
      <c r="BZ285" s="207">
        <v>563.76</v>
      </c>
      <c r="CA285" s="207">
        <v>-16942.308781795873</v>
      </c>
      <c r="CB285" s="207">
        <v>96083.42674907438</v>
      </c>
      <c r="CC285" s="207">
        <v>-925584.8471449789</v>
      </c>
      <c r="CD285" s="207">
        <v>0</v>
      </c>
      <c r="CE285" s="207">
        <v>418176.4613073354</v>
      </c>
      <c r="CF285" s="207">
        <v>0</v>
      </c>
      <c r="CG285" s="207">
        <v>5223258.869748683</v>
      </c>
      <c r="CH285" s="207">
        <v>-160187</v>
      </c>
      <c r="CI285" s="207">
        <v>110176.29010000001</v>
      </c>
      <c r="CJ285" s="207">
        <v>182290.44420000003</v>
      </c>
      <c r="CK285" s="207">
        <v>-72114.15410000001</v>
      </c>
      <c r="CL285" s="207">
        <v>21157347.533229843</v>
      </c>
      <c r="CM285" s="207">
        <v>23549567.11014203</v>
      </c>
      <c r="CN285" s="207">
        <v>3685</v>
      </c>
    </row>
    <row r="286" spans="1:92" ht="9.75">
      <c r="A286" s="207">
        <v>934</v>
      </c>
      <c r="B286" s="207" t="s">
        <v>343</v>
      </c>
      <c r="C286" s="207">
        <v>2901</v>
      </c>
      <c r="D286" s="207">
        <v>11066877.590000002</v>
      </c>
      <c r="E286" s="207">
        <v>4541354.641808688</v>
      </c>
      <c r="F286" s="207">
        <v>471722.0044667108</v>
      </c>
      <c r="G286" s="207">
        <v>16079954.2362754</v>
      </c>
      <c r="H286" s="207">
        <v>3654.72</v>
      </c>
      <c r="I286" s="207">
        <v>10602342.719999999</v>
      </c>
      <c r="J286" s="207">
        <v>5477611.5162754</v>
      </c>
      <c r="K286" s="207">
        <v>92244.26681268052</v>
      </c>
      <c r="L286" s="207">
        <v>-362740.30376267474</v>
      </c>
      <c r="M286" s="207">
        <v>0</v>
      </c>
      <c r="N286" s="207">
        <v>5207115.479325406</v>
      </c>
      <c r="O286" s="207">
        <v>2121141.649360701</v>
      </c>
      <c r="P286" s="207">
        <v>7328257.128686108</v>
      </c>
      <c r="Q286" s="207">
        <v>128</v>
      </c>
      <c r="R286" s="207">
        <v>33</v>
      </c>
      <c r="S286" s="207">
        <v>191</v>
      </c>
      <c r="T286" s="207">
        <v>119</v>
      </c>
      <c r="U286" s="207">
        <v>107</v>
      </c>
      <c r="V286" s="207">
        <v>1500</v>
      </c>
      <c r="W286" s="207">
        <v>464</v>
      </c>
      <c r="X286" s="207">
        <v>232</v>
      </c>
      <c r="Y286" s="207">
        <v>127</v>
      </c>
      <c r="Z286" s="207">
        <v>3</v>
      </c>
      <c r="AA286" s="207">
        <v>0</v>
      </c>
      <c r="AB286" s="207">
        <v>2871</v>
      </c>
      <c r="AC286" s="207">
        <v>27</v>
      </c>
      <c r="AD286" s="207">
        <v>823</v>
      </c>
      <c r="AE286" s="480">
        <v>1.3289002977746938</v>
      </c>
      <c r="AF286" s="207">
        <v>4541354.641808688</v>
      </c>
      <c r="AG286" s="175">
        <v>80</v>
      </c>
      <c r="AH286" s="175">
        <v>1257</v>
      </c>
      <c r="AI286" s="175">
        <v>0.6523474185975942</v>
      </c>
      <c r="AJ286" s="175">
        <v>27</v>
      </c>
      <c r="AK286" s="175">
        <v>0.009307135470527405</v>
      </c>
      <c r="AL286" s="175">
        <v>0.006026056360064408</v>
      </c>
      <c r="AM286" s="175">
        <v>0</v>
      </c>
      <c r="AN286" s="175">
        <v>3</v>
      </c>
      <c r="AO286" s="175">
        <v>0</v>
      </c>
      <c r="AP286" s="175">
        <v>0</v>
      </c>
      <c r="AQ286" s="175">
        <v>0</v>
      </c>
      <c r="AR286" s="175">
        <v>287.32</v>
      </c>
      <c r="AS286" s="175">
        <v>10.09675622998747</v>
      </c>
      <c r="AT286" s="175">
        <v>1.797658745786685</v>
      </c>
      <c r="AU286" s="175">
        <v>79</v>
      </c>
      <c r="AV286" s="175">
        <v>767</v>
      </c>
      <c r="AW286" s="175">
        <v>0.10299869621903521</v>
      </c>
      <c r="AX286" s="175">
        <v>0.0475374624895502</v>
      </c>
      <c r="AY286" s="175">
        <v>0</v>
      </c>
      <c r="AZ286" s="207">
        <v>977</v>
      </c>
      <c r="BA286" s="175">
        <v>1116</v>
      </c>
      <c r="BB286" s="175">
        <v>0.8754480286738351</v>
      </c>
      <c r="BC286" s="175">
        <v>0.48575318125012323</v>
      </c>
      <c r="BD286" s="175">
        <v>0</v>
      </c>
      <c r="BE286" s="175">
        <v>0</v>
      </c>
      <c r="BF286" s="207">
        <v>-18765.94</v>
      </c>
      <c r="BG286" s="207">
        <v>-22959.28</v>
      </c>
      <c r="BH286" s="207">
        <v>-11894.099999999999</v>
      </c>
      <c r="BI286" s="207">
        <v>-49665.799999999996</v>
      </c>
      <c r="BJ286" s="207">
        <v>0</v>
      </c>
      <c r="BK286" s="207">
        <v>0</v>
      </c>
      <c r="BL286" s="207">
        <v>-23874</v>
      </c>
      <c r="BM286" s="207">
        <v>-91423.42576572872</v>
      </c>
      <c r="BN286" s="207">
        <v>-123466.56000000001</v>
      </c>
      <c r="BO286" s="207">
        <v>62305.717786749825</v>
      </c>
      <c r="BP286" s="207">
        <v>269532</v>
      </c>
      <c r="BQ286" s="207">
        <v>84479</v>
      </c>
      <c r="BR286" s="207">
        <v>192990.46542252702</v>
      </c>
      <c r="BS286" s="207">
        <v>11427.029083337118</v>
      </c>
      <c r="BT286" s="207">
        <v>35994.07553765644</v>
      </c>
      <c r="BU286" s="207">
        <v>114257.76571970747</v>
      </c>
      <c r="BV286" s="207">
        <v>156334.3171932257</v>
      </c>
      <c r="BW286" s="207">
        <v>279271.3493261858</v>
      </c>
      <c r="BX286" s="207">
        <v>77610.9547093963</v>
      </c>
      <c r="BY286" s="207">
        <v>141793.0574650268</v>
      </c>
      <c r="BZ286" s="207">
        <v>261.09</v>
      </c>
      <c r="CA286" s="207">
        <v>5686.654216304178</v>
      </c>
      <c r="CB286" s="207">
        <v>44379.462003053995</v>
      </c>
      <c r="CC286" s="207">
        <v>-362740.30376267474</v>
      </c>
      <c r="CD286" s="207">
        <v>0</v>
      </c>
      <c r="CE286" s="207">
        <v>185169.51761406538</v>
      </c>
      <c r="CF286" s="207">
        <v>0</v>
      </c>
      <c r="CG286" s="207">
        <v>2121141.649360701</v>
      </c>
      <c r="CH286" s="207">
        <v>-745483</v>
      </c>
      <c r="CI286" s="207">
        <v>0</v>
      </c>
      <c r="CJ286" s="207">
        <v>2722326.3093000003</v>
      </c>
      <c r="CK286" s="207">
        <v>-2722326.3093000003</v>
      </c>
      <c r="CL286" s="207">
        <v>6582774.128686108</v>
      </c>
      <c r="CM286" s="207">
        <v>7759475.1063401345</v>
      </c>
      <c r="CN286" s="207">
        <v>29054</v>
      </c>
    </row>
    <row r="287" spans="1:92" ht="9.75">
      <c r="A287" s="207">
        <v>935</v>
      </c>
      <c r="B287" s="207" t="s">
        <v>344</v>
      </c>
      <c r="C287" s="207">
        <v>3150</v>
      </c>
      <c r="D287" s="207">
        <v>11552964.91</v>
      </c>
      <c r="E287" s="207">
        <v>5199267.914669523</v>
      </c>
      <c r="F287" s="207">
        <v>1070645.9796804518</v>
      </c>
      <c r="G287" s="207">
        <v>17822878.804349974</v>
      </c>
      <c r="H287" s="207">
        <v>3654.72</v>
      </c>
      <c r="I287" s="207">
        <v>11512368</v>
      </c>
      <c r="J287" s="207">
        <v>6310510.804349974</v>
      </c>
      <c r="K287" s="207">
        <v>127441.37842113824</v>
      </c>
      <c r="L287" s="207">
        <v>-401729.52897511807</v>
      </c>
      <c r="M287" s="207">
        <v>0</v>
      </c>
      <c r="N287" s="207">
        <v>6036222.653795994</v>
      </c>
      <c r="O287" s="207">
        <v>2210214.784244199</v>
      </c>
      <c r="P287" s="207">
        <v>8246437.438040193</v>
      </c>
      <c r="Q287" s="207">
        <v>117</v>
      </c>
      <c r="R287" s="207">
        <v>22</v>
      </c>
      <c r="S287" s="207">
        <v>182</v>
      </c>
      <c r="T287" s="207">
        <v>119</v>
      </c>
      <c r="U287" s="207">
        <v>71</v>
      </c>
      <c r="V287" s="207">
        <v>1664</v>
      </c>
      <c r="W287" s="207">
        <v>545</v>
      </c>
      <c r="X287" s="207">
        <v>291</v>
      </c>
      <c r="Y287" s="207">
        <v>139</v>
      </c>
      <c r="Z287" s="207">
        <v>14</v>
      </c>
      <c r="AA287" s="207">
        <v>0</v>
      </c>
      <c r="AB287" s="207">
        <v>2938</v>
      </c>
      <c r="AC287" s="207">
        <v>198</v>
      </c>
      <c r="AD287" s="207">
        <v>975</v>
      </c>
      <c r="AE287" s="480">
        <v>1.4011555541190404</v>
      </c>
      <c r="AF287" s="207">
        <v>5199267.914669523</v>
      </c>
      <c r="AG287" s="175">
        <v>149</v>
      </c>
      <c r="AH287" s="175">
        <v>1411</v>
      </c>
      <c r="AI287" s="175">
        <v>1.0823893078614386</v>
      </c>
      <c r="AJ287" s="175">
        <v>198</v>
      </c>
      <c r="AK287" s="175">
        <v>0.06285714285714286</v>
      </c>
      <c r="AL287" s="175">
        <v>0.05957606374667986</v>
      </c>
      <c r="AM287" s="175">
        <v>0</v>
      </c>
      <c r="AN287" s="175">
        <v>14</v>
      </c>
      <c r="AO287" s="175">
        <v>0</v>
      </c>
      <c r="AP287" s="175">
        <v>0</v>
      </c>
      <c r="AQ287" s="175">
        <v>0</v>
      </c>
      <c r="AR287" s="175">
        <v>371.99</v>
      </c>
      <c r="AS287" s="175">
        <v>8.467969569074437</v>
      </c>
      <c r="AT287" s="175">
        <v>2.143432613078823</v>
      </c>
      <c r="AU287" s="175">
        <v>132</v>
      </c>
      <c r="AV287" s="175">
        <v>896</v>
      </c>
      <c r="AW287" s="175">
        <v>0.14732142857142858</v>
      </c>
      <c r="AX287" s="175">
        <v>0.09186019484194358</v>
      </c>
      <c r="AY287" s="175">
        <v>0</v>
      </c>
      <c r="AZ287" s="207">
        <v>1171</v>
      </c>
      <c r="BA287" s="175">
        <v>1162</v>
      </c>
      <c r="BB287" s="175">
        <v>1.0077452667814113</v>
      </c>
      <c r="BC287" s="175">
        <v>0.6180504193576994</v>
      </c>
      <c r="BD287" s="175">
        <v>0</v>
      </c>
      <c r="BE287" s="175">
        <v>0</v>
      </c>
      <c r="BF287" s="207">
        <v>-20236.17</v>
      </c>
      <c r="BG287" s="207">
        <v>-24758.04</v>
      </c>
      <c r="BH287" s="207">
        <v>-12914.999999999998</v>
      </c>
      <c r="BI287" s="207">
        <v>-53556.899999999994</v>
      </c>
      <c r="BJ287" s="207">
        <v>0</v>
      </c>
      <c r="BK287" s="207">
        <v>0</v>
      </c>
      <c r="BL287" s="207">
        <v>-36833</v>
      </c>
      <c r="BM287" s="207">
        <v>-66713.26854024742</v>
      </c>
      <c r="BN287" s="207">
        <v>-134064</v>
      </c>
      <c r="BO287" s="207">
        <v>62997.892044780776</v>
      </c>
      <c r="BP287" s="207">
        <v>336888</v>
      </c>
      <c r="BQ287" s="207">
        <v>99871</v>
      </c>
      <c r="BR287" s="207">
        <v>256904.2450974227</v>
      </c>
      <c r="BS287" s="207">
        <v>13719.698860165583</v>
      </c>
      <c r="BT287" s="207">
        <v>-12878.79392371824</v>
      </c>
      <c r="BU287" s="207">
        <v>104242.25499510784</v>
      </c>
      <c r="BV287" s="207">
        <v>189902.3291538283</v>
      </c>
      <c r="BW287" s="207">
        <v>282218.58446444175</v>
      </c>
      <c r="BX287" s="207">
        <v>89919.43398747403</v>
      </c>
      <c r="BY287" s="207">
        <v>149458.78541659366</v>
      </c>
      <c r="BZ287" s="207">
        <v>283.5</v>
      </c>
      <c r="CA287" s="207">
        <v>-19355.542479651456</v>
      </c>
      <c r="CB287" s="207">
        <v>7092.84956512932</v>
      </c>
      <c r="CC287" s="207">
        <v>-401729.52897511807</v>
      </c>
      <c r="CD287" s="207">
        <v>0</v>
      </c>
      <c r="CE287" s="207">
        <v>206053.36202665238</v>
      </c>
      <c r="CF287" s="207">
        <v>0</v>
      </c>
      <c r="CG287" s="207">
        <v>2210214.784244199</v>
      </c>
      <c r="CH287" s="207">
        <v>-50123</v>
      </c>
      <c r="CI287" s="207">
        <v>1428689.462</v>
      </c>
      <c r="CJ287" s="207">
        <v>136004.1681</v>
      </c>
      <c r="CK287" s="207">
        <v>1292685.2939</v>
      </c>
      <c r="CL287" s="207">
        <v>8196314.438040193</v>
      </c>
      <c r="CM287" s="207">
        <v>9456435.701040538</v>
      </c>
      <c r="CN287" s="207">
        <v>6411</v>
      </c>
    </row>
    <row r="288" spans="1:92" ht="9.75">
      <c r="A288" s="207">
        <v>936</v>
      </c>
      <c r="B288" s="207" t="s">
        <v>345</v>
      </c>
      <c r="C288" s="207">
        <v>6739</v>
      </c>
      <c r="D288" s="207">
        <v>26287114.29</v>
      </c>
      <c r="E288" s="207">
        <v>12457671.955534799</v>
      </c>
      <c r="F288" s="207">
        <v>1838352.2075848703</v>
      </c>
      <c r="G288" s="207">
        <v>40583138.45311967</v>
      </c>
      <c r="H288" s="207">
        <v>3654.72</v>
      </c>
      <c r="I288" s="207">
        <v>24629158.08</v>
      </c>
      <c r="J288" s="207">
        <v>15953980.373119675</v>
      </c>
      <c r="K288" s="207">
        <v>930432.1332440529</v>
      </c>
      <c r="L288" s="207">
        <v>-1020711.3216779825</v>
      </c>
      <c r="M288" s="207">
        <v>0</v>
      </c>
      <c r="N288" s="207">
        <v>15863701.184685744</v>
      </c>
      <c r="O288" s="207">
        <v>5002035.148975874</v>
      </c>
      <c r="P288" s="207">
        <v>20865736.33366162</v>
      </c>
      <c r="Q288" s="207">
        <v>274</v>
      </c>
      <c r="R288" s="207">
        <v>54</v>
      </c>
      <c r="S288" s="207">
        <v>371</v>
      </c>
      <c r="T288" s="207">
        <v>202</v>
      </c>
      <c r="U288" s="207">
        <v>195</v>
      </c>
      <c r="V288" s="207">
        <v>3264</v>
      </c>
      <c r="W288" s="207">
        <v>1277</v>
      </c>
      <c r="X288" s="207">
        <v>732</v>
      </c>
      <c r="Y288" s="207">
        <v>370</v>
      </c>
      <c r="Z288" s="207">
        <v>7</v>
      </c>
      <c r="AA288" s="207">
        <v>0</v>
      </c>
      <c r="AB288" s="207">
        <v>6592</v>
      </c>
      <c r="AC288" s="207">
        <v>140</v>
      </c>
      <c r="AD288" s="207">
        <v>2379</v>
      </c>
      <c r="AE288" s="480">
        <v>1.5692644764661823</v>
      </c>
      <c r="AF288" s="207">
        <v>12457671.955534799</v>
      </c>
      <c r="AG288" s="175">
        <v>229</v>
      </c>
      <c r="AH288" s="175">
        <v>2752</v>
      </c>
      <c r="AI288" s="175">
        <v>0.8529258788407215</v>
      </c>
      <c r="AJ288" s="175">
        <v>140</v>
      </c>
      <c r="AK288" s="175">
        <v>0.020774595637334917</v>
      </c>
      <c r="AL288" s="175">
        <v>0.01749351652687192</v>
      </c>
      <c r="AM288" s="175">
        <v>0</v>
      </c>
      <c r="AN288" s="175">
        <v>7</v>
      </c>
      <c r="AO288" s="175">
        <v>0</v>
      </c>
      <c r="AP288" s="175">
        <v>0</v>
      </c>
      <c r="AQ288" s="175">
        <v>0</v>
      </c>
      <c r="AR288" s="175">
        <v>1162.65</v>
      </c>
      <c r="AS288" s="175">
        <v>5.796241345202769</v>
      </c>
      <c r="AT288" s="175">
        <v>3.1314296731165907</v>
      </c>
      <c r="AU288" s="175">
        <v>239</v>
      </c>
      <c r="AV288" s="175">
        <v>1680</v>
      </c>
      <c r="AW288" s="175">
        <v>0.14226190476190476</v>
      </c>
      <c r="AX288" s="175">
        <v>0.08680067103241976</v>
      </c>
      <c r="AY288" s="175">
        <v>0.46475</v>
      </c>
      <c r="AZ288" s="207">
        <v>2289</v>
      </c>
      <c r="BA288" s="175">
        <v>2366</v>
      </c>
      <c r="BB288" s="175">
        <v>0.9674556213017751</v>
      </c>
      <c r="BC288" s="175">
        <v>0.5777607738780632</v>
      </c>
      <c r="BD288" s="175">
        <v>0</v>
      </c>
      <c r="BE288" s="175">
        <v>0</v>
      </c>
      <c r="BF288" s="207">
        <v>-43185.64</v>
      </c>
      <c r="BG288" s="207">
        <v>-52835.68</v>
      </c>
      <c r="BH288" s="207">
        <v>-27629.899999999998</v>
      </c>
      <c r="BI288" s="207">
        <v>-114294.79999999999</v>
      </c>
      <c r="BJ288" s="207">
        <v>0</v>
      </c>
      <c r="BK288" s="207">
        <v>0</v>
      </c>
      <c r="BL288" s="207">
        <v>-107812</v>
      </c>
      <c r="BM288" s="207">
        <v>-186902.1249703096</v>
      </c>
      <c r="BN288" s="207">
        <v>-286811.84</v>
      </c>
      <c r="BO288" s="207">
        <v>46812.20847382769</v>
      </c>
      <c r="BP288" s="207">
        <v>704678</v>
      </c>
      <c r="BQ288" s="207">
        <v>221566</v>
      </c>
      <c r="BR288" s="207">
        <v>572270.7166943942</v>
      </c>
      <c r="BS288" s="207">
        <v>29515.069544133108</v>
      </c>
      <c r="BT288" s="207">
        <v>92555.46064005131</v>
      </c>
      <c r="BU288" s="207">
        <v>283008.96376369183</v>
      </c>
      <c r="BV288" s="207">
        <v>392803.3649215729</v>
      </c>
      <c r="BW288" s="207">
        <v>629761.4540615771</v>
      </c>
      <c r="BX288" s="207">
        <v>183218.23571596757</v>
      </c>
      <c r="BY288" s="207">
        <v>336766.08582241257</v>
      </c>
      <c r="BZ288" s="207">
        <v>606.51</v>
      </c>
      <c r="CA288" s="207">
        <v>-42040.31518150049</v>
      </c>
      <c r="CB288" s="207">
        <v>-102433.5967076728</v>
      </c>
      <c r="CC288" s="207">
        <v>-1020711.3216779825</v>
      </c>
      <c r="CD288" s="207">
        <v>0</v>
      </c>
      <c r="CE288" s="207">
        <v>467947.97790871916</v>
      </c>
      <c r="CF288" s="207">
        <v>0</v>
      </c>
      <c r="CG288" s="207">
        <v>5002035.148975874</v>
      </c>
      <c r="CH288" s="207">
        <v>383951</v>
      </c>
      <c r="CI288" s="207">
        <v>138926.79640000002</v>
      </c>
      <c r="CJ288" s="207">
        <v>89133.36634</v>
      </c>
      <c r="CK288" s="207">
        <v>49793.43006000003</v>
      </c>
      <c r="CL288" s="207">
        <v>21249687.33366162</v>
      </c>
      <c r="CM288" s="207">
        <v>22840130.250615813</v>
      </c>
      <c r="CN288" s="207">
        <v>2974</v>
      </c>
    </row>
    <row r="289" spans="1:92" ht="9.75">
      <c r="A289" s="207">
        <v>946</v>
      </c>
      <c r="B289" s="207" t="s">
        <v>346</v>
      </c>
      <c r="C289" s="207">
        <v>6613</v>
      </c>
      <c r="D289" s="207">
        <v>25690896.199999996</v>
      </c>
      <c r="E289" s="207">
        <v>6953897.754254668</v>
      </c>
      <c r="F289" s="207">
        <v>3656969.885586521</v>
      </c>
      <c r="G289" s="207">
        <v>36301763.83984119</v>
      </c>
      <c r="H289" s="207">
        <v>3654.72</v>
      </c>
      <c r="I289" s="207">
        <v>24168663.36</v>
      </c>
      <c r="J289" s="207">
        <v>12133100.479841188</v>
      </c>
      <c r="K289" s="207">
        <v>210931.00591430953</v>
      </c>
      <c r="L289" s="207">
        <v>-453701.5863207912</v>
      </c>
      <c r="M289" s="207">
        <v>0</v>
      </c>
      <c r="N289" s="207">
        <v>11890329.899434706</v>
      </c>
      <c r="O289" s="207">
        <v>4342234.598834569</v>
      </c>
      <c r="P289" s="207">
        <v>16232564.498269275</v>
      </c>
      <c r="Q289" s="207">
        <v>455</v>
      </c>
      <c r="R289" s="207">
        <v>84</v>
      </c>
      <c r="S289" s="207">
        <v>492</v>
      </c>
      <c r="T289" s="207">
        <v>216</v>
      </c>
      <c r="U289" s="207">
        <v>202</v>
      </c>
      <c r="V289" s="207">
        <v>3488</v>
      </c>
      <c r="W289" s="207">
        <v>887</v>
      </c>
      <c r="X289" s="207">
        <v>507</v>
      </c>
      <c r="Y289" s="207">
        <v>282</v>
      </c>
      <c r="Z289" s="207">
        <v>5327</v>
      </c>
      <c r="AA289" s="207">
        <v>0</v>
      </c>
      <c r="AB289" s="207">
        <v>834</v>
      </c>
      <c r="AC289" s="207">
        <v>452</v>
      </c>
      <c r="AD289" s="207">
        <v>1676</v>
      </c>
      <c r="AE289" s="480">
        <v>0.8926567383037871</v>
      </c>
      <c r="AF289" s="207">
        <v>6953897.754254668</v>
      </c>
      <c r="AG289" s="175">
        <v>167</v>
      </c>
      <c r="AH289" s="175">
        <v>3084</v>
      </c>
      <c r="AI289" s="175">
        <v>0.555042630368792</v>
      </c>
      <c r="AJ289" s="175">
        <v>452</v>
      </c>
      <c r="AK289" s="175">
        <v>0.06835021926508393</v>
      </c>
      <c r="AL289" s="175">
        <v>0.06506914015462094</v>
      </c>
      <c r="AM289" s="175">
        <v>3</v>
      </c>
      <c r="AN289" s="175">
        <v>5327</v>
      </c>
      <c r="AO289" s="175">
        <v>0</v>
      </c>
      <c r="AP289" s="175">
        <v>3</v>
      </c>
      <c r="AQ289" s="175">
        <v>555</v>
      </c>
      <c r="AR289" s="175">
        <v>782.14</v>
      </c>
      <c r="AS289" s="175">
        <v>8.455008054823944</v>
      </c>
      <c r="AT289" s="175">
        <v>2.146718491954307</v>
      </c>
      <c r="AU289" s="175">
        <v>252</v>
      </c>
      <c r="AV289" s="175">
        <v>1856</v>
      </c>
      <c r="AW289" s="175">
        <v>0.13577586206896552</v>
      </c>
      <c r="AX289" s="175">
        <v>0.08031462833948053</v>
      </c>
      <c r="AY289" s="175">
        <v>0</v>
      </c>
      <c r="AZ289" s="207">
        <v>2516</v>
      </c>
      <c r="BA289" s="175">
        <v>2869</v>
      </c>
      <c r="BB289" s="175">
        <v>0.8769606134541652</v>
      </c>
      <c r="BC289" s="175">
        <v>0.48726576603045335</v>
      </c>
      <c r="BD289" s="175">
        <v>0</v>
      </c>
      <c r="BE289" s="175">
        <v>0</v>
      </c>
      <c r="BF289" s="207">
        <v>-41746.96</v>
      </c>
      <c r="BG289" s="207">
        <v>-51075.52</v>
      </c>
      <c r="BH289" s="207">
        <v>-27113.3</v>
      </c>
      <c r="BI289" s="207">
        <v>-110487.2</v>
      </c>
      <c r="BJ289" s="207">
        <v>0</v>
      </c>
      <c r="BK289" s="207">
        <v>0</v>
      </c>
      <c r="BL289" s="207">
        <v>-66992</v>
      </c>
      <c r="BM289" s="207">
        <v>-104369.28525416656</v>
      </c>
      <c r="BN289" s="207">
        <v>-281449.28</v>
      </c>
      <c r="BO289" s="207">
        <v>511241.87484688405</v>
      </c>
      <c r="BP289" s="207">
        <v>610295</v>
      </c>
      <c r="BQ289" s="207">
        <v>210910</v>
      </c>
      <c r="BR289" s="207">
        <v>522557.84133206314</v>
      </c>
      <c r="BS289" s="207">
        <v>25585.96697163288</v>
      </c>
      <c r="BT289" s="207">
        <v>37399.76454258622</v>
      </c>
      <c r="BU289" s="207">
        <v>185934.4408685002</v>
      </c>
      <c r="BV289" s="207">
        <v>417285.97748930304</v>
      </c>
      <c r="BW289" s="207">
        <v>673219.1528353889</v>
      </c>
      <c r="BX289" s="207">
        <v>203127.87166159455</v>
      </c>
      <c r="BY289" s="207">
        <v>332366.8078289041</v>
      </c>
      <c r="BZ289" s="207">
        <v>595.17</v>
      </c>
      <c r="CA289" s="207">
        <v>-79550.5059135086</v>
      </c>
      <c r="CB289" s="207">
        <v>365294.53893337544</v>
      </c>
      <c r="CC289" s="207">
        <v>-453701.5863207912</v>
      </c>
      <c r="CD289" s="207">
        <v>0</v>
      </c>
      <c r="CE289" s="207">
        <v>449223.15251163073</v>
      </c>
      <c r="CF289" s="207">
        <v>0</v>
      </c>
      <c r="CG289" s="207">
        <v>4342234.598834569</v>
      </c>
      <c r="CH289" s="207">
        <v>722781</v>
      </c>
      <c r="CI289" s="207">
        <v>270513.038</v>
      </c>
      <c r="CJ289" s="207">
        <v>244821.09620000003</v>
      </c>
      <c r="CK289" s="207">
        <v>25691.94179999997</v>
      </c>
      <c r="CL289" s="207">
        <v>16955345.498269275</v>
      </c>
      <c r="CM289" s="207">
        <v>18441240.307583578</v>
      </c>
      <c r="CN289" s="207">
        <v>3207</v>
      </c>
    </row>
    <row r="290" spans="1:92" ht="9.75">
      <c r="A290" s="207">
        <v>976</v>
      </c>
      <c r="B290" s="207" t="s">
        <v>347</v>
      </c>
      <c r="C290" s="207">
        <v>4022</v>
      </c>
      <c r="D290" s="207">
        <v>15497684.46</v>
      </c>
      <c r="E290" s="207">
        <v>7248176.468697475</v>
      </c>
      <c r="F290" s="207">
        <v>2225281.9904646333</v>
      </c>
      <c r="G290" s="207">
        <v>24971142.91916211</v>
      </c>
      <c r="H290" s="207">
        <v>3654.72</v>
      </c>
      <c r="I290" s="207">
        <v>14699283.84</v>
      </c>
      <c r="J290" s="207">
        <v>10271859.07916211</v>
      </c>
      <c r="K290" s="207">
        <v>4235604.4918696005</v>
      </c>
      <c r="L290" s="207">
        <v>-619006.585493667</v>
      </c>
      <c r="M290" s="207">
        <v>0</v>
      </c>
      <c r="N290" s="207">
        <v>13888456.985538043</v>
      </c>
      <c r="O290" s="207">
        <v>3433696.4830694287</v>
      </c>
      <c r="P290" s="207">
        <v>17322153.46860747</v>
      </c>
      <c r="Q290" s="207">
        <v>133</v>
      </c>
      <c r="R290" s="207">
        <v>24</v>
      </c>
      <c r="S290" s="207">
        <v>192</v>
      </c>
      <c r="T290" s="207">
        <v>99</v>
      </c>
      <c r="U290" s="207">
        <v>132</v>
      </c>
      <c r="V290" s="207">
        <v>1977</v>
      </c>
      <c r="W290" s="207">
        <v>734</v>
      </c>
      <c r="X290" s="207">
        <v>496</v>
      </c>
      <c r="Y290" s="207">
        <v>235</v>
      </c>
      <c r="Z290" s="207">
        <v>22</v>
      </c>
      <c r="AA290" s="207">
        <v>4</v>
      </c>
      <c r="AB290" s="207">
        <v>3916</v>
      </c>
      <c r="AC290" s="207">
        <v>80</v>
      </c>
      <c r="AD290" s="207">
        <v>1465</v>
      </c>
      <c r="AE290" s="480">
        <v>1.529823759791747</v>
      </c>
      <c r="AF290" s="207">
        <v>7248176.468697475</v>
      </c>
      <c r="AG290" s="175">
        <v>199</v>
      </c>
      <c r="AH290" s="175">
        <v>1706</v>
      </c>
      <c r="AI290" s="175">
        <v>1.1956340880001317</v>
      </c>
      <c r="AJ290" s="175">
        <v>80</v>
      </c>
      <c r="AK290" s="175">
        <v>0.019890601690701143</v>
      </c>
      <c r="AL290" s="175">
        <v>0.016609522580238147</v>
      </c>
      <c r="AM290" s="175">
        <v>0</v>
      </c>
      <c r="AN290" s="175">
        <v>22</v>
      </c>
      <c r="AO290" s="175">
        <v>4</v>
      </c>
      <c r="AP290" s="175">
        <v>0</v>
      </c>
      <c r="AQ290" s="175">
        <v>0</v>
      </c>
      <c r="AR290" s="175">
        <v>2028.04</v>
      </c>
      <c r="AS290" s="175">
        <v>1.983195597719966</v>
      </c>
      <c r="AT290" s="175">
        <v>9.1521593542162</v>
      </c>
      <c r="AU290" s="175">
        <v>148</v>
      </c>
      <c r="AV290" s="175">
        <v>876</v>
      </c>
      <c r="AW290" s="175">
        <v>0.1689497716894977</v>
      </c>
      <c r="AX290" s="175">
        <v>0.11348853796001271</v>
      </c>
      <c r="AY290" s="175">
        <v>1.5732</v>
      </c>
      <c r="AZ290" s="207">
        <v>1297</v>
      </c>
      <c r="BA290" s="175">
        <v>1401</v>
      </c>
      <c r="BB290" s="175">
        <v>0.9257673090649536</v>
      </c>
      <c r="BC290" s="175">
        <v>0.5360724616412418</v>
      </c>
      <c r="BD290" s="175">
        <v>0</v>
      </c>
      <c r="BE290" s="175">
        <v>4</v>
      </c>
      <c r="BF290" s="207">
        <v>-25984.579999999998</v>
      </c>
      <c r="BG290" s="207">
        <v>-31790.96</v>
      </c>
      <c r="BH290" s="207">
        <v>-16490.199999999997</v>
      </c>
      <c r="BI290" s="207">
        <v>-68770.59999999999</v>
      </c>
      <c r="BJ290" s="207">
        <v>0</v>
      </c>
      <c r="BK290" s="207">
        <v>0</v>
      </c>
      <c r="BL290" s="207">
        <v>-68703</v>
      </c>
      <c r="BM290" s="207">
        <v>-46681.845660905645</v>
      </c>
      <c r="BN290" s="207">
        <v>-171176.32</v>
      </c>
      <c r="BO290" s="207">
        <v>-68346.25052626431</v>
      </c>
      <c r="BP290" s="207">
        <v>449076</v>
      </c>
      <c r="BQ290" s="207">
        <v>136608</v>
      </c>
      <c r="BR290" s="207">
        <v>360895.7856342601</v>
      </c>
      <c r="BS290" s="207">
        <v>19702.819711007938</v>
      </c>
      <c r="BT290" s="207">
        <v>42803.14343171017</v>
      </c>
      <c r="BU290" s="207">
        <v>150987.586605333</v>
      </c>
      <c r="BV290" s="207">
        <v>227803.8682606217</v>
      </c>
      <c r="BW290" s="207">
        <v>354584.16249509755</v>
      </c>
      <c r="BX290" s="207">
        <v>106931.08118637609</v>
      </c>
      <c r="BY290" s="207">
        <v>191894.80090218593</v>
      </c>
      <c r="BZ290" s="207">
        <v>361.97999999999996</v>
      </c>
      <c r="CA290" s="207">
        <v>1889.7106935028714</v>
      </c>
      <c r="CB290" s="207">
        <v>-134797.5598327614</v>
      </c>
      <c r="CC290" s="207">
        <v>-619006.585493667</v>
      </c>
      <c r="CD290" s="207">
        <v>0</v>
      </c>
      <c r="CE290" s="207">
        <v>249207.75160512375</v>
      </c>
      <c r="CF290" s="207">
        <v>0</v>
      </c>
      <c r="CG290" s="207">
        <v>3433696.4830694287</v>
      </c>
      <c r="CH290" s="207">
        <v>-596543</v>
      </c>
      <c r="CI290" s="207">
        <v>76124.272</v>
      </c>
      <c r="CJ290" s="207">
        <v>122342.58000000002</v>
      </c>
      <c r="CK290" s="207">
        <v>-46218.30800000002</v>
      </c>
      <c r="CL290" s="207">
        <v>16725610.46860747</v>
      </c>
      <c r="CM290" s="207">
        <v>17931206.760991666</v>
      </c>
      <c r="CN290" s="207">
        <v>6844</v>
      </c>
    </row>
    <row r="291" spans="1:92" ht="9.75">
      <c r="A291" s="207">
        <v>977</v>
      </c>
      <c r="B291" s="207" t="s">
        <v>348</v>
      </c>
      <c r="C291" s="207">
        <v>15212</v>
      </c>
      <c r="D291" s="207">
        <v>57328133.309999995</v>
      </c>
      <c r="E291" s="207">
        <v>22500291.79804505</v>
      </c>
      <c r="F291" s="207">
        <v>2272827.230025705</v>
      </c>
      <c r="G291" s="207">
        <v>82101252.33807075</v>
      </c>
      <c r="H291" s="207">
        <v>3654.72</v>
      </c>
      <c r="I291" s="207">
        <v>55595600.64</v>
      </c>
      <c r="J291" s="207">
        <v>26505651.69807075</v>
      </c>
      <c r="K291" s="207">
        <v>669036.8703717571</v>
      </c>
      <c r="L291" s="207">
        <v>-2039654.5230882314</v>
      </c>
      <c r="M291" s="207">
        <v>0</v>
      </c>
      <c r="N291" s="207">
        <v>25135034.045354277</v>
      </c>
      <c r="O291" s="207">
        <v>9653776.462192452</v>
      </c>
      <c r="P291" s="207">
        <v>34788810.50754673</v>
      </c>
      <c r="Q291" s="207">
        <v>1290</v>
      </c>
      <c r="R291" s="207">
        <v>236</v>
      </c>
      <c r="S291" s="207">
        <v>1315</v>
      </c>
      <c r="T291" s="207">
        <v>616</v>
      </c>
      <c r="U291" s="207">
        <v>595</v>
      </c>
      <c r="V291" s="207">
        <v>8236</v>
      </c>
      <c r="W291" s="207">
        <v>1692</v>
      </c>
      <c r="X291" s="207">
        <v>868</v>
      </c>
      <c r="Y291" s="207">
        <v>364</v>
      </c>
      <c r="Z291" s="207">
        <v>42</v>
      </c>
      <c r="AA291" s="207">
        <v>1</v>
      </c>
      <c r="AB291" s="207">
        <v>14958</v>
      </c>
      <c r="AC291" s="207">
        <v>211</v>
      </c>
      <c r="AD291" s="207">
        <v>2924</v>
      </c>
      <c r="AE291" s="480">
        <v>1.2556151384174996</v>
      </c>
      <c r="AF291" s="207">
        <v>22500291.79804505</v>
      </c>
      <c r="AG291" s="175">
        <v>641</v>
      </c>
      <c r="AH291" s="175">
        <v>6896</v>
      </c>
      <c r="AI291" s="175">
        <v>0.9527632903468852</v>
      </c>
      <c r="AJ291" s="175">
        <v>211</v>
      </c>
      <c r="AK291" s="175">
        <v>0.013870628451222718</v>
      </c>
      <c r="AL291" s="175">
        <v>0.010589549340759723</v>
      </c>
      <c r="AM291" s="175">
        <v>0</v>
      </c>
      <c r="AN291" s="175">
        <v>42</v>
      </c>
      <c r="AO291" s="175">
        <v>1</v>
      </c>
      <c r="AP291" s="175">
        <v>0</v>
      </c>
      <c r="AQ291" s="175">
        <v>0</v>
      </c>
      <c r="AR291" s="175">
        <v>568.89</v>
      </c>
      <c r="AS291" s="175">
        <v>26.73979152384468</v>
      </c>
      <c r="AT291" s="175">
        <v>0.678783233022883</v>
      </c>
      <c r="AU291" s="175">
        <v>392</v>
      </c>
      <c r="AV291" s="175">
        <v>4340</v>
      </c>
      <c r="AW291" s="175">
        <v>0.09032258064516129</v>
      </c>
      <c r="AX291" s="175">
        <v>0.03486134691567628</v>
      </c>
      <c r="AY291" s="175">
        <v>0</v>
      </c>
      <c r="AZ291" s="207">
        <v>6483</v>
      </c>
      <c r="BA291" s="175">
        <v>6107</v>
      </c>
      <c r="BB291" s="175">
        <v>1.0615686916653022</v>
      </c>
      <c r="BC291" s="175">
        <v>0.6718738442415904</v>
      </c>
      <c r="BD291" s="175">
        <v>0</v>
      </c>
      <c r="BE291" s="175">
        <v>1</v>
      </c>
      <c r="BF291" s="207">
        <v>-96233.81</v>
      </c>
      <c r="BG291" s="207">
        <v>-117737.72</v>
      </c>
      <c r="BH291" s="207">
        <v>-62369.2</v>
      </c>
      <c r="BI291" s="207">
        <v>-254691.69999999998</v>
      </c>
      <c r="BJ291" s="207">
        <v>0</v>
      </c>
      <c r="BK291" s="207">
        <v>0</v>
      </c>
      <c r="BL291" s="207">
        <v>55920</v>
      </c>
      <c r="BM291" s="207">
        <v>-563941.7356041534</v>
      </c>
      <c r="BN291" s="207">
        <v>-647422.7200000001</v>
      </c>
      <c r="BO291" s="207">
        <v>31894.618232842535</v>
      </c>
      <c r="BP291" s="207">
        <v>1105522</v>
      </c>
      <c r="BQ291" s="207">
        <v>359322</v>
      </c>
      <c r="BR291" s="207">
        <v>800309.0794281153</v>
      </c>
      <c r="BS291" s="207">
        <v>28657.374442731707</v>
      </c>
      <c r="BT291" s="207">
        <v>20607.3296960915</v>
      </c>
      <c r="BU291" s="207">
        <v>400458.4208793326</v>
      </c>
      <c r="BV291" s="207">
        <v>780849.606266519</v>
      </c>
      <c r="BW291" s="207">
        <v>1163766.1274462175</v>
      </c>
      <c r="BX291" s="207">
        <v>327230.91446480615</v>
      </c>
      <c r="BY291" s="207">
        <v>644902.1475982037</v>
      </c>
      <c r="BZ291" s="207">
        <v>1369.08</v>
      </c>
      <c r="CA291" s="207">
        <v>79958.58428307927</v>
      </c>
      <c r="CB291" s="207">
        <v>169142.2825159218</v>
      </c>
      <c r="CC291" s="207">
        <v>-2039654.5230882314</v>
      </c>
      <c r="CD291" s="207">
        <v>0</v>
      </c>
      <c r="CE291" s="207">
        <v>865084.0707645351</v>
      </c>
      <c r="CF291" s="207">
        <v>0</v>
      </c>
      <c r="CG291" s="207">
        <v>9653776.462192452</v>
      </c>
      <c r="CH291" s="207">
        <v>256960</v>
      </c>
      <c r="CI291" s="207">
        <v>476048.57240000006</v>
      </c>
      <c r="CJ291" s="207">
        <v>232450.90200000006</v>
      </c>
      <c r="CK291" s="207">
        <v>243597.6704</v>
      </c>
      <c r="CL291" s="207">
        <v>35045770.50754673</v>
      </c>
      <c r="CM291" s="207">
        <v>37347686.48296569</v>
      </c>
      <c r="CN291" s="207">
        <v>6616</v>
      </c>
    </row>
    <row r="292" spans="1:92" ht="9.75">
      <c r="A292" s="207">
        <v>980</v>
      </c>
      <c r="B292" s="207" t="s">
        <v>349</v>
      </c>
      <c r="C292" s="207">
        <v>32983</v>
      </c>
      <c r="D292" s="207">
        <v>120439506.91999999</v>
      </c>
      <c r="E292" s="207">
        <v>30065748.858319726</v>
      </c>
      <c r="F292" s="207">
        <v>4715585.0898109</v>
      </c>
      <c r="G292" s="207">
        <v>155220840.86813062</v>
      </c>
      <c r="H292" s="207">
        <v>3654.72</v>
      </c>
      <c r="I292" s="207">
        <v>120543629.75999999</v>
      </c>
      <c r="J292" s="207">
        <v>34677211.108130634</v>
      </c>
      <c r="K292" s="207">
        <v>550008.2180991853</v>
      </c>
      <c r="L292" s="207">
        <v>-5217346.682644781</v>
      </c>
      <c r="M292" s="207">
        <v>0</v>
      </c>
      <c r="N292" s="207">
        <v>30009872.643585037</v>
      </c>
      <c r="O292" s="207">
        <v>6651189.89663819</v>
      </c>
      <c r="P292" s="207">
        <v>36661062.540223226</v>
      </c>
      <c r="Q292" s="207">
        <v>2561</v>
      </c>
      <c r="R292" s="207">
        <v>553</v>
      </c>
      <c r="S292" s="207">
        <v>3035</v>
      </c>
      <c r="T292" s="207">
        <v>1429</v>
      </c>
      <c r="U292" s="207">
        <v>1269</v>
      </c>
      <c r="V292" s="207">
        <v>18337</v>
      </c>
      <c r="W292" s="207">
        <v>3489</v>
      </c>
      <c r="X292" s="207">
        <v>1726</v>
      </c>
      <c r="Y292" s="207">
        <v>584</v>
      </c>
      <c r="Z292" s="207">
        <v>114</v>
      </c>
      <c r="AA292" s="207">
        <v>0</v>
      </c>
      <c r="AB292" s="207">
        <v>32081</v>
      </c>
      <c r="AC292" s="207">
        <v>788</v>
      </c>
      <c r="AD292" s="207">
        <v>5799</v>
      </c>
      <c r="AE292" s="480">
        <v>0.7738139954054565</v>
      </c>
      <c r="AF292" s="207">
        <v>30065748.858319726</v>
      </c>
      <c r="AG292" s="175">
        <v>1069</v>
      </c>
      <c r="AH292" s="175">
        <v>15843</v>
      </c>
      <c r="AI292" s="175">
        <v>0.6916151879650326</v>
      </c>
      <c r="AJ292" s="175">
        <v>788</v>
      </c>
      <c r="AK292" s="175">
        <v>0.023891095412788405</v>
      </c>
      <c r="AL292" s="175">
        <v>0.02061001630232541</v>
      </c>
      <c r="AM292" s="175">
        <v>0</v>
      </c>
      <c r="AN292" s="175">
        <v>114</v>
      </c>
      <c r="AO292" s="175">
        <v>0</v>
      </c>
      <c r="AP292" s="175">
        <v>0</v>
      </c>
      <c r="AQ292" s="175">
        <v>0</v>
      </c>
      <c r="AR292" s="175">
        <v>1115.64</v>
      </c>
      <c r="AS292" s="175">
        <v>29.564196335735538</v>
      </c>
      <c r="AT292" s="175">
        <v>0.6139359221807712</v>
      </c>
      <c r="AU292" s="175">
        <v>1012</v>
      </c>
      <c r="AV292" s="175">
        <v>11147</v>
      </c>
      <c r="AW292" s="175">
        <v>0.09078675876917557</v>
      </c>
      <c r="AX292" s="175">
        <v>0.03532552503969056</v>
      </c>
      <c r="AY292" s="175">
        <v>0</v>
      </c>
      <c r="AZ292" s="207">
        <v>9316</v>
      </c>
      <c r="BA292" s="175">
        <v>14456</v>
      </c>
      <c r="BB292" s="175">
        <v>0.6444382955174323</v>
      </c>
      <c r="BC292" s="175">
        <v>0.2547434480937204</v>
      </c>
      <c r="BD292" s="175">
        <v>0</v>
      </c>
      <c r="BE292" s="175">
        <v>0</v>
      </c>
      <c r="BF292" s="207">
        <v>-207460.18</v>
      </c>
      <c r="BG292" s="207">
        <v>-253818.16</v>
      </c>
      <c r="BH292" s="207">
        <v>-135230.3</v>
      </c>
      <c r="BI292" s="207">
        <v>-549062.6</v>
      </c>
      <c r="BJ292" s="207">
        <v>0</v>
      </c>
      <c r="BK292" s="207">
        <v>0</v>
      </c>
      <c r="BL292" s="207">
        <v>-15104</v>
      </c>
      <c r="BM292" s="207">
        <v>-1328232.2639278385</v>
      </c>
      <c r="BN292" s="207">
        <v>-1403756.48</v>
      </c>
      <c r="BO292" s="207">
        <v>-347209.93432351947</v>
      </c>
      <c r="BP292" s="207">
        <v>2053006</v>
      </c>
      <c r="BQ292" s="207">
        <v>651254</v>
      </c>
      <c r="BR292" s="207">
        <v>1314597.2430768656</v>
      </c>
      <c r="BS292" s="207">
        <v>15734.767118453987</v>
      </c>
      <c r="BT292" s="207">
        <v>-104982.75987239247</v>
      </c>
      <c r="BU292" s="207">
        <v>676365.6684635072</v>
      </c>
      <c r="BV292" s="207">
        <v>1370714.847696324</v>
      </c>
      <c r="BW292" s="207">
        <v>2239117.9938244843</v>
      </c>
      <c r="BX292" s="207">
        <v>579554.8540764924</v>
      </c>
      <c r="BY292" s="207">
        <v>1144350.8280256304</v>
      </c>
      <c r="BZ292" s="207">
        <v>2968.47</v>
      </c>
      <c r="CA292" s="207">
        <v>30817.545606577274</v>
      </c>
      <c r="CB292" s="207">
        <v>-328527.9187169422</v>
      </c>
      <c r="CC292" s="207">
        <v>-5217346.682644781</v>
      </c>
      <c r="CD292" s="207">
        <v>0</v>
      </c>
      <c r="CE292" s="207">
        <v>1483245.9062719066</v>
      </c>
      <c r="CF292" s="207">
        <v>0</v>
      </c>
      <c r="CG292" s="207">
        <v>6651189.89663819</v>
      </c>
      <c r="CH292" s="207">
        <v>-3844562</v>
      </c>
      <c r="CI292" s="207">
        <v>681040.3620000001</v>
      </c>
      <c r="CJ292" s="207">
        <v>1570783.5718599998</v>
      </c>
      <c r="CK292" s="207">
        <v>-889743.2098599997</v>
      </c>
      <c r="CL292" s="207">
        <v>32816500.540223226</v>
      </c>
      <c r="CM292" s="207">
        <v>39975265.69885765</v>
      </c>
      <c r="CN292" s="207">
        <v>4118</v>
      </c>
    </row>
    <row r="293" spans="1:92" ht="9.75">
      <c r="A293" s="207">
        <v>981</v>
      </c>
      <c r="B293" s="207" t="s">
        <v>350</v>
      </c>
      <c r="C293" s="207">
        <v>2357</v>
      </c>
      <c r="D293" s="207">
        <v>8370356.329999999</v>
      </c>
      <c r="E293" s="207">
        <v>2709069.620301653</v>
      </c>
      <c r="F293" s="207">
        <v>435810.9191323988</v>
      </c>
      <c r="G293" s="207">
        <v>11515236.869434051</v>
      </c>
      <c r="H293" s="207">
        <v>3654.72</v>
      </c>
      <c r="I293" s="207">
        <v>8614175.04</v>
      </c>
      <c r="J293" s="207">
        <v>2901061.829434052</v>
      </c>
      <c r="K293" s="207">
        <v>39492.84225462938</v>
      </c>
      <c r="L293" s="207">
        <v>-297876.47350890085</v>
      </c>
      <c r="M293" s="207">
        <v>0</v>
      </c>
      <c r="N293" s="207">
        <v>2642678.1981797805</v>
      </c>
      <c r="O293" s="207">
        <v>1757997.6690899332</v>
      </c>
      <c r="P293" s="207">
        <v>4400675.867269713</v>
      </c>
      <c r="Q293" s="207">
        <v>106</v>
      </c>
      <c r="R293" s="207">
        <v>19</v>
      </c>
      <c r="S293" s="207">
        <v>147</v>
      </c>
      <c r="T293" s="207">
        <v>75</v>
      </c>
      <c r="U293" s="207">
        <v>77</v>
      </c>
      <c r="V293" s="207">
        <v>1275</v>
      </c>
      <c r="W293" s="207">
        <v>388</v>
      </c>
      <c r="X293" s="207">
        <v>177</v>
      </c>
      <c r="Y293" s="207">
        <v>93</v>
      </c>
      <c r="Z293" s="207">
        <v>14</v>
      </c>
      <c r="AA293" s="207">
        <v>0</v>
      </c>
      <c r="AB293" s="207">
        <v>2301</v>
      </c>
      <c r="AC293" s="207">
        <v>42</v>
      </c>
      <c r="AD293" s="207">
        <v>658</v>
      </c>
      <c r="AE293" s="480">
        <v>0.9756977267085267</v>
      </c>
      <c r="AF293" s="207">
        <v>2709069.620301653</v>
      </c>
      <c r="AG293" s="175">
        <v>84</v>
      </c>
      <c r="AH293" s="175">
        <v>1105</v>
      </c>
      <c r="AI293" s="175">
        <v>0.7791861904398503</v>
      </c>
      <c r="AJ293" s="175">
        <v>42</v>
      </c>
      <c r="AK293" s="175">
        <v>0.017819261773440814</v>
      </c>
      <c r="AL293" s="175">
        <v>0.014538182662977819</v>
      </c>
      <c r="AM293" s="175">
        <v>0</v>
      </c>
      <c r="AN293" s="175">
        <v>14</v>
      </c>
      <c r="AO293" s="175">
        <v>0</v>
      </c>
      <c r="AP293" s="175">
        <v>0</v>
      </c>
      <c r="AQ293" s="175">
        <v>0</v>
      </c>
      <c r="AR293" s="175">
        <v>182.76</v>
      </c>
      <c r="AS293" s="175">
        <v>12.89669511928212</v>
      </c>
      <c r="AT293" s="175">
        <v>1.4073777795813711</v>
      </c>
      <c r="AU293" s="175">
        <v>85</v>
      </c>
      <c r="AV293" s="175">
        <v>674</v>
      </c>
      <c r="AW293" s="175">
        <v>0.1261127596439169</v>
      </c>
      <c r="AX293" s="175">
        <v>0.07065152591443191</v>
      </c>
      <c r="AY293" s="175">
        <v>0</v>
      </c>
      <c r="AZ293" s="207">
        <v>625</v>
      </c>
      <c r="BA293" s="175">
        <v>968</v>
      </c>
      <c r="BB293" s="175">
        <v>0.6456611570247934</v>
      </c>
      <c r="BC293" s="175">
        <v>0.2559663096010816</v>
      </c>
      <c r="BD293" s="175">
        <v>0</v>
      </c>
      <c r="BE293" s="175">
        <v>0</v>
      </c>
      <c r="BF293" s="207">
        <v>-14967.32</v>
      </c>
      <c r="BG293" s="207">
        <v>-18311.84</v>
      </c>
      <c r="BH293" s="207">
        <v>-9663.699999999999</v>
      </c>
      <c r="BI293" s="207">
        <v>-39612.4</v>
      </c>
      <c r="BJ293" s="207">
        <v>0</v>
      </c>
      <c r="BK293" s="207">
        <v>0</v>
      </c>
      <c r="BL293" s="207">
        <v>29176</v>
      </c>
      <c r="BM293" s="207">
        <v>-109171.3907736564</v>
      </c>
      <c r="BN293" s="207">
        <v>-100313.92</v>
      </c>
      <c r="BO293" s="207">
        <v>26663.14650002122</v>
      </c>
      <c r="BP293" s="207">
        <v>230288</v>
      </c>
      <c r="BQ293" s="207">
        <v>80816</v>
      </c>
      <c r="BR293" s="207">
        <v>184290.17484536598</v>
      </c>
      <c r="BS293" s="207">
        <v>9318.783464418157</v>
      </c>
      <c r="BT293" s="207">
        <v>30796.386826805596</v>
      </c>
      <c r="BU293" s="207">
        <v>74794.23220504644</v>
      </c>
      <c r="BV293" s="207">
        <v>147649.47010495246</v>
      </c>
      <c r="BW293" s="207">
        <v>237874.01446903648</v>
      </c>
      <c r="BX293" s="207">
        <v>75569.26100283953</v>
      </c>
      <c r="BY293" s="207">
        <v>120196.89413887881</v>
      </c>
      <c r="BZ293" s="207">
        <v>212.13</v>
      </c>
      <c r="CA293" s="207">
        <v>10378.44076473437</v>
      </c>
      <c r="CB293" s="207">
        <v>66429.71726475559</v>
      </c>
      <c r="CC293" s="207">
        <v>-297876.47350890085</v>
      </c>
      <c r="CD293" s="207">
        <v>0</v>
      </c>
      <c r="CE293" s="207">
        <v>161708.38760982396</v>
      </c>
      <c r="CF293" s="207">
        <v>0</v>
      </c>
      <c r="CG293" s="207">
        <v>1757997.6690899332</v>
      </c>
      <c r="CH293" s="207">
        <v>-573428</v>
      </c>
      <c r="CI293" s="207">
        <v>4146.0541</v>
      </c>
      <c r="CJ293" s="207">
        <v>59811.92800000001</v>
      </c>
      <c r="CK293" s="207">
        <v>-55665.873900000006</v>
      </c>
      <c r="CL293" s="207">
        <v>3827247.8672697134</v>
      </c>
      <c r="CM293" s="207">
        <v>4683069.494703932</v>
      </c>
      <c r="CN293" s="207">
        <v>15251</v>
      </c>
    </row>
    <row r="294" spans="1:92" ht="9.75">
      <c r="A294" s="207">
        <v>989</v>
      </c>
      <c r="B294" s="207" t="s">
        <v>351</v>
      </c>
      <c r="C294" s="207">
        <v>5703</v>
      </c>
      <c r="D294" s="207">
        <v>21136981.36</v>
      </c>
      <c r="E294" s="207">
        <v>9856616.493000556</v>
      </c>
      <c r="F294" s="207">
        <v>1220072.0020723965</v>
      </c>
      <c r="G294" s="207">
        <v>32213669.855072953</v>
      </c>
      <c r="H294" s="207">
        <v>3654.72</v>
      </c>
      <c r="I294" s="207">
        <v>20842868.16</v>
      </c>
      <c r="J294" s="207">
        <v>11370801.695072953</v>
      </c>
      <c r="K294" s="207">
        <v>456194.85844598664</v>
      </c>
      <c r="L294" s="207">
        <v>-556001.7300636036</v>
      </c>
      <c r="M294" s="207">
        <v>0</v>
      </c>
      <c r="N294" s="207">
        <v>11270994.823455336</v>
      </c>
      <c r="O294" s="207">
        <v>4204788.367550043</v>
      </c>
      <c r="P294" s="207">
        <v>15475783.191005379</v>
      </c>
      <c r="Q294" s="207">
        <v>266</v>
      </c>
      <c r="R294" s="207">
        <v>46</v>
      </c>
      <c r="S294" s="207">
        <v>364</v>
      </c>
      <c r="T294" s="207">
        <v>190</v>
      </c>
      <c r="U294" s="207">
        <v>183</v>
      </c>
      <c r="V294" s="207">
        <v>2878</v>
      </c>
      <c r="W294" s="207">
        <v>1027</v>
      </c>
      <c r="X294" s="207">
        <v>514</v>
      </c>
      <c r="Y294" s="207">
        <v>235</v>
      </c>
      <c r="Z294" s="207">
        <v>4</v>
      </c>
      <c r="AA294" s="207">
        <v>0</v>
      </c>
      <c r="AB294" s="207">
        <v>5637</v>
      </c>
      <c r="AC294" s="207">
        <v>62</v>
      </c>
      <c r="AD294" s="207">
        <v>1776</v>
      </c>
      <c r="AE294" s="480">
        <v>1.4671658072019038</v>
      </c>
      <c r="AF294" s="207">
        <v>9856616.493000556</v>
      </c>
      <c r="AG294" s="175">
        <v>196</v>
      </c>
      <c r="AH294" s="175">
        <v>2526</v>
      </c>
      <c r="AI294" s="175">
        <v>0.7953292666999527</v>
      </c>
      <c r="AJ294" s="175">
        <v>62</v>
      </c>
      <c r="AK294" s="175">
        <v>0.010871471155532176</v>
      </c>
      <c r="AL294" s="175">
        <v>0.00759039204506918</v>
      </c>
      <c r="AM294" s="175">
        <v>0</v>
      </c>
      <c r="AN294" s="175">
        <v>4</v>
      </c>
      <c r="AO294" s="175">
        <v>0</v>
      </c>
      <c r="AP294" s="175">
        <v>0</v>
      </c>
      <c r="AQ294" s="175">
        <v>0</v>
      </c>
      <c r="AR294" s="175">
        <v>805.82</v>
      </c>
      <c r="AS294" s="175">
        <v>7.077262912312923</v>
      </c>
      <c r="AT294" s="175">
        <v>2.5646245399948544</v>
      </c>
      <c r="AU294" s="175">
        <v>166</v>
      </c>
      <c r="AV294" s="175">
        <v>1453</v>
      </c>
      <c r="AW294" s="175">
        <v>0.11424638678596008</v>
      </c>
      <c r="AX294" s="175">
        <v>0.058785153056475074</v>
      </c>
      <c r="AY294" s="175">
        <v>0.1918</v>
      </c>
      <c r="AZ294" s="207">
        <v>2122</v>
      </c>
      <c r="BA294" s="175">
        <v>2166</v>
      </c>
      <c r="BB294" s="175">
        <v>0.9796860572483841</v>
      </c>
      <c r="BC294" s="175">
        <v>0.5899912098246722</v>
      </c>
      <c r="BD294" s="175">
        <v>0</v>
      </c>
      <c r="BE294" s="175">
        <v>0</v>
      </c>
      <c r="BF294" s="207">
        <v>-37266.86</v>
      </c>
      <c r="BG294" s="207">
        <v>-45594.32</v>
      </c>
      <c r="BH294" s="207">
        <v>-23382.3</v>
      </c>
      <c r="BI294" s="207">
        <v>-98630.2</v>
      </c>
      <c r="BJ294" s="207">
        <v>0</v>
      </c>
      <c r="BK294" s="207">
        <v>0</v>
      </c>
      <c r="BL294" s="207">
        <v>126664</v>
      </c>
      <c r="BM294" s="207">
        <v>-157010.24695860632</v>
      </c>
      <c r="BN294" s="207">
        <v>-242719.68000000002</v>
      </c>
      <c r="BO294" s="207">
        <v>96496.76393330097</v>
      </c>
      <c r="BP294" s="207">
        <v>587503</v>
      </c>
      <c r="BQ294" s="207">
        <v>170766</v>
      </c>
      <c r="BR294" s="207">
        <v>439282.3278928873</v>
      </c>
      <c r="BS294" s="207">
        <v>22135.671166588105</v>
      </c>
      <c r="BT294" s="207">
        <v>52404.35786021622</v>
      </c>
      <c r="BU294" s="207">
        <v>222121.41562959072</v>
      </c>
      <c r="BV294" s="207">
        <v>338418.62562740437</v>
      </c>
      <c r="BW294" s="207">
        <v>547995.4616597563</v>
      </c>
      <c r="BX294" s="207">
        <v>160825.0056978438</v>
      </c>
      <c r="BY294" s="207">
        <v>282767.06100177206</v>
      </c>
      <c r="BZ294" s="207">
        <v>513.27</v>
      </c>
      <c r="CA294" s="207">
        <v>-218.17703829817037</v>
      </c>
      <c r="CB294" s="207">
        <v>223455.8568950028</v>
      </c>
      <c r="CC294" s="207">
        <v>-556001.7300636036</v>
      </c>
      <c r="CD294" s="207">
        <v>0</v>
      </c>
      <c r="CE294" s="207">
        <v>367896.0737178369</v>
      </c>
      <c r="CF294" s="207">
        <v>0</v>
      </c>
      <c r="CG294" s="207">
        <v>4204788.367550043</v>
      </c>
      <c r="CH294" s="207">
        <v>-190034</v>
      </c>
      <c r="CI294" s="207">
        <v>146947.0322</v>
      </c>
      <c r="CJ294" s="207">
        <v>38769.00424</v>
      </c>
      <c r="CK294" s="207">
        <v>108178.02795999998</v>
      </c>
      <c r="CL294" s="207">
        <v>15285749.191005379</v>
      </c>
      <c r="CM294" s="207">
        <v>18148919.35209236</v>
      </c>
      <c r="CN294" s="207">
        <v>32878</v>
      </c>
    </row>
    <row r="295" spans="1:92" ht="9.75">
      <c r="A295" s="207">
        <v>992</v>
      </c>
      <c r="B295" s="207" t="s">
        <v>352</v>
      </c>
      <c r="C295" s="207">
        <v>18851</v>
      </c>
      <c r="D295" s="207">
        <v>67838027.37</v>
      </c>
      <c r="E295" s="207">
        <v>32142444.26599236</v>
      </c>
      <c r="F295" s="207">
        <v>3965513.269604857</v>
      </c>
      <c r="G295" s="207">
        <v>103945984.90559722</v>
      </c>
      <c r="H295" s="207">
        <v>3654.72</v>
      </c>
      <c r="I295" s="207">
        <v>68895126.72</v>
      </c>
      <c r="J295" s="207">
        <v>35050858.185597226</v>
      </c>
      <c r="K295" s="207">
        <v>791721.1186163604</v>
      </c>
      <c r="L295" s="207">
        <v>-2471806.0097284196</v>
      </c>
      <c r="M295" s="207">
        <v>0</v>
      </c>
      <c r="N295" s="207">
        <v>33370773.294485163</v>
      </c>
      <c r="O295" s="207">
        <v>5381057.150740522</v>
      </c>
      <c r="P295" s="207">
        <v>38751830.445225686</v>
      </c>
      <c r="Q295" s="207">
        <v>1010</v>
      </c>
      <c r="R295" s="207">
        <v>215</v>
      </c>
      <c r="S295" s="207">
        <v>1338</v>
      </c>
      <c r="T295" s="207">
        <v>689</v>
      </c>
      <c r="U295" s="207">
        <v>698</v>
      </c>
      <c r="V295" s="207">
        <v>9935</v>
      </c>
      <c r="W295" s="207">
        <v>2869</v>
      </c>
      <c r="X295" s="207">
        <v>1548</v>
      </c>
      <c r="Y295" s="207">
        <v>549</v>
      </c>
      <c r="Z295" s="207">
        <v>17</v>
      </c>
      <c r="AA295" s="207">
        <v>6</v>
      </c>
      <c r="AB295" s="207">
        <v>18533</v>
      </c>
      <c r="AC295" s="207">
        <v>295</v>
      </c>
      <c r="AD295" s="207">
        <v>4966</v>
      </c>
      <c r="AE295" s="480">
        <v>1.4474354855368041</v>
      </c>
      <c r="AF295" s="207">
        <v>32142444.26599236</v>
      </c>
      <c r="AG295" s="175">
        <v>1136</v>
      </c>
      <c r="AH295" s="175">
        <v>8428</v>
      </c>
      <c r="AI295" s="175">
        <v>1.3815863803412312</v>
      </c>
      <c r="AJ295" s="175">
        <v>295</v>
      </c>
      <c r="AK295" s="175">
        <v>0.01564903718635616</v>
      </c>
      <c r="AL295" s="175">
        <v>0.012367958075893165</v>
      </c>
      <c r="AM295" s="175">
        <v>0</v>
      </c>
      <c r="AN295" s="175">
        <v>17</v>
      </c>
      <c r="AO295" s="175">
        <v>6</v>
      </c>
      <c r="AP295" s="175">
        <v>0</v>
      </c>
      <c r="AQ295" s="175">
        <v>0</v>
      </c>
      <c r="AR295" s="175">
        <v>884.57</v>
      </c>
      <c r="AS295" s="175">
        <v>21.31091942977944</v>
      </c>
      <c r="AT295" s="175">
        <v>0.851700566027668</v>
      </c>
      <c r="AU295" s="175">
        <v>624</v>
      </c>
      <c r="AV295" s="175">
        <v>5282</v>
      </c>
      <c r="AW295" s="175">
        <v>0.11813706929193488</v>
      </c>
      <c r="AX295" s="175">
        <v>0.06267583556244988</v>
      </c>
      <c r="AY295" s="175">
        <v>0</v>
      </c>
      <c r="AZ295" s="207">
        <v>7053</v>
      </c>
      <c r="BA295" s="175">
        <v>6839</v>
      </c>
      <c r="BB295" s="175">
        <v>1.0312911244333967</v>
      </c>
      <c r="BC295" s="175">
        <v>0.6415962770096848</v>
      </c>
      <c r="BD295" s="175">
        <v>0</v>
      </c>
      <c r="BE295" s="175">
        <v>6</v>
      </c>
      <c r="BF295" s="207">
        <v>-120798.64</v>
      </c>
      <c r="BG295" s="207">
        <v>-147791.68</v>
      </c>
      <c r="BH295" s="207">
        <v>-77289.09999999999</v>
      </c>
      <c r="BI295" s="207">
        <v>-319704.8</v>
      </c>
      <c r="BJ295" s="207">
        <v>0</v>
      </c>
      <c r="BK295" s="207">
        <v>0</v>
      </c>
      <c r="BL295" s="207">
        <v>678179</v>
      </c>
      <c r="BM295" s="207">
        <v>-1150872.2424083832</v>
      </c>
      <c r="BN295" s="207">
        <v>-802298.56</v>
      </c>
      <c r="BO295" s="207">
        <v>18012.54996163398</v>
      </c>
      <c r="BP295" s="207">
        <v>1489761</v>
      </c>
      <c r="BQ295" s="207">
        <v>450815</v>
      </c>
      <c r="BR295" s="207">
        <v>1034431.5246544537</v>
      </c>
      <c r="BS295" s="207">
        <v>34021.999037244925</v>
      </c>
      <c r="BT295" s="207">
        <v>135664.67047937264</v>
      </c>
      <c r="BU295" s="207">
        <v>556663.5774633273</v>
      </c>
      <c r="BV295" s="207">
        <v>843413.5215587942</v>
      </c>
      <c r="BW295" s="207">
        <v>1444256.7380260613</v>
      </c>
      <c r="BX295" s="207">
        <v>394204.05797371245</v>
      </c>
      <c r="BY295" s="207">
        <v>828688.6681711307</v>
      </c>
      <c r="BZ295" s="207">
        <v>1696.59</v>
      </c>
      <c r="CA295" s="207">
        <v>27032.53271832975</v>
      </c>
      <c r="CB295" s="207">
        <v>724920.6726799638</v>
      </c>
      <c r="CC295" s="207">
        <v>-2471806.0097284196</v>
      </c>
      <c r="CD295" s="207">
        <v>0</v>
      </c>
      <c r="CE295" s="207">
        <v>973055.8897930898</v>
      </c>
      <c r="CF295" s="207">
        <v>0</v>
      </c>
      <c r="CG295" s="207">
        <v>5381057.150740522</v>
      </c>
      <c r="CH295" s="207">
        <v>-577591</v>
      </c>
      <c r="CI295" s="207">
        <v>146811.09600000002</v>
      </c>
      <c r="CJ295" s="207">
        <v>247499.03934000002</v>
      </c>
      <c r="CK295" s="207">
        <v>-100687.94334</v>
      </c>
      <c r="CL295" s="207">
        <v>38174239.445225686</v>
      </c>
      <c r="CM295" s="207">
        <v>42108390.85277138</v>
      </c>
      <c r="CN295" s="207">
        <v>2372</v>
      </c>
    </row>
    <row r="297" spans="3:92" ht="9.75">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207"/>
      <c r="BG297" s="207"/>
      <c r="BH297" s="207"/>
      <c r="BI297" s="207"/>
      <c r="BJ297" s="207"/>
      <c r="BK297" s="207"/>
      <c r="BL297" s="207"/>
      <c r="BM297" s="207"/>
      <c r="BN297" s="207"/>
      <c r="BO297" s="207"/>
      <c r="BP297" s="207"/>
      <c r="BQ297" s="207"/>
      <c r="BR297" s="207"/>
      <c r="BS297" s="207"/>
      <c r="BT297" s="207"/>
      <c r="BU297" s="207"/>
      <c r="BV297" s="207"/>
      <c r="BW297" s="207"/>
      <c r="BX297" s="207"/>
      <c r="BY297" s="207"/>
      <c r="BZ297" s="207"/>
      <c r="CA297" s="207"/>
      <c r="CB297" s="207"/>
      <c r="CC297" s="207"/>
      <c r="CD297" s="207"/>
      <c r="CE297" s="207"/>
      <c r="CF297" s="207"/>
      <c r="CG297" s="207"/>
      <c r="CH297" s="207"/>
      <c r="CI297" s="207"/>
      <c r="CJ297" s="207"/>
      <c r="CK297" s="207"/>
      <c r="CL297" s="207"/>
      <c r="CM297" s="207"/>
      <c r="CN297" s="20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K316"/>
  <sheetViews>
    <sheetView zoomScalePageLayoutView="0" workbookViewId="0" topLeftCell="A1">
      <selection activeCell="K2" sqref="K2"/>
    </sheetView>
  </sheetViews>
  <sheetFormatPr defaultColWidth="9.140625" defaultRowHeight="12.75"/>
  <cols>
    <col min="1" max="1" width="23.00390625" style="0" customWidth="1"/>
    <col min="2" max="2" width="8.57421875" style="0" customWidth="1"/>
    <col min="3" max="3" width="14.140625" style="0" customWidth="1"/>
    <col min="4" max="5" width="12.28125" style="0" customWidth="1"/>
    <col min="6" max="6" width="13.140625" style="0" customWidth="1"/>
    <col min="7" max="7" width="8.421875" style="3" customWidth="1"/>
    <col min="8" max="8" width="8.421875" style="0" customWidth="1"/>
    <col min="9" max="9" width="9.00390625" style="0" customWidth="1"/>
    <col min="10" max="10" width="8.57421875" style="0" customWidth="1"/>
    <col min="11" max="11" width="6.7109375" style="1" customWidth="1"/>
    <col min="12" max="12" width="12.28125" style="1" bestFit="1" customWidth="1"/>
    <col min="13" max="13" width="12.28125" style="1" customWidth="1"/>
    <col min="14" max="14" width="8.28125" style="0" customWidth="1"/>
    <col min="15" max="17" width="9.57421875" style="0" customWidth="1"/>
    <col min="20" max="20" width="11.7109375" style="0" bestFit="1" customWidth="1"/>
    <col min="24" max="24" width="10.421875" style="0" customWidth="1"/>
    <col min="26" max="26" width="13.00390625" style="0" customWidth="1"/>
    <col min="27" max="27" width="20.8515625" style="0" bestFit="1" customWidth="1"/>
    <col min="28" max="28" width="13.00390625" style="0" customWidth="1"/>
    <col min="34" max="37" width="11.140625" style="0" customWidth="1"/>
  </cols>
  <sheetData>
    <row r="1" ht="13.5" customHeight="1">
      <c r="A1" s="372"/>
    </row>
    <row r="2" spans="1:13" ht="18.75" customHeight="1">
      <c r="A2" s="373" t="s">
        <v>1135</v>
      </c>
      <c r="B2" s="373"/>
      <c r="C2" s="373"/>
      <c r="D2" s="373"/>
      <c r="E2" s="373"/>
      <c r="F2" s="373"/>
      <c r="G2" s="374"/>
      <c r="H2" s="373"/>
      <c r="I2" s="373"/>
      <c r="J2" s="373"/>
      <c r="K2" s="375"/>
      <c r="L2" s="376"/>
      <c r="M2" s="376"/>
    </row>
    <row r="3" spans="1:13" ht="14.25" customHeight="1">
      <c r="A3" s="217" t="s">
        <v>1150</v>
      </c>
      <c r="L3" s="376"/>
      <c r="M3" s="376"/>
    </row>
    <row r="4" spans="1:28" ht="15" customHeight="1">
      <c r="A4" s="377" t="s">
        <v>697</v>
      </c>
      <c r="L4" s="378"/>
      <c r="M4" s="378"/>
      <c r="AB4" s="378"/>
    </row>
    <row r="5" spans="1:11" ht="15" customHeight="1">
      <c r="A5" s="377" t="s">
        <v>1151</v>
      </c>
      <c r="K5" s="379"/>
    </row>
    <row r="6" ht="14.25" customHeight="1">
      <c r="A6" s="380" t="s">
        <v>1152</v>
      </c>
    </row>
    <row r="7" spans="1:28" ht="14.25" customHeight="1">
      <c r="A7" s="381" t="s">
        <v>1153</v>
      </c>
      <c r="Z7" s="504" t="s">
        <v>1154</v>
      </c>
      <c r="AA7" s="504" t="s">
        <v>1155</v>
      </c>
      <c r="AB7" s="504" t="s">
        <v>1156</v>
      </c>
    </row>
    <row r="8" ht="10.5" customHeight="1"/>
    <row r="9" spans="1:28" ht="17.25" customHeight="1">
      <c r="A9" s="383" t="s">
        <v>698</v>
      </c>
      <c r="B9" s="384" t="s">
        <v>699</v>
      </c>
      <c r="C9" s="384" t="s">
        <v>700</v>
      </c>
      <c r="D9" s="384" t="s">
        <v>701</v>
      </c>
      <c r="E9" s="384" t="s">
        <v>702</v>
      </c>
      <c r="F9" s="383" t="s">
        <v>703</v>
      </c>
      <c r="G9" s="384"/>
      <c r="H9" s="384" t="s">
        <v>704</v>
      </c>
      <c r="I9" s="385" t="s">
        <v>704</v>
      </c>
      <c r="J9" s="385" t="s">
        <v>704</v>
      </c>
      <c r="K9" s="386" t="s">
        <v>1136</v>
      </c>
      <c r="L9" s="386"/>
      <c r="M9" s="386"/>
      <c r="N9" s="387" t="s">
        <v>705</v>
      </c>
      <c r="O9" s="388" t="s">
        <v>706</v>
      </c>
      <c r="P9" s="389" t="s">
        <v>707</v>
      </c>
      <c r="Q9" s="390" t="s">
        <v>708</v>
      </c>
      <c r="R9" s="175" t="s">
        <v>709</v>
      </c>
      <c r="T9" s="5" t="s">
        <v>1137</v>
      </c>
      <c r="X9" s="391" t="s">
        <v>698</v>
      </c>
      <c r="Y9" s="392"/>
      <c r="Z9" s="405" t="s">
        <v>1138</v>
      </c>
      <c r="AA9" s="391" t="s">
        <v>1139</v>
      </c>
      <c r="AB9" s="391" t="s">
        <v>1140</v>
      </c>
    </row>
    <row r="10" spans="1:29" ht="13.5" customHeight="1">
      <c r="A10" s="383"/>
      <c r="B10" s="384" t="s">
        <v>712</v>
      </c>
      <c r="C10" s="384" t="s">
        <v>710</v>
      </c>
      <c r="D10" s="384" t="s">
        <v>713</v>
      </c>
      <c r="E10" s="384" t="s">
        <v>714</v>
      </c>
      <c r="F10" s="393" t="s">
        <v>1141</v>
      </c>
      <c r="G10" s="394"/>
      <c r="H10" s="384" t="s">
        <v>715</v>
      </c>
      <c r="I10" s="385" t="s">
        <v>716</v>
      </c>
      <c r="J10" s="385" t="s">
        <v>717</v>
      </c>
      <c r="K10" s="395"/>
      <c r="L10" s="395"/>
      <c r="M10" s="481"/>
      <c r="N10" s="396"/>
      <c r="O10" s="397" t="s">
        <v>718</v>
      </c>
      <c r="P10" s="389" t="s">
        <v>719</v>
      </c>
      <c r="Q10" s="398" t="s">
        <v>720</v>
      </c>
      <c r="R10" s="175" t="s">
        <v>721</v>
      </c>
      <c r="T10" s="5" t="s">
        <v>711</v>
      </c>
      <c r="X10" s="391"/>
      <c r="Y10" s="399"/>
      <c r="Z10" s="482" t="s">
        <v>1142</v>
      </c>
      <c r="AA10" s="483" t="s">
        <v>1143</v>
      </c>
      <c r="AB10" s="483" t="s">
        <v>1144</v>
      </c>
      <c r="AC10" s="378"/>
    </row>
    <row r="11" spans="1:28" ht="13.5" customHeight="1">
      <c r="A11" s="383"/>
      <c r="B11" s="400" t="s">
        <v>722</v>
      </c>
      <c r="C11" s="400">
        <v>2018</v>
      </c>
      <c r="D11" s="400">
        <v>2018</v>
      </c>
      <c r="E11" s="384" t="s">
        <v>723</v>
      </c>
      <c r="F11" s="383"/>
      <c r="G11" s="384" t="s">
        <v>724</v>
      </c>
      <c r="H11" s="384" t="s">
        <v>725</v>
      </c>
      <c r="I11" s="385" t="s">
        <v>726</v>
      </c>
      <c r="J11" s="401" t="s">
        <v>382</v>
      </c>
      <c r="K11" s="402" t="s">
        <v>724</v>
      </c>
      <c r="L11" s="402" t="s">
        <v>361</v>
      </c>
      <c r="M11" s="402"/>
      <c r="N11" s="403"/>
      <c r="O11" s="403"/>
      <c r="P11" s="404" t="s">
        <v>727</v>
      </c>
      <c r="Q11" s="398"/>
      <c r="R11" s="175">
        <v>2017</v>
      </c>
      <c r="T11">
        <v>2018</v>
      </c>
      <c r="X11" s="405"/>
      <c r="Y11" s="392">
        <v>2018</v>
      </c>
      <c r="Z11" s="382" t="s">
        <v>361</v>
      </c>
      <c r="AA11" s="382" t="s">
        <v>361</v>
      </c>
      <c r="AB11" s="382" t="s">
        <v>361</v>
      </c>
    </row>
    <row r="12" spans="1:28" ht="13.5" customHeight="1">
      <c r="A12" s="383"/>
      <c r="B12" s="484">
        <v>2017</v>
      </c>
      <c r="C12" s="400" t="s">
        <v>361</v>
      </c>
      <c r="D12" s="400" t="s">
        <v>361</v>
      </c>
      <c r="E12" s="484">
        <v>2018</v>
      </c>
      <c r="F12" s="384" t="s">
        <v>361</v>
      </c>
      <c r="G12" s="384" t="s">
        <v>728</v>
      </c>
      <c r="H12" s="384" t="s">
        <v>729</v>
      </c>
      <c r="I12" s="385" t="s">
        <v>730</v>
      </c>
      <c r="J12" s="401"/>
      <c r="K12" s="402" t="s">
        <v>728</v>
      </c>
      <c r="L12" s="386"/>
      <c r="M12" s="386"/>
      <c r="N12" s="403"/>
      <c r="O12" s="403"/>
      <c r="P12" s="175"/>
      <c r="Q12" s="398"/>
      <c r="X12" s="382"/>
      <c r="Y12" s="406"/>
      <c r="Z12" s="408"/>
      <c r="AA12" s="408"/>
      <c r="AB12" s="408"/>
    </row>
    <row r="13" spans="1:28" ht="13.5" customHeight="1">
      <c r="A13" s="383"/>
      <c r="B13" s="384"/>
      <c r="C13" s="384"/>
      <c r="D13" s="384"/>
      <c r="E13" s="400" t="s">
        <v>361</v>
      </c>
      <c r="F13" s="384"/>
      <c r="G13" s="384"/>
      <c r="H13" s="384"/>
      <c r="I13" s="385" t="s">
        <v>731</v>
      </c>
      <c r="J13" s="384"/>
      <c r="K13" s="402"/>
      <c r="L13" s="386"/>
      <c r="M13" s="386"/>
      <c r="N13" s="403"/>
      <c r="O13" s="403"/>
      <c r="P13" s="407"/>
      <c r="X13" s="408"/>
      <c r="Y13" s="409"/>
      <c r="Z13" s="474"/>
      <c r="AA13" s="474"/>
      <c r="AB13" s="474"/>
    </row>
    <row r="14" spans="1:28" ht="9.75" customHeight="1">
      <c r="A14" s="403"/>
      <c r="B14" s="410"/>
      <c r="C14" s="411"/>
      <c r="D14" s="411"/>
      <c r="E14" s="411"/>
      <c r="F14" s="412"/>
      <c r="G14" s="413"/>
      <c r="H14" s="414"/>
      <c r="I14" s="414"/>
      <c r="J14" s="414"/>
      <c r="K14" s="415"/>
      <c r="L14" s="416"/>
      <c r="M14" s="416"/>
      <c r="N14" s="403"/>
      <c r="O14" s="403"/>
      <c r="P14" s="403"/>
      <c r="Q14" s="403"/>
      <c r="X14" s="408"/>
      <c r="Y14" s="418"/>
      <c r="Z14" s="485"/>
      <c r="AA14" s="485"/>
      <c r="AB14" s="486"/>
    </row>
    <row r="15" spans="1:28" s="428" customFormat="1" ht="15" customHeight="1">
      <c r="A15" s="419" t="str">
        <f>"Yhteensä ("&amp;COUNTIF(B19:B312,"&gt;0")&amp;")"</f>
        <v>Yhteensä (294)</v>
      </c>
      <c r="B15" s="420">
        <f>SUM(B19:B312)</f>
        <v>5483641</v>
      </c>
      <c r="C15" s="420">
        <f>SUM(C19:C312)</f>
        <v>18876901575.448925</v>
      </c>
      <c r="D15" s="420">
        <f>SUM(D19:D312)</f>
        <v>1869641002.7120123</v>
      </c>
      <c r="E15" s="420">
        <f>SUM(E19:E312)</f>
        <v>10854103.625</v>
      </c>
      <c r="F15" s="420">
        <f>SUM(F19:F312)</f>
        <v>20757396681.785923</v>
      </c>
      <c r="G15" s="421">
        <f>ROUND(F15/B15,2)</f>
        <v>3785.33</v>
      </c>
      <c r="H15" s="422"/>
      <c r="I15" s="422"/>
      <c r="J15" s="422"/>
      <c r="K15" s="423">
        <f>L15/B15</f>
        <v>142.45770466604066</v>
      </c>
      <c r="L15" s="424">
        <f>SUM(L19:L312)</f>
        <v>781186910.0725919</v>
      </c>
      <c r="M15" s="424"/>
      <c r="N15" s="425"/>
      <c r="O15" s="426"/>
      <c r="P15" s="427"/>
      <c r="Q15" s="427"/>
      <c r="X15" s="429" t="s">
        <v>732</v>
      </c>
      <c r="Y15" s="430">
        <f>100*Z15/AA15</f>
        <v>19.85030912036209</v>
      </c>
      <c r="Z15" s="431">
        <f>SUM(Z19:Z312)</f>
        <v>18877195541.93001</v>
      </c>
      <c r="AA15" s="431">
        <f>SUM(AA19:AA312)</f>
        <v>95097740934.25136</v>
      </c>
      <c r="AB15" s="431">
        <f>SUM(AB19:AB312)</f>
        <v>1869641002.7120123</v>
      </c>
    </row>
    <row r="16" spans="1:28" s="442" customFormat="1" ht="15" customHeight="1">
      <c r="A16" s="432" t="str">
        <f>"Tasauksen saajat ("&amp;COUNTIF(L19:L312,"&gt;0")&amp;")"</f>
        <v>Tasauksen saajat (268)</v>
      </c>
      <c r="B16" s="433">
        <f>_xlfn.SUMIFS($B$19:$B$312,$L$19:$L$312,"&gt;0")</f>
        <v>3616177</v>
      </c>
      <c r="C16" s="434"/>
      <c r="D16" s="434"/>
      <c r="E16" s="434">
        <f>E30+E153</f>
        <v>9058959.841</v>
      </c>
      <c r="F16" s="434"/>
      <c r="G16" s="435"/>
      <c r="H16" s="436"/>
      <c r="I16" s="436"/>
      <c r="J16" s="436"/>
      <c r="K16" s="437">
        <f>L16/B16</f>
        <v>403.4632133534699</v>
      </c>
      <c r="L16" s="438">
        <f>SUMIF($L$19:$L$312,"&gt;0")</f>
        <v>1458994392.4749107</v>
      </c>
      <c r="M16" s="438"/>
      <c r="N16" s="439"/>
      <c r="O16" s="440"/>
      <c r="P16" s="441"/>
      <c r="Q16" s="441"/>
      <c r="X16" s="443"/>
      <c r="Y16" s="444"/>
      <c r="Z16" s="445"/>
      <c r="AA16" s="445"/>
      <c r="AB16" s="445"/>
    </row>
    <row r="17" spans="1:28" ht="15" customHeight="1">
      <c r="A17" s="446" t="str">
        <f>"Tasauksen maksajat ("&amp;COUNTIF(L19:L312,"&lt;0")&amp;")"</f>
        <v>Tasauksen maksajat (26)</v>
      </c>
      <c r="B17" s="447">
        <f>_xlfn.SUMIFS($B$19:$B$312,$L$19:$L$312,"&lt;0")</f>
        <v>1867464</v>
      </c>
      <c r="D17" s="447"/>
      <c r="E17" s="447"/>
      <c r="F17" s="447"/>
      <c r="G17" s="448"/>
      <c r="H17" s="449"/>
      <c r="I17" s="449"/>
      <c r="J17" s="449"/>
      <c r="K17" s="450">
        <f>L17/B17</f>
        <v>-362.95611717404915</v>
      </c>
      <c r="L17" s="450">
        <f>SUMIF($L$19:$L$312,"&lt;0")</f>
        <v>-677807482.4023185</v>
      </c>
      <c r="M17" s="450"/>
      <c r="N17" s="451"/>
      <c r="O17" s="452"/>
      <c r="P17" s="453"/>
      <c r="Q17" s="453"/>
      <c r="X17" s="408"/>
      <c r="Y17" s="454"/>
      <c r="Z17" s="455"/>
      <c r="AA17" s="455"/>
      <c r="AB17" s="455"/>
    </row>
    <row r="18" spans="1:28" ht="12.75">
      <c r="A18" s="456"/>
      <c r="B18" s="457"/>
      <c r="C18" s="457"/>
      <c r="D18" s="457"/>
      <c r="E18" s="457"/>
      <c r="F18" s="457"/>
      <c r="G18" s="458"/>
      <c r="H18" s="459"/>
      <c r="I18" s="459"/>
      <c r="J18" s="459"/>
      <c r="K18" s="460"/>
      <c r="L18" s="460"/>
      <c r="M18" s="460"/>
      <c r="N18" s="461"/>
      <c r="O18" s="462"/>
      <c r="P18" s="453"/>
      <c r="Q18" s="463"/>
      <c r="X18" s="408"/>
      <c r="Y18" s="464"/>
      <c r="Z18" s="408"/>
      <c r="AA18" s="408"/>
      <c r="AB18" s="417"/>
    </row>
    <row r="19" spans="1:37" ht="15" customHeight="1">
      <c r="A19" s="465" t="s">
        <v>733</v>
      </c>
      <c r="B19" s="466">
        <v>9831</v>
      </c>
      <c r="C19" s="467">
        <f aca="true" t="shared" si="0" ref="C19:C82">19.85*AA19/100</f>
        <v>22878468.81305747</v>
      </c>
      <c r="D19" s="467">
        <f aca="true" t="shared" si="1" ref="D19:D82">AB19</f>
        <v>2135058.230882613</v>
      </c>
      <c r="E19" s="467">
        <v>0</v>
      </c>
      <c r="F19" s="467">
        <f aca="true" t="shared" si="2" ref="F19:F82">C19+D19+E19</f>
        <v>25013527.043940082</v>
      </c>
      <c r="G19" s="468">
        <f aca="true" t="shared" si="3" ref="G19:G82">F19/B19</f>
        <v>2544.352257546545</v>
      </c>
      <c r="H19" s="459">
        <f aca="true" t="shared" si="4" ref="H19:H82">$G$15-G19</f>
        <v>1240.977742453455</v>
      </c>
      <c r="I19" s="379">
        <f aca="true" t="shared" si="5" ref="I19:I82">IF(H19&lt;0,LN(-H19),"")</f>
      </c>
      <c r="J19" s="379">
        <f aca="true" t="shared" si="6" ref="J19:J82">IF(H19&lt;0,30+I19,"")</f>
      </c>
      <c r="K19" s="460">
        <f aca="true" t="shared" si="7" ref="K19:K82">IF(H19&gt;0,H19*0.8,J19*H19/100)</f>
        <v>992.782193962764</v>
      </c>
      <c r="L19" s="487">
        <f aca="true" t="shared" si="8" ref="L19:L82">K19*B19</f>
        <v>9760041.748847933</v>
      </c>
      <c r="M19" s="487"/>
      <c r="N19" s="469">
        <v>5</v>
      </c>
      <c r="O19" s="388" t="s">
        <v>733</v>
      </c>
      <c r="P19" s="470">
        <v>0</v>
      </c>
      <c r="Q19" s="471" t="s">
        <v>734</v>
      </c>
      <c r="X19" s="472" t="s">
        <v>60</v>
      </c>
      <c r="Y19" s="473">
        <v>21.75</v>
      </c>
      <c r="Z19" s="474">
        <v>25068347.44</v>
      </c>
      <c r="AA19" s="475">
        <f aca="true" t="shared" si="9" ref="AA19:AA82">100*Z19/Y19</f>
        <v>115256769.83908045</v>
      </c>
      <c r="AB19" s="474">
        <v>2135058.230882613</v>
      </c>
      <c r="AE19" s="488">
        <v>5</v>
      </c>
      <c r="AF19">
        <f aca="true" t="shared" si="10" ref="AF19:AF82">N19-AE19</f>
        <v>0</v>
      </c>
      <c r="AH19" s="476">
        <v>24935.280491696976</v>
      </c>
      <c r="AI19">
        <f aca="true" t="shared" si="11" ref="AI19:AI82">AH19*1000</f>
        <v>24935280.491696976</v>
      </c>
      <c r="AJ19" s="489">
        <v>2146.887808</v>
      </c>
      <c r="AK19">
        <f aca="true" t="shared" si="12" ref="AK19:AK82">AJ19*1000</f>
        <v>2146887.8079999997</v>
      </c>
    </row>
    <row r="20" spans="1:37" ht="15" customHeight="1">
      <c r="A20" s="452" t="s">
        <v>735</v>
      </c>
      <c r="B20" s="466">
        <v>2610</v>
      </c>
      <c r="C20" s="467">
        <f t="shared" si="0"/>
        <v>6184111.866767442</v>
      </c>
      <c r="D20" s="467">
        <f t="shared" si="1"/>
        <v>258743.73157552123</v>
      </c>
      <c r="E20" s="467">
        <v>0</v>
      </c>
      <c r="F20" s="467">
        <f t="shared" si="2"/>
        <v>6442855.5983429635</v>
      </c>
      <c r="G20" s="468">
        <f t="shared" si="3"/>
        <v>2468.527049173549</v>
      </c>
      <c r="H20" s="459">
        <f t="shared" si="4"/>
        <v>1316.8029508264508</v>
      </c>
      <c r="I20" s="379">
        <f t="shared" si="5"/>
      </c>
      <c r="J20" s="379">
        <f t="shared" si="6"/>
      </c>
      <c r="K20" s="460">
        <f t="shared" si="7"/>
        <v>1053.4423606611606</v>
      </c>
      <c r="L20" s="487">
        <f t="shared" si="8"/>
        <v>2749484.5613256292</v>
      </c>
      <c r="M20" s="487"/>
      <c r="N20" s="477">
        <v>9</v>
      </c>
      <c r="O20" s="388" t="s">
        <v>735</v>
      </c>
      <c r="P20" s="470">
        <v>0</v>
      </c>
      <c r="Q20" s="471" t="s">
        <v>736</v>
      </c>
      <c r="X20" s="472" t="s">
        <v>61</v>
      </c>
      <c r="Y20" s="473">
        <v>21.5</v>
      </c>
      <c r="Z20" s="474">
        <v>6698156.43</v>
      </c>
      <c r="AA20" s="475">
        <f t="shared" si="9"/>
        <v>31154215.953488372</v>
      </c>
      <c r="AB20" s="474">
        <v>258743.73157552123</v>
      </c>
      <c r="AE20" s="488">
        <v>9</v>
      </c>
      <c r="AF20">
        <f t="shared" si="10"/>
        <v>0</v>
      </c>
      <c r="AH20" s="476">
        <v>6591.498852995832</v>
      </c>
      <c r="AI20">
        <f t="shared" si="11"/>
        <v>6591498.8529958315</v>
      </c>
      <c r="AJ20" s="489">
        <v>260.17733599999997</v>
      </c>
      <c r="AK20">
        <f t="shared" si="12"/>
        <v>260177.33599999998</v>
      </c>
    </row>
    <row r="21" spans="1:37" ht="15" customHeight="1">
      <c r="A21" s="452" t="s">
        <v>737</v>
      </c>
      <c r="B21" s="466">
        <v>11713</v>
      </c>
      <c r="C21" s="467">
        <f t="shared" si="0"/>
        <v>27295433.420117646</v>
      </c>
      <c r="D21" s="467">
        <f t="shared" si="1"/>
        <v>2390210.9429842257</v>
      </c>
      <c r="E21" s="467">
        <v>0</v>
      </c>
      <c r="F21" s="467">
        <f t="shared" si="2"/>
        <v>29685644.363101874</v>
      </c>
      <c r="G21" s="468">
        <f t="shared" si="3"/>
        <v>2534.4185403484908</v>
      </c>
      <c r="H21" s="459">
        <f t="shared" si="4"/>
        <v>1250.9114596515092</v>
      </c>
      <c r="I21" s="379">
        <f t="shared" si="5"/>
      </c>
      <c r="J21" s="379">
        <f t="shared" si="6"/>
      </c>
      <c r="K21" s="460">
        <f t="shared" si="7"/>
        <v>1000.7291677212074</v>
      </c>
      <c r="L21" s="487">
        <f t="shared" si="8"/>
        <v>11721540.741518503</v>
      </c>
      <c r="M21" s="487"/>
      <c r="N21" s="477">
        <v>10</v>
      </c>
      <c r="O21" s="388" t="s">
        <v>737</v>
      </c>
      <c r="P21" s="470">
        <v>0</v>
      </c>
      <c r="Q21" s="471" t="s">
        <v>734</v>
      </c>
      <c r="X21" s="472" t="s">
        <v>62</v>
      </c>
      <c r="Y21" s="473">
        <v>21.25</v>
      </c>
      <c r="Z21" s="474">
        <v>29220552.15</v>
      </c>
      <c r="AA21" s="475">
        <f t="shared" si="9"/>
        <v>137508480.70588234</v>
      </c>
      <c r="AB21" s="474">
        <v>2390210.9429842257</v>
      </c>
      <c r="AE21" s="488">
        <v>10</v>
      </c>
      <c r="AF21">
        <f t="shared" si="10"/>
        <v>0</v>
      </c>
      <c r="AH21" s="476">
        <v>29142.20384501462</v>
      </c>
      <c r="AI21">
        <f t="shared" si="11"/>
        <v>29142203.84501462</v>
      </c>
      <c r="AJ21" s="489">
        <v>2403.454228</v>
      </c>
      <c r="AK21">
        <f t="shared" si="12"/>
        <v>2403454.228</v>
      </c>
    </row>
    <row r="22" spans="1:37" ht="15" customHeight="1">
      <c r="A22" s="452" t="s">
        <v>738</v>
      </c>
      <c r="B22" s="466">
        <v>8248</v>
      </c>
      <c r="C22" s="467">
        <f t="shared" si="0"/>
        <v>24087153.707445785</v>
      </c>
      <c r="D22" s="467">
        <f t="shared" si="1"/>
        <v>1438442.8937950365</v>
      </c>
      <c r="E22" s="467">
        <v>0</v>
      </c>
      <c r="F22" s="467">
        <f t="shared" si="2"/>
        <v>25525596.60124082</v>
      </c>
      <c r="G22" s="468">
        <f t="shared" si="3"/>
        <v>3094.7619545636303</v>
      </c>
      <c r="H22" s="459">
        <f t="shared" si="4"/>
        <v>690.5680454363696</v>
      </c>
      <c r="I22" s="379">
        <f t="shared" si="5"/>
      </c>
      <c r="J22" s="379">
        <f t="shared" si="6"/>
      </c>
      <c r="K22" s="460">
        <f t="shared" si="7"/>
        <v>552.4544363490958</v>
      </c>
      <c r="L22" s="487">
        <f t="shared" si="8"/>
        <v>4556644.191007342</v>
      </c>
      <c r="M22" s="487"/>
      <c r="N22" s="477">
        <v>16</v>
      </c>
      <c r="O22" s="388" t="s">
        <v>738</v>
      </c>
      <c r="P22" s="470">
        <v>0</v>
      </c>
      <c r="Q22" s="471" t="s">
        <v>739</v>
      </c>
      <c r="X22" s="472" t="s">
        <v>63</v>
      </c>
      <c r="Y22" s="473">
        <v>20.75</v>
      </c>
      <c r="Z22" s="474">
        <v>25179266.47</v>
      </c>
      <c r="AA22" s="475">
        <f t="shared" si="9"/>
        <v>121345862.50602409</v>
      </c>
      <c r="AB22" s="474">
        <v>1438442.8937950365</v>
      </c>
      <c r="AE22" s="488">
        <v>16</v>
      </c>
      <c r="AF22">
        <f t="shared" si="10"/>
        <v>0</v>
      </c>
      <c r="AH22" s="476">
        <v>25038.21370202933</v>
      </c>
      <c r="AI22">
        <f t="shared" si="11"/>
        <v>25038213.70202933</v>
      </c>
      <c r="AJ22" s="489">
        <v>1446.41278</v>
      </c>
      <c r="AK22">
        <f t="shared" si="12"/>
        <v>1446412.78</v>
      </c>
    </row>
    <row r="23" spans="1:37" ht="15" customHeight="1">
      <c r="A23" s="452" t="s">
        <v>740</v>
      </c>
      <c r="B23" s="466">
        <v>4990</v>
      </c>
      <c r="C23" s="467">
        <f t="shared" si="0"/>
        <v>16111507.230506025</v>
      </c>
      <c r="D23" s="467">
        <f t="shared" si="1"/>
        <v>947822.545781166</v>
      </c>
      <c r="E23" s="467">
        <v>0</v>
      </c>
      <c r="F23" s="467">
        <f t="shared" si="2"/>
        <v>17059329.77628719</v>
      </c>
      <c r="G23" s="468">
        <f t="shared" si="3"/>
        <v>3418.703361981401</v>
      </c>
      <c r="H23" s="459">
        <f t="shared" si="4"/>
        <v>366.6266380185989</v>
      </c>
      <c r="I23" s="379">
        <f t="shared" si="5"/>
      </c>
      <c r="J23" s="379">
        <f t="shared" si="6"/>
      </c>
      <c r="K23" s="460">
        <f t="shared" si="7"/>
        <v>293.30131041487914</v>
      </c>
      <c r="L23" s="487">
        <f t="shared" si="8"/>
        <v>1463573.538970247</v>
      </c>
      <c r="M23" s="487"/>
      <c r="N23" s="477">
        <v>18</v>
      </c>
      <c r="O23" s="388" t="s">
        <v>740</v>
      </c>
      <c r="P23" s="470">
        <v>0</v>
      </c>
      <c r="Q23" s="471" t="s">
        <v>741</v>
      </c>
      <c r="X23" s="472" t="s">
        <v>64</v>
      </c>
      <c r="Y23" s="473">
        <v>20.75</v>
      </c>
      <c r="Z23" s="474">
        <v>16842003.78</v>
      </c>
      <c r="AA23" s="475">
        <f t="shared" si="9"/>
        <v>81166283.27710843</v>
      </c>
      <c r="AB23" s="474">
        <v>947822.545781166</v>
      </c>
      <c r="AE23" s="488">
        <v>18</v>
      </c>
      <c r="AF23">
        <f t="shared" si="10"/>
        <v>0</v>
      </c>
      <c r="AH23" s="476">
        <v>16785.704725209198</v>
      </c>
      <c r="AI23">
        <f t="shared" si="11"/>
        <v>16785704.7252092</v>
      </c>
      <c r="AJ23" s="489">
        <v>953.074084</v>
      </c>
      <c r="AK23">
        <f t="shared" si="12"/>
        <v>953074.0839999999</v>
      </c>
    </row>
    <row r="24" spans="1:37" ht="15" customHeight="1">
      <c r="A24" s="452" t="s">
        <v>742</v>
      </c>
      <c r="B24" s="466">
        <v>3991</v>
      </c>
      <c r="C24" s="467">
        <f t="shared" si="0"/>
        <v>12102345.404827587</v>
      </c>
      <c r="D24" s="467">
        <f t="shared" si="1"/>
        <v>598296.33871386</v>
      </c>
      <c r="E24" s="467">
        <v>0</v>
      </c>
      <c r="F24" s="467">
        <f t="shared" si="2"/>
        <v>12700641.743541447</v>
      </c>
      <c r="G24" s="468">
        <f t="shared" si="3"/>
        <v>3182.320657364432</v>
      </c>
      <c r="H24" s="459">
        <f t="shared" si="4"/>
        <v>603.0093426355679</v>
      </c>
      <c r="I24" s="379">
        <f t="shared" si="5"/>
      </c>
      <c r="J24" s="379">
        <f t="shared" si="6"/>
      </c>
      <c r="K24" s="460">
        <f t="shared" si="7"/>
        <v>482.4074741084544</v>
      </c>
      <c r="L24" s="487">
        <f t="shared" si="8"/>
        <v>1925288.2291668414</v>
      </c>
      <c r="M24" s="487"/>
      <c r="N24" s="477">
        <v>19</v>
      </c>
      <c r="O24" s="388" t="s">
        <v>742</v>
      </c>
      <c r="P24" s="470">
        <v>0</v>
      </c>
      <c r="Q24" s="471" t="s">
        <v>743</v>
      </c>
      <c r="X24" s="472" t="s">
        <v>65</v>
      </c>
      <c r="Y24" s="473">
        <v>21.75</v>
      </c>
      <c r="Z24" s="474">
        <v>13260756.3</v>
      </c>
      <c r="AA24" s="475">
        <f t="shared" si="9"/>
        <v>60968994.48275862</v>
      </c>
      <c r="AB24" s="474">
        <v>598296.33871386</v>
      </c>
      <c r="AE24" s="488">
        <v>19</v>
      </c>
      <c r="AF24">
        <f t="shared" si="10"/>
        <v>0</v>
      </c>
      <c r="AH24" s="476">
        <v>13309.28173403711</v>
      </c>
      <c r="AI24">
        <f t="shared" si="11"/>
        <v>13309281.734037109</v>
      </c>
      <c r="AJ24" s="489">
        <v>601.61128</v>
      </c>
      <c r="AK24">
        <f t="shared" si="12"/>
        <v>601611.2799999999</v>
      </c>
    </row>
    <row r="25" spans="1:37" ht="15" customHeight="1">
      <c r="A25" s="452" t="s">
        <v>59</v>
      </c>
      <c r="B25" s="466">
        <v>16769</v>
      </c>
      <c r="C25" s="467">
        <f t="shared" si="0"/>
        <v>50981911.18264368</v>
      </c>
      <c r="D25" s="467">
        <f t="shared" si="1"/>
        <v>1594874.6347073487</v>
      </c>
      <c r="E25" s="467">
        <v>0</v>
      </c>
      <c r="F25" s="467">
        <f t="shared" si="2"/>
        <v>52576785.81735103</v>
      </c>
      <c r="G25" s="468">
        <f t="shared" si="3"/>
        <v>3135.3560628153755</v>
      </c>
      <c r="H25" s="459">
        <f t="shared" si="4"/>
        <v>649.9739371846244</v>
      </c>
      <c r="I25" s="379">
        <f t="shared" si="5"/>
      </c>
      <c r="J25" s="379">
        <f t="shared" si="6"/>
      </c>
      <c r="K25" s="460">
        <f t="shared" si="7"/>
        <v>519.9791497476996</v>
      </c>
      <c r="L25" s="487">
        <f t="shared" si="8"/>
        <v>8719530.362119174</v>
      </c>
      <c r="M25" s="487"/>
      <c r="N25" s="477">
        <v>20</v>
      </c>
      <c r="O25" s="388" t="s">
        <v>59</v>
      </c>
      <c r="P25" s="470">
        <v>0</v>
      </c>
      <c r="Q25" s="471" t="s">
        <v>744</v>
      </c>
      <c r="X25" s="472" t="s">
        <v>59</v>
      </c>
      <c r="Y25" s="473">
        <v>21.75</v>
      </c>
      <c r="Z25" s="474">
        <v>55861791.85</v>
      </c>
      <c r="AA25" s="475">
        <f t="shared" si="9"/>
        <v>256835824.59770116</v>
      </c>
      <c r="AB25" s="474">
        <v>1594874.6347073487</v>
      </c>
      <c r="AE25" s="488">
        <v>20</v>
      </c>
      <c r="AF25">
        <f t="shared" si="10"/>
        <v>0</v>
      </c>
      <c r="AH25" s="476">
        <v>56074.52821792224</v>
      </c>
      <c r="AI25">
        <f t="shared" si="11"/>
        <v>56074528.21792224</v>
      </c>
      <c r="AJ25" s="489">
        <v>1603.711252</v>
      </c>
      <c r="AK25">
        <f t="shared" si="12"/>
        <v>1603711.252</v>
      </c>
    </row>
    <row r="26" spans="1:37" ht="15" customHeight="1">
      <c r="A26" s="452" t="s">
        <v>745</v>
      </c>
      <c r="B26" s="466">
        <v>1416</v>
      </c>
      <c r="C26" s="467">
        <f t="shared" si="0"/>
        <v>3346738.48002381</v>
      </c>
      <c r="D26" s="467">
        <f t="shared" si="1"/>
        <v>565402.8097326462</v>
      </c>
      <c r="E26" s="467">
        <v>0</v>
      </c>
      <c r="F26" s="467">
        <f t="shared" si="2"/>
        <v>3912141.2897564564</v>
      </c>
      <c r="G26" s="468">
        <f t="shared" si="3"/>
        <v>2762.811645308232</v>
      </c>
      <c r="H26" s="459">
        <f t="shared" si="4"/>
        <v>1022.5183546917679</v>
      </c>
      <c r="I26" s="379">
        <f t="shared" si="5"/>
      </c>
      <c r="J26" s="379">
        <f t="shared" si="6"/>
      </c>
      <c r="K26" s="460">
        <f t="shared" si="7"/>
        <v>818.0146837534144</v>
      </c>
      <c r="L26" s="487">
        <f t="shared" si="8"/>
        <v>1158308.7921948347</v>
      </c>
      <c r="M26" s="487"/>
      <c r="N26" s="477">
        <v>46</v>
      </c>
      <c r="O26" s="388" t="s">
        <v>745</v>
      </c>
      <c r="P26" s="470">
        <v>0</v>
      </c>
      <c r="Q26" s="471" t="s">
        <v>746</v>
      </c>
      <c r="X26" s="472" t="s">
        <v>66</v>
      </c>
      <c r="Y26" s="473">
        <v>21</v>
      </c>
      <c r="Z26" s="474">
        <v>3540630.13</v>
      </c>
      <c r="AA26" s="475">
        <f t="shared" si="9"/>
        <v>16860143.476190478</v>
      </c>
      <c r="AB26" s="474">
        <v>565402.8097326462</v>
      </c>
      <c r="AE26" s="488">
        <v>46</v>
      </c>
      <c r="AF26">
        <f t="shared" si="10"/>
        <v>0</v>
      </c>
      <c r="AH26" s="476">
        <v>3521.6279794852703</v>
      </c>
      <c r="AI26">
        <f t="shared" si="11"/>
        <v>3521627.97948527</v>
      </c>
      <c r="AJ26" s="489">
        <v>568.5355</v>
      </c>
      <c r="AK26">
        <f t="shared" si="12"/>
        <v>568535.5</v>
      </c>
    </row>
    <row r="27" spans="1:37" ht="15" customHeight="1">
      <c r="A27" s="452" t="s">
        <v>747</v>
      </c>
      <c r="B27" s="466">
        <v>1893</v>
      </c>
      <c r="C27" s="467">
        <f t="shared" si="0"/>
        <v>4778172.545035294</v>
      </c>
      <c r="D27" s="467">
        <f t="shared" si="1"/>
        <v>384725.1903689639</v>
      </c>
      <c r="E27" s="467">
        <v>0</v>
      </c>
      <c r="F27" s="467">
        <f t="shared" si="2"/>
        <v>5162897.735404259</v>
      </c>
      <c r="G27" s="468">
        <f t="shared" si="3"/>
        <v>2727.3627762304586</v>
      </c>
      <c r="H27" s="459">
        <f t="shared" si="4"/>
        <v>1057.9672237695413</v>
      </c>
      <c r="I27" s="379">
        <f t="shared" si="5"/>
      </c>
      <c r="J27" s="379">
        <f t="shared" si="6"/>
      </c>
      <c r="K27" s="460">
        <f t="shared" si="7"/>
        <v>846.3737790156331</v>
      </c>
      <c r="L27" s="487">
        <f t="shared" si="8"/>
        <v>1602185.5636765934</v>
      </c>
      <c r="M27" s="487"/>
      <c r="N27" s="477">
        <v>47</v>
      </c>
      <c r="O27" s="478" t="s">
        <v>748</v>
      </c>
      <c r="P27" s="470">
        <v>0</v>
      </c>
      <c r="Q27" s="471" t="s">
        <v>749</v>
      </c>
      <c r="X27" s="472" t="s">
        <v>67</v>
      </c>
      <c r="Y27" s="473">
        <v>21.25</v>
      </c>
      <c r="Z27" s="474">
        <v>5115172.12</v>
      </c>
      <c r="AA27" s="475">
        <f t="shared" si="9"/>
        <v>24071398.211764704</v>
      </c>
      <c r="AB27" s="474">
        <v>384725.1903689639</v>
      </c>
      <c r="AE27" s="488">
        <v>47</v>
      </c>
      <c r="AF27">
        <f t="shared" si="10"/>
        <v>0</v>
      </c>
      <c r="AH27" s="476">
        <v>5096.814910207722</v>
      </c>
      <c r="AI27">
        <f t="shared" si="11"/>
        <v>5096814.910207722</v>
      </c>
      <c r="AJ27" s="489">
        <v>386.856812</v>
      </c>
      <c r="AK27">
        <f t="shared" si="12"/>
        <v>386856.812</v>
      </c>
    </row>
    <row r="28" spans="1:37" ht="15" customHeight="1">
      <c r="A28" s="452" t="s">
        <v>750</v>
      </c>
      <c r="B28" s="466">
        <v>279044</v>
      </c>
      <c r="C28" s="467">
        <f t="shared" si="0"/>
        <v>1380971464.0526948</v>
      </c>
      <c r="D28" s="467">
        <f t="shared" si="1"/>
        <v>126049435.01405516</v>
      </c>
      <c r="E28" s="467">
        <v>0</v>
      </c>
      <c r="F28" s="467">
        <f t="shared" si="2"/>
        <v>1507020899.06675</v>
      </c>
      <c r="G28" s="468">
        <f t="shared" si="3"/>
        <v>5400.656882307988</v>
      </c>
      <c r="H28" s="459">
        <f t="shared" si="4"/>
        <v>-1615.326882307988</v>
      </c>
      <c r="I28" s="379">
        <f t="shared" si="5"/>
        <v>7.387292619081725</v>
      </c>
      <c r="J28" s="379">
        <f t="shared" si="6"/>
        <v>37.38729261908173</v>
      </c>
      <c r="K28" s="460">
        <f t="shared" si="7"/>
        <v>-603.9269882431773</v>
      </c>
      <c r="L28" s="487">
        <f t="shared" si="8"/>
        <v>-168522202.50732917</v>
      </c>
      <c r="M28" s="487"/>
      <c r="N28" s="477">
        <v>49</v>
      </c>
      <c r="O28" s="478" t="s">
        <v>751</v>
      </c>
      <c r="P28" s="470">
        <v>1</v>
      </c>
      <c r="Q28" s="471" t="s">
        <v>741</v>
      </c>
      <c r="T28" s="64"/>
      <c r="X28" s="472" t="s">
        <v>68</v>
      </c>
      <c r="Y28" s="473">
        <v>18</v>
      </c>
      <c r="Z28" s="474">
        <v>1252266315.01</v>
      </c>
      <c r="AA28" s="475">
        <f t="shared" si="9"/>
        <v>6957035083.388889</v>
      </c>
      <c r="AB28" s="474">
        <v>126049435.01405516</v>
      </c>
      <c r="AE28" s="488">
        <v>49</v>
      </c>
      <c r="AF28">
        <f t="shared" si="10"/>
        <v>0</v>
      </c>
      <c r="AH28" s="476">
        <v>1256352.5713750473</v>
      </c>
      <c r="AI28">
        <f t="shared" si="11"/>
        <v>1256352571.3750472</v>
      </c>
      <c r="AJ28" s="489">
        <v>126747.82885199999</v>
      </c>
      <c r="AK28">
        <f t="shared" si="12"/>
        <v>126747828.852</v>
      </c>
    </row>
    <row r="29" spans="1:37" ht="15" customHeight="1">
      <c r="A29" s="465" t="s">
        <v>752</v>
      </c>
      <c r="B29" s="466">
        <v>11910</v>
      </c>
      <c r="C29" s="467">
        <f t="shared" si="0"/>
        <v>37147139.58541463</v>
      </c>
      <c r="D29" s="467">
        <f t="shared" si="1"/>
        <v>1966542.6262415724</v>
      </c>
      <c r="E29" s="467">
        <v>0</v>
      </c>
      <c r="F29" s="467">
        <f t="shared" si="2"/>
        <v>39113682.211656205</v>
      </c>
      <c r="G29" s="468">
        <f t="shared" si="3"/>
        <v>3284.104299887171</v>
      </c>
      <c r="H29" s="459">
        <f t="shared" si="4"/>
        <v>501.22570011282914</v>
      </c>
      <c r="I29" s="379">
        <f t="shared" si="5"/>
      </c>
      <c r="J29" s="379">
        <f t="shared" si="6"/>
      </c>
      <c r="K29" s="460">
        <f t="shared" si="7"/>
        <v>400.98056009026334</v>
      </c>
      <c r="L29" s="487">
        <f t="shared" si="8"/>
        <v>4775678.470675036</v>
      </c>
      <c r="M29" s="487"/>
      <c r="N29" s="469">
        <v>50</v>
      </c>
      <c r="O29" s="388" t="s">
        <v>752</v>
      </c>
      <c r="P29" s="470">
        <v>0</v>
      </c>
      <c r="Q29" s="471" t="s">
        <v>753</v>
      </c>
      <c r="X29" s="472" t="s">
        <v>69</v>
      </c>
      <c r="Y29" s="473">
        <v>20.5</v>
      </c>
      <c r="Z29" s="474">
        <v>38363544.66</v>
      </c>
      <c r="AA29" s="475">
        <f t="shared" si="9"/>
        <v>187139242.24390242</v>
      </c>
      <c r="AB29" s="474">
        <v>1966542.6262415724</v>
      </c>
      <c r="AC29" s="474"/>
      <c r="AE29" s="488">
        <v>50</v>
      </c>
      <c r="AF29">
        <f t="shared" si="10"/>
        <v>0</v>
      </c>
      <c r="AH29" s="476">
        <v>38474.97463014478</v>
      </c>
      <c r="AI29">
        <f t="shared" si="11"/>
        <v>38474974.63014478</v>
      </c>
      <c r="AJ29" s="489">
        <v>1977.43852</v>
      </c>
      <c r="AK29">
        <f t="shared" si="12"/>
        <v>1977438.52</v>
      </c>
    </row>
    <row r="30" spans="1:37" ht="15" customHeight="1">
      <c r="A30" s="452" t="s">
        <v>754</v>
      </c>
      <c r="B30" s="466">
        <v>9521</v>
      </c>
      <c r="C30" s="467">
        <f t="shared" si="0"/>
        <v>32194656.641000003</v>
      </c>
      <c r="D30" s="467">
        <f t="shared" si="1"/>
        <v>2322889.6576149724</v>
      </c>
      <c r="E30" s="467">
        <f>3.1*T30/100/2</f>
        <v>9058959.841</v>
      </c>
      <c r="F30" s="467">
        <f t="shared" si="2"/>
        <v>43576506.13961498</v>
      </c>
      <c r="G30" s="468">
        <f t="shared" si="3"/>
        <v>4576.883325240518</v>
      </c>
      <c r="H30" s="459">
        <f t="shared" si="4"/>
        <v>-791.5533252405185</v>
      </c>
      <c r="I30" s="379">
        <f t="shared" si="5"/>
        <v>6.673997249433859</v>
      </c>
      <c r="J30" s="379">
        <f t="shared" si="6"/>
        <v>36.67399724943386</v>
      </c>
      <c r="K30" s="460">
        <f t="shared" si="7"/>
        <v>-290.29424472651</v>
      </c>
      <c r="L30" s="487">
        <f t="shared" si="8"/>
        <v>-2763891.504041102</v>
      </c>
      <c r="M30" s="487"/>
      <c r="N30" s="477">
        <v>51</v>
      </c>
      <c r="O30" s="478" t="s">
        <v>755</v>
      </c>
      <c r="P30" s="470">
        <v>0</v>
      </c>
      <c r="Q30" s="471" t="s">
        <v>753</v>
      </c>
      <c r="T30" s="64">
        <v>584449022</v>
      </c>
      <c r="U30" s="490"/>
      <c r="X30" s="472" t="s">
        <v>70</v>
      </c>
      <c r="Y30" s="473">
        <v>18</v>
      </c>
      <c r="Z30" s="474">
        <v>29194147.08</v>
      </c>
      <c r="AA30" s="475">
        <f t="shared" si="9"/>
        <v>162189706</v>
      </c>
      <c r="AB30" s="474">
        <v>2322889.6576149724</v>
      </c>
      <c r="AC30" s="474"/>
      <c r="AE30" s="488">
        <v>51</v>
      </c>
      <c r="AF30">
        <f t="shared" si="10"/>
        <v>0</v>
      </c>
      <c r="AH30" s="476">
        <v>28889.873123832844</v>
      </c>
      <c r="AI30">
        <f t="shared" si="11"/>
        <v>28889873.123832844</v>
      </c>
      <c r="AJ30" s="489">
        <v>2335.75994</v>
      </c>
      <c r="AK30">
        <f t="shared" si="12"/>
        <v>2335759.94</v>
      </c>
    </row>
    <row r="31" spans="1:37" ht="15" customHeight="1">
      <c r="A31" s="452" t="s">
        <v>756</v>
      </c>
      <c r="B31" s="466">
        <v>2499</v>
      </c>
      <c r="C31" s="467">
        <f t="shared" si="0"/>
        <v>6177055.034813954</v>
      </c>
      <c r="D31" s="467">
        <f t="shared" si="1"/>
        <v>628604.5281165235</v>
      </c>
      <c r="E31" s="467">
        <v>0</v>
      </c>
      <c r="F31" s="467">
        <f t="shared" si="2"/>
        <v>6805659.562930477</v>
      </c>
      <c r="G31" s="468">
        <f t="shared" si="3"/>
        <v>2723.353166438766</v>
      </c>
      <c r="H31" s="459">
        <f t="shared" si="4"/>
        <v>1061.976833561234</v>
      </c>
      <c r="I31" s="379">
        <f t="shared" si="5"/>
      </c>
      <c r="J31" s="379">
        <f t="shared" si="6"/>
      </c>
      <c r="K31" s="460">
        <f t="shared" si="7"/>
        <v>849.5814668489871</v>
      </c>
      <c r="L31" s="487">
        <f t="shared" si="8"/>
        <v>2123104.085655619</v>
      </c>
      <c r="M31" s="487"/>
      <c r="N31" s="477">
        <v>52</v>
      </c>
      <c r="O31" s="388" t="s">
        <v>756</v>
      </c>
      <c r="P31" s="470">
        <v>0</v>
      </c>
      <c r="Q31" s="471" t="s">
        <v>734</v>
      </c>
      <c r="X31" s="472" t="s">
        <v>71</v>
      </c>
      <c r="Y31" s="473">
        <v>21.5</v>
      </c>
      <c r="Z31" s="474">
        <v>6690513.01</v>
      </c>
      <c r="AA31" s="475">
        <f t="shared" si="9"/>
        <v>31118665.162790697</v>
      </c>
      <c r="AB31" s="474">
        <v>628604.5281165235</v>
      </c>
      <c r="AE31" s="488">
        <v>52</v>
      </c>
      <c r="AF31">
        <f t="shared" si="10"/>
        <v>0</v>
      </c>
      <c r="AH31" s="476">
        <v>6577.882077270478</v>
      </c>
      <c r="AI31">
        <f t="shared" si="11"/>
        <v>6577882.077270478</v>
      </c>
      <c r="AJ31" s="489">
        <v>632.087396</v>
      </c>
      <c r="AK31">
        <f t="shared" si="12"/>
        <v>632087.3960000001</v>
      </c>
    </row>
    <row r="32" spans="1:37" ht="15" customHeight="1">
      <c r="A32" s="452" t="s">
        <v>757</v>
      </c>
      <c r="B32" s="466">
        <v>17185</v>
      </c>
      <c r="C32" s="467">
        <f t="shared" si="0"/>
        <v>50113284.50485366</v>
      </c>
      <c r="D32" s="467">
        <f t="shared" si="1"/>
        <v>3681420.168707992</v>
      </c>
      <c r="E32" s="467">
        <v>0</v>
      </c>
      <c r="F32" s="467">
        <f t="shared" si="2"/>
        <v>53794704.67356165</v>
      </c>
      <c r="G32" s="468">
        <f t="shared" si="3"/>
        <v>3130.3290470504303</v>
      </c>
      <c r="H32" s="459">
        <f t="shared" si="4"/>
        <v>655.0009529495696</v>
      </c>
      <c r="I32" s="379">
        <f t="shared" si="5"/>
      </c>
      <c r="J32" s="379">
        <f t="shared" si="6"/>
      </c>
      <c r="K32" s="460">
        <f t="shared" si="7"/>
        <v>524.0007623596557</v>
      </c>
      <c r="L32" s="487">
        <f t="shared" si="8"/>
        <v>9004953.101150684</v>
      </c>
      <c r="M32" s="487"/>
      <c r="N32" s="477">
        <v>61</v>
      </c>
      <c r="O32" s="388" t="s">
        <v>757</v>
      </c>
      <c r="P32" s="470">
        <v>0</v>
      </c>
      <c r="Q32" s="471" t="s">
        <v>758</v>
      </c>
      <c r="X32" s="472" t="s">
        <v>72</v>
      </c>
      <c r="Y32" s="473">
        <v>20.5</v>
      </c>
      <c r="Z32" s="474">
        <v>51754273.67</v>
      </c>
      <c r="AA32" s="475">
        <f t="shared" si="9"/>
        <v>252459871.5609756</v>
      </c>
      <c r="AB32" s="474">
        <v>3681420.168707992</v>
      </c>
      <c r="AE32" s="488">
        <v>61</v>
      </c>
      <c r="AF32">
        <f t="shared" si="10"/>
        <v>0</v>
      </c>
      <c r="AH32" s="476">
        <v>51811.262422674</v>
      </c>
      <c r="AI32">
        <f t="shared" si="11"/>
        <v>51811262.422674</v>
      </c>
      <c r="AJ32" s="489">
        <v>3701.8175720000004</v>
      </c>
      <c r="AK32">
        <f t="shared" si="12"/>
        <v>3701817.572</v>
      </c>
    </row>
    <row r="33" spans="1:37" ht="15" customHeight="1">
      <c r="A33" s="452" t="s">
        <v>759</v>
      </c>
      <c r="B33" s="466">
        <v>7251</v>
      </c>
      <c r="C33" s="467">
        <f t="shared" si="0"/>
        <v>17665333.71325</v>
      </c>
      <c r="D33" s="467">
        <f t="shared" si="1"/>
        <v>1388749.5186198535</v>
      </c>
      <c r="E33" s="467">
        <v>0</v>
      </c>
      <c r="F33" s="467">
        <f t="shared" si="2"/>
        <v>19054083.231869854</v>
      </c>
      <c r="G33" s="468">
        <f t="shared" si="3"/>
        <v>2627.7869579188878</v>
      </c>
      <c r="H33" s="459">
        <f t="shared" si="4"/>
        <v>1157.5430420811122</v>
      </c>
      <c r="I33" s="379">
        <f t="shared" si="5"/>
      </c>
      <c r="J33" s="379">
        <f t="shared" si="6"/>
      </c>
      <c r="K33" s="460">
        <f t="shared" si="7"/>
        <v>926.0344336648898</v>
      </c>
      <c r="L33" s="487">
        <f t="shared" si="8"/>
        <v>6714675.678504116</v>
      </c>
      <c r="M33" s="487"/>
      <c r="N33" s="477">
        <v>69</v>
      </c>
      <c r="O33" s="388" t="s">
        <v>759</v>
      </c>
      <c r="P33" s="470">
        <v>0</v>
      </c>
      <c r="Q33" s="471" t="s">
        <v>736</v>
      </c>
      <c r="X33" s="472" t="s">
        <v>73</v>
      </c>
      <c r="Y33" s="473">
        <v>22</v>
      </c>
      <c r="Z33" s="474">
        <v>19578707.39</v>
      </c>
      <c r="AA33" s="475">
        <f t="shared" si="9"/>
        <v>88994124.5</v>
      </c>
      <c r="AB33" s="474">
        <v>1388749.5186198535</v>
      </c>
      <c r="AE33" s="488">
        <v>69</v>
      </c>
      <c r="AF33">
        <f t="shared" si="10"/>
        <v>0</v>
      </c>
      <c r="AH33" s="476">
        <v>19512.186747691765</v>
      </c>
      <c r="AI33">
        <f t="shared" si="11"/>
        <v>19512186.747691765</v>
      </c>
      <c r="AJ33" s="489">
        <v>1396.444072</v>
      </c>
      <c r="AK33">
        <f t="shared" si="12"/>
        <v>1396444.072</v>
      </c>
    </row>
    <row r="34" spans="1:37" ht="15" customHeight="1">
      <c r="A34" s="452" t="s">
        <v>760</v>
      </c>
      <c r="B34" s="466">
        <v>6970</v>
      </c>
      <c r="C34" s="467">
        <f t="shared" si="0"/>
        <v>16289485.16277273</v>
      </c>
      <c r="D34" s="467">
        <f t="shared" si="1"/>
        <v>1336771.068211156</v>
      </c>
      <c r="E34" s="467">
        <v>0</v>
      </c>
      <c r="F34" s="467">
        <f t="shared" si="2"/>
        <v>17626256.230983887</v>
      </c>
      <c r="G34" s="468">
        <f t="shared" si="3"/>
        <v>2528.8746385916625</v>
      </c>
      <c r="H34" s="459">
        <f t="shared" si="4"/>
        <v>1256.4553614083375</v>
      </c>
      <c r="I34" s="379">
        <f t="shared" si="5"/>
      </c>
      <c r="J34" s="379">
        <f t="shared" si="6"/>
      </c>
      <c r="K34" s="460">
        <f t="shared" si="7"/>
        <v>1005.16428912667</v>
      </c>
      <c r="L34" s="487">
        <f t="shared" si="8"/>
        <v>7005995.09521289</v>
      </c>
      <c r="M34" s="487"/>
      <c r="N34" s="477">
        <v>71</v>
      </c>
      <c r="O34" s="388" t="s">
        <v>760</v>
      </c>
      <c r="P34" s="470">
        <v>0</v>
      </c>
      <c r="Q34" s="471" t="s">
        <v>736</v>
      </c>
      <c r="X34" s="472" t="s">
        <v>74</v>
      </c>
      <c r="Y34" s="473">
        <v>22</v>
      </c>
      <c r="Z34" s="474">
        <v>18053837.46</v>
      </c>
      <c r="AA34" s="475">
        <f t="shared" si="9"/>
        <v>82062897.54545455</v>
      </c>
      <c r="AB34" s="474">
        <v>1336771.068211156</v>
      </c>
      <c r="AE34" s="488">
        <v>71</v>
      </c>
      <c r="AF34">
        <f t="shared" si="10"/>
        <v>0</v>
      </c>
      <c r="AH34" s="476">
        <v>17811.38983240052</v>
      </c>
      <c r="AI34">
        <f t="shared" si="11"/>
        <v>17811389.83240052</v>
      </c>
      <c r="AJ34" s="489">
        <v>1344.177628</v>
      </c>
      <c r="AK34">
        <f t="shared" si="12"/>
        <v>1344177.628</v>
      </c>
    </row>
    <row r="35" spans="1:37" ht="15" customHeight="1">
      <c r="A35" s="452" t="s">
        <v>761</v>
      </c>
      <c r="B35" s="466">
        <v>967</v>
      </c>
      <c r="C35" s="467">
        <f t="shared" si="0"/>
        <v>2996090.0769268298</v>
      </c>
      <c r="D35" s="467">
        <f t="shared" si="1"/>
        <v>97070.0781839052</v>
      </c>
      <c r="E35" s="467">
        <v>0</v>
      </c>
      <c r="F35" s="467">
        <f t="shared" si="2"/>
        <v>3093160.155110735</v>
      </c>
      <c r="G35" s="468">
        <f t="shared" si="3"/>
        <v>3198.717843961463</v>
      </c>
      <c r="H35" s="459">
        <f t="shared" si="4"/>
        <v>586.6121560385368</v>
      </c>
      <c r="I35" s="379">
        <f t="shared" si="5"/>
      </c>
      <c r="J35" s="379">
        <f t="shared" si="6"/>
      </c>
      <c r="K35" s="460">
        <f t="shared" si="7"/>
        <v>469.28972483082947</v>
      </c>
      <c r="L35" s="487">
        <f t="shared" si="8"/>
        <v>453803.1639114121</v>
      </c>
      <c r="M35" s="487"/>
      <c r="N35" s="477">
        <v>72</v>
      </c>
      <c r="O35" s="478" t="s">
        <v>762</v>
      </c>
      <c r="P35" s="470">
        <v>0</v>
      </c>
      <c r="Q35" s="471" t="s">
        <v>736</v>
      </c>
      <c r="X35" s="472" t="s">
        <v>75</v>
      </c>
      <c r="Y35" s="473">
        <v>20.5</v>
      </c>
      <c r="Z35" s="474">
        <v>3094198.82</v>
      </c>
      <c r="AA35" s="475">
        <f t="shared" si="9"/>
        <v>15093652.780487806</v>
      </c>
      <c r="AB35" s="474">
        <v>97070.0781839052</v>
      </c>
      <c r="AE35" s="488">
        <v>72</v>
      </c>
      <c r="AF35">
        <f t="shared" si="10"/>
        <v>0</v>
      </c>
      <c r="AH35" s="476">
        <v>3133.485173749541</v>
      </c>
      <c r="AI35">
        <f t="shared" si="11"/>
        <v>3133485.173749541</v>
      </c>
      <c r="AJ35" s="489">
        <v>97.60790800000001</v>
      </c>
      <c r="AK35">
        <f t="shared" si="12"/>
        <v>97607.90800000001</v>
      </c>
    </row>
    <row r="36" spans="1:37" ht="15" customHeight="1">
      <c r="A36" s="452" t="s">
        <v>763</v>
      </c>
      <c r="B36" s="466">
        <v>1171</v>
      </c>
      <c r="C36" s="467">
        <f t="shared" si="0"/>
        <v>2587688.5511818184</v>
      </c>
      <c r="D36" s="467">
        <f t="shared" si="1"/>
        <v>417305.55448222347</v>
      </c>
      <c r="E36" s="467">
        <v>0</v>
      </c>
      <c r="F36" s="467">
        <f t="shared" si="2"/>
        <v>3004994.105664042</v>
      </c>
      <c r="G36" s="468">
        <f t="shared" si="3"/>
        <v>2566.177716194741</v>
      </c>
      <c r="H36" s="459">
        <f t="shared" si="4"/>
        <v>1219.1522838052588</v>
      </c>
      <c r="I36" s="379">
        <f t="shared" si="5"/>
      </c>
      <c r="J36" s="379">
        <f t="shared" si="6"/>
      </c>
      <c r="K36" s="460">
        <f t="shared" si="7"/>
        <v>975.3218270442071</v>
      </c>
      <c r="L36" s="487">
        <f t="shared" si="8"/>
        <v>1142101.8594687665</v>
      </c>
      <c r="M36" s="487"/>
      <c r="N36" s="477">
        <v>74</v>
      </c>
      <c r="O36" s="388" t="s">
        <v>763</v>
      </c>
      <c r="P36" s="470">
        <v>0</v>
      </c>
      <c r="Q36" s="471" t="s">
        <v>764</v>
      </c>
      <c r="X36" s="472" t="s">
        <v>76</v>
      </c>
      <c r="Y36" s="473">
        <v>22</v>
      </c>
      <c r="Z36" s="474">
        <v>2867967.16</v>
      </c>
      <c r="AA36" s="475">
        <f t="shared" si="9"/>
        <v>13036214.363636363</v>
      </c>
      <c r="AB36" s="474">
        <v>417305.55448222347</v>
      </c>
      <c r="AE36" s="488">
        <v>74</v>
      </c>
      <c r="AF36">
        <f t="shared" si="10"/>
        <v>0</v>
      </c>
      <c r="AH36" s="476">
        <v>2818.214815414888</v>
      </c>
      <c r="AI36">
        <f t="shared" si="11"/>
        <v>2818214.8154148883</v>
      </c>
      <c r="AJ36" s="489">
        <v>419.61769200000003</v>
      </c>
      <c r="AK36">
        <f t="shared" si="12"/>
        <v>419617.69200000004</v>
      </c>
    </row>
    <row r="37" spans="1:37" ht="15" customHeight="1">
      <c r="A37" s="452" t="s">
        <v>765</v>
      </c>
      <c r="B37" s="466">
        <v>20493</v>
      </c>
      <c r="C37" s="467">
        <f t="shared" si="0"/>
        <v>66732576.41345239</v>
      </c>
      <c r="D37" s="467">
        <f t="shared" si="1"/>
        <v>5533190.02093148</v>
      </c>
      <c r="E37" s="467">
        <v>0</v>
      </c>
      <c r="F37" s="467">
        <f t="shared" si="2"/>
        <v>72265766.43438387</v>
      </c>
      <c r="G37" s="468">
        <f t="shared" si="3"/>
        <v>3526.3634623717303</v>
      </c>
      <c r="H37" s="459">
        <f t="shared" si="4"/>
        <v>258.96653762826963</v>
      </c>
      <c r="I37" s="379">
        <f t="shared" si="5"/>
      </c>
      <c r="J37" s="379">
        <f t="shared" si="6"/>
      </c>
      <c r="K37" s="460">
        <f t="shared" si="7"/>
        <v>207.17323010261572</v>
      </c>
      <c r="L37" s="487">
        <f t="shared" si="8"/>
        <v>4245601.004492904</v>
      </c>
      <c r="M37" s="487"/>
      <c r="N37" s="477">
        <v>75</v>
      </c>
      <c r="O37" s="478" t="s">
        <v>766</v>
      </c>
      <c r="P37" s="470">
        <v>0</v>
      </c>
      <c r="Q37" s="471" t="s">
        <v>767</v>
      </c>
      <c r="X37" s="472" t="s">
        <v>77</v>
      </c>
      <c r="Y37" s="473">
        <v>21</v>
      </c>
      <c r="Z37" s="474">
        <v>70598695.45</v>
      </c>
      <c r="AA37" s="475">
        <f t="shared" si="9"/>
        <v>336184264.04761904</v>
      </c>
      <c r="AB37" s="474">
        <v>5533190.02093148</v>
      </c>
      <c r="AE37" s="488">
        <v>75</v>
      </c>
      <c r="AF37">
        <f t="shared" si="10"/>
        <v>0</v>
      </c>
      <c r="AH37" s="476">
        <v>70949.02410908301</v>
      </c>
      <c r="AI37">
        <f t="shared" si="11"/>
        <v>70949024.10908301</v>
      </c>
      <c r="AJ37" s="489">
        <v>5563.847404</v>
      </c>
      <c r="AK37">
        <f t="shared" si="12"/>
        <v>5563847.404</v>
      </c>
    </row>
    <row r="38" spans="1:37" ht="15" customHeight="1">
      <c r="A38" s="452" t="s">
        <v>768</v>
      </c>
      <c r="B38" s="466">
        <v>5019</v>
      </c>
      <c r="C38" s="467">
        <f t="shared" si="0"/>
        <v>11673635.520477273</v>
      </c>
      <c r="D38" s="467">
        <f t="shared" si="1"/>
        <v>888601.1061279621</v>
      </c>
      <c r="E38" s="467">
        <v>0</v>
      </c>
      <c r="F38" s="467">
        <f t="shared" si="2"/>
        <v>12562236.626605235</v>
      </c>
      <c r="G38" s="468">
        <f t="shared" si="3"/>
        <v>2502.9361678830915</v>
      </c>
      <c r="H38" s="459">
        <f t="shared" si="4"/>
        <v>1282.3938321169085</v>
      </c>
      <c r="I38" s="379">
        <f t="shared" si="5"/>
      </c>
      <c r="J38" s="379">
        <f t="shared" si="6"/>
      </c>
      <c r="K38" s="460">
        <f t="shared" si="7"/>
        <v>1025.915065693527</v>
      </c>
      <c r="L38" s="487">
        <f t="shared" si="8"/>
        <v>5149067.714715811</v>
      </c>
      <c r="M38" s="487"/>
      <c r="N38" s="477">
        <v>77</v>
      </c>
      <c r="O38" s="388" t="s">
        <v>768</v>
      </c>
      <c r="P38" s="470">
        <v>0</v>
      </c>
      <c r="Q38" s="471" t="s">
        <v>769</v>
      </c>
      <c r="X38" s="472" t="s">
        <v>78</v>
      </c>
      <c r="Y38" s="473">
        <v>22</v>
      </c>
      <c r="Z38" s="474">
        <v>12938034.33</v>
      </c>
      <c r="AA38" s="475">
        <f t="shared" si="9"/>
        <v>58809246.95454545</v>
      </c>
      <c r="AB38" s="474">
        <v>888601.1061279621</v>
      </c>
      <c r="AE38" s="488">
        <v>77</v>
      </c>
      <c r="AF38">
        <f t="shared" si="10"/>
        <v>0</v>
      </c>
      <c r="AH38" s="476">
        <v>12816.478702005792</v>
      </c>
      <c r="AI38">
        <f t="shared" si="11"/>
        <v>12816478.702005792</v>
      </c>
      <c r="AJ38" s="489">
        <v>893.52452</v>
      </c>
      <c r="AK38">
        <f t="shared" si="12"/>
        <v>893524.52</v>
      </c>
    </row>
    <row r="39" spans="1:37" ht="15" customHeight="1">
      <c r="A39" s="452" t="s">
        <v>770</v>
      </c>
      <c r="B39" s="466">
        <v>8517</v>
      </c>
      <c r="C39" s="467">
        <f t="shared" si="0"/>
        <v>30382728.37574713</v>
      </c>
      <c r="D39" s="467">
        <f t="shared" si="1"/>
        <v>3005123.9030737886</v>
      </c>
      <c r="E39" s="467">
        <v>0</v>
      </c>
      <c r="F39" s="467">
        <f t="shared" si="2"/>
        <v>33387852.278820917</v>
      </c>
      <c r="G39" s="468">
        <f t="shared" si="3"/>
        <v>3920.1423363650247</v>
      </c>
      <c r="H39" s="459">
        <f t="shared" si="4"/>
        <v>-134.81233636502475</v>
      </c>
      <c r="I39" s="379">
        <f t="shared" si="5"/>
        <v>4.903883710351882</v>
      </c>
      <c r="J39" s="379">
        <f t="shared" si="6"/>
        <v>34.903883710351884</v>
      </c>
      <c r="K39" s="460">
        <f t="shared" si="7"/>
        <v>-47.05474111205666</v>
      </c>
      <c r="L39" s="487">
        <f t="shared" si="8"/>
        <v>-400765.2300513866</v>
      </c>
      <c r="M39" s="487"/>
      <c r="N39" s="477">
        <v>78</v>
      </c>
      <c r="O39" s="478" t="s">
        <v>771</v>
      </c>
      <c r="P39" s="470">
        <v>1</v>
      </c>
      <c r="Q39" s="471" t="s">
        <v>741</v>
      </c>
      <c r="X39" s="472" t="s">
        <v>79</v>
      </c>
      <c r="Y39" s="473">
        <v>21.75</v>
      </c>
      <c r="Z39" s="474">
        <v>33290898.85</v>
      </c>
      <c r="AA39" s="475">
        <f t="shared" si="9"/>
        <v>153061603.90804598</v>
      </c>
      <c r="AB39" s="474">
        <v>3005123.9030737886</v>
      </c>
      <c r="AE39" s="488">
        <v>78</v>
      </c>
      <c r="AF39">
        <f t="shared" si="10"/>
        <v>0</v>
      </c>
      <c r="AH39" s="476">
        <v>33419.49686175915</v>
      </c>
      <c r="AI39">
        <f t="shared" si="11"/>
        <v>33419496.861759152</v>
      </c>
      <c r="AJ39" s="489">
        <v>3021.774196</v>
      </c>
      <c r="AK39">
        <f t="shared" si="12"/>
        <v>3021774.196</v>
      </c>
    </row>
    <row r="40" spans="1:37" ht="15" customHeight="1">
      <c r="A40" s="452" t="s">
        <v>772</v>
      </c>
      <c r="B40" s="466">
        <v>7151</v>
      </c>
      <c r="C40" s="467">
        <f t="shared" si="0"/>
        <v>23070622.025132533</v>
      </c>
      <c r="D40" s="467">
        <f t="shared" si="1"/>
        <v>8010971.209200731</v>
      </c>
      <c r="E40" s="467">
        <v>0</v>
      </c>
      <c r="F40" s="467">
        <f t="shared" si="2"/>
        <v>31081593.23433326</v>
      </c>
      <c r="G40" s="468">
        <f t="shared" si="3"/>
        <v>4346.468079196373</v>
      </c>
      <c r="H40" s="459">
        <f t="shared" si="4"/>
        <v>-561.1380791963729</v>
      </c>
      <c r="I40" s="379">
        <f t="shared" si="5"/>
        <v>6.329967005712378</v>
      </c>
      <c r="J40" s="379">
        <f t="shared" si="6"/>
        <v>36.329967005712376</v>
      </c>
      <c r="K40" s="460">
        <f t="shared" si="7"/>
        <v>-203.86127902853048</v>
      </c>
      <c r="L40" s="487">
        <f t="shared" si="8"/>
        <v>-1457812.0063330214</v>
      </c>
      <c r="M40" s="487"/>
      <c r="N40" s="477">
        <v>79</v>
      </c>
      <c r="O40" s="388" t="s">
        <v>772</v>
      </c>
      <c r="P40" s="470">
        <v>0</v>
      </c>
      <c r="Q40" s="471" t="s">
        <v>753</v>
      </c>
      <c r="X40" s="472" t="s">
        <v>80</v>
      </c>
      <c r="Y40" s="473">
        <v>20.75</v>
      </c>
      <c r="Z40" s="474">
        <v>24116645.19</v>
      </c>
      <c r="AA40" s="475">
        <f t="shared" si="9"/>
        <v>116224796.09638554</v>
      </c>
      <c r="AB40" s="474">
        <v>8010971.209200731</v>
      </c>
      <c r="AE40" s="488">
        <v>79</v>
      </c>
      <c r="AF40">
        <f t="shared" si="10"/>
        <v>0</v>
      </c>
      <c r="AH40" s="476">
        <v>24214.545745405743</v>
      </c>
      <c r="AI40">
        <f t="shared" si="11"/>
        <v>24214545.745405745</v>
      </c>
      <c r="AJ40" s="489">
        <v>8055.357072</v>
      </c>
      <c r="AK40">
        <f t="shared" si="12"/>
        <v>8055357.072</v>
      </c>
    </row>
    <row r="41" spans="1:37" ht="15" customHeight="1">
      <c r="A41" s="452" t="s">
        <v>773</v>
      </c>
      <c r="B41" s="466">
        <v>2882</v>
      </c>
      <c r="C41" s="467">
        <f t="shared" si="0"/>
        <v>6503445.021046512</v>
      </c>
      <c r="D41" s="467">
        <f t="shared" si="1"/>
        <v>1259738.4935456163</v>
      </c>
      <c r="E41" s="467">
        <v>0</v>
      </c>
      <c r="F41" s="467">
        <f t="shared" si="2"/>
        <v>7763183.514592128</v>
      </c>
      <c r="G41" s="468">
        <f t="shared" si="3"/>
        <v>2693.6792208855404</v>
      </c>
      <c r="H41" s="459">
        <f t="shared" si="4"/>
        <v>1091.6507791144595</v>
      </c>
      <c r="I41" s="379">
        <f t="shared" si="5"/>
      </c>
      <c r="J41" s="379">
        <f t="shared" si="6"/>
      </c>
      <c r="K41" s="460">
        <f t="shared" si="7"/>
        <v>873.3206232915677</v>
      </c>
      <c r="L41" s="487">
        <f t="shared" si="8"/>
        <v>2516910.036326298</v>
      </c>
      <c r="M41" s="487"/>
      <c r="N41" s="477">
        <v>81</v>
      </c>
      <c r="O41" s="388" t="s">
        <v>773</v>
      </c>
      <c r="P41" s="470">
        <v>0</v>
      </c>
      <c r="Q41" s="471" t="s">
        <v>739</v>
      </c>
      <c r="X41" s="472" t="s">
        <v>81</v>
      </c>
      <c r="Y41" s="473">
        <v>21.5</v>
      </c>
      <c r="Z41" s="474">
        <v>7044033.65</v>
      </c>
      <c r="AA41" s="475">
        <f t="shared" si="9"/>
        <v>32762947.209302325</v>
      </c>
      <c r="AB41" s="474">
        <v>1259738.4935456163</v>
      </c>
      <c r="AE41" s="488">
        <v>81</v>
      </c>
      <c r="AF41">
        <f t="shared" si="10"/>
        <v>0</v>
      </c>
      <c r="AH41" s="476">
        <v>7114.476079418552</v>
      </c>
      <c r="AI41">
        <f t="shared" si="11"/>
        <v>7114476.079418552</v>
      </c>
      <c r="AJ41" s="489">
        <v>1266.718244</v>
      </c>
      <c r="AK41">
        <f t="shared" si="12"/>
        <v>1266718.244</v>
      </c>
    </row>
    <row r="42" spans="1:37" ht="15" customHeight="1">
      <c r="A42" s="452" t="s">
        <v>774</v>
      </c>
      <c r="B42" s="466">
        <v>9610</v>
      </c>
      <c r="C42" s="467">
        <f t="shared" si="0"/>
        <v>32745384.995048784</v>
      </c>
      <c r="D42" s="467">
        <f t="shared" si="1"/>
        <v>1335893.2717603827</v>
      </c>
      <c r="E42" s="467">
        <v>0</v>
      </c>
      <c r="F42" s="467">
        <f t="shared" si="2"/>
        <v>34081278.266809165</v>
      </c>
      <c r="G42" s="468">
        <f t="shared" si="3"/>
        <v>3546.4389455576656</v>
      </c>
      <c r="H42" s="459">
        <f t="shared" si="4"/>
        <v>238.89105444233428</v>
      </c>
      <c r="I42" s="379">
        <f t="shared" si="5"/>
      </c>
      <c r="J42" s="379">
        <f t="shared" si="6"/>
      </c>
      <c r="K42" s="460">
        <f t="shared" si="7"/>
        <v>191.11284355386744</v>
      </c>
      <c r="L42" s="487">
        <f t="shared" si="8"/>
        <v>1836594.4265526661</v>
      </c>
      <c r="M42" s="487"/>
      <c r="N42" s="477">
        <v>82</v>
      </c>
      <c r="O42" s="388" t="s">
        <v>774</v>
      </c>
      <c r="P42" s="470">
        <v>0</v>
      </c>
      <c r="Q42" s="471" t="s">
        <v>758</v>
      </c>
      <c r="X42" s="472" t="s">
        <v>82</v>
      </c>
      <c r="Y42" s="473">
        <v>20.5</v>
      </c>
      <c r="Z42" s="474">
        <v>33817652.01</v>
      </c>
      <c r="AA42" s="475">
        <f t="shared" si="9"/>
        <v>164964156.14634147</v>
      </c>
      <c r="AB42" s="474">
        <v>1335893.2717603827</v>
      </c>
      <c r="AE42" s="488">
        <v>82</v>
      </c>
      <c r="AF42">
        <f t="shared" si="10"/>
        <v>0</v>
      </c>
      <c r="AH42" s="476">
        <v>34054.226749817106</v>
      </c>
      <c r="AI42">
        <f t="shared" si="11"/>
        <v>34054226.7498171</v>
      </c>
      <c r="AJ42" s="489">
        <v>1343.2949680000002</v>
      </c>
      <c r="AK42">
        <f t="shared" si="12"/>
        <v>1343294.968</v>
      </c>
    </row>
    <row r="43" spans="1:37" ht="15" customHeight="1">
      <c r="A43" s="452" t="s">
        <v>775</v>
      </c>
      <c r="B43" s="466">
        <v>8504</v>
      </c>
      <c r="C43" s="467">
        <f t="shared" si="0"/>
        <v>27224922.940930232</v>
      </c>
      <c r="D43" s="467">
        <f t="shared" si="1"/>
        <v>1085670.6160188217</v>
      </c>
      <c r="E43" s="467">
        <v>0</v>
      </c>
      <c r="F43" s="467">
        <f t="shared" si="2"/>
        <v>28310593.556949053</v>
      </c>
      <c r="G43" s="468">
        <f t="shared" si="3"/>
        <v>3329.091434260237</v>
      </c>
      <c r="H43" s="459">
        <f t="shared" si="4"/>
        <v>456.2385657397631</v>
      </c>
      <c r="I43" s="379">
        <f t="shared" si="5"/>
      </c>
      <c r="J43" s="379">
        <f t="shared" si="6"/>
      </c>
      <c r="K43" s="460">
        <f t="shared" si="7"/>
        <v>364.9908525918105</v>
      </c>
      <c r="L43" s="487">
        <f t="shared" si="8"/>
        <v>3103882.2104407563</v>
      </c>
      <c r="M43" s="487"/>
      <c r="N43" s="477">
        <v>86</v>
      </c>
      <c r="O43" s="388" t="s">
        <v>775</v>
      </c>
      <c r="P43" s="470">
        <v>0</v>
      </c>
      <c r="Q43" s="471" t="s">
        <v>758</v>
      </c>
      <c r="X43" s="472" t="s">
        <v>83</v>
      </c>
      <c r="Y43" s="473">
        <v>21.5</v>
      </c>
      <c r="Z43" s="474">
        <v>29487951.8</v>
      </c>
      <c r="AA43" s="475">
        <f t="shared" si="9"/>
        <v>137153264.1860465</v>
      </c>
      <c r="AB43" s="474">
        <v>1085670.6160188217</v>
      </c>
      <c r="AE43" s="488">
        <v>86</v>
      </c>
      <c r="AF43">
        <f t="shared" si="10"/>
        <v>0</v>
      </c>
      <c r="AH43" s="476">
        <v>29500.648243352603</v>
      </c>
      <c r="AI43">
        <f t="shared" si="11"/>
        <v>29500648.243352603</v>
      </c>
      <c r="AJ43" s="489">
        <v>1091.68592</v>
      </c>
      <c r="AK43">
        <f t="shared" si="12"/>
        <v>1091685.92</v>
      </c>
    </row>
    <row r="44" spans="1:37" ht="15" customHeight="1">
      <c r="A44" s="452" t="s">
        <v>776</v>
      </c>
      <c r="B44" s="466">
        <v>3455</v>
      </c>
      <c r="C44" s="467">
        <f t="shared" si="0"/>
        <v>8013749.754214286</v>
      </c>
      <c r="D44" s="467">
        <f t="shared" si="1"/>
        <v>2052891.9959518267</v>
      </c>
      <c r="E44" s="467">
        <v>0</v>
      </c>
      <c r="F44" s="467">
        <f t="shared" si="2"/>
        <v>10066641.750166113</v>
      </c>
      <c r="G44" s="468">
        <f t="shared" si="3"/>
        <v>2913.644500771668</v>
      </c>
      <c r="H44" s="459">
        <f t="shared" si="4"/>
        <v>871.685499228332</v>
      </c>
      <c r="I44" s="379">
        <f t="shared" si="5"/>
      </c>
      <c r="J44" s="379">
        <f t="shared" si="6"/>
      </c>
      <c r="K44" s="460">
        <f t="shared" si="7"/>
        <v>697.3483993826657</v>
      </c>
      <c r="L44" s="487">
        <f t="shared" si="8"/>
        <v>2409338.71986711</v>
      </c>
      <c r="M44" s="487"/>
      <c r="N44" s="477">
        <v>90</v>
      </c>
      <c r="O44" s="388" t="s">
        <v>776</v>
      </c>
      <c r="P44" s="470">
        <v>0</v>
      </c>
      <c r="Q44" s="471" t="s">
        <v>746</v>
      </c>
      <c r="X44" s="472" t="s">
        <v>85</v>
      </c>
      <c r="Y44" s="473">
        <v>21</v>
      </c>
      <c r="Z44" s="474">
        <v>8478022.41</v>
      </c>
      <c r="AA44" s="475">
        <f t="shared" si="9"/>
        <v>40371535.28571428</v>
      </c>
      <c r="AB44" s="474">
        <v>2052891.9959518267</v>
      </c>
      <c r="AE44" s="488">
        <v>90</v>
      </c>
      <c r="AF44">
        <f t="shared" si="10"/>
        <v>0</v>
      </c>
      <c r="AH44" s="476">
        <v>8473.71738987428</v>
      </c>
      <c r="AI44">
        <f t="shared" si="11"/>
        <v>8473717.38987428</v>
      </c>
      <c r="AJ44" s="489">
        <v>2064.26632</v>
      </c>
      <c r="AK44">
        <f t="shared" si="12"/>
        <v>2064266.32</v>
      </c>
    </row>
    <row r="45" spans="1:37" ht="15" customHeight="1">
      <c r="A45" s="452" t="s">
        <v>777</v>
      </c>
      <c r="B45" s="466">
        <v>643272</v>
      </c>
      <c r="C45" s="467">
        <f t="shared" si="0"/>
        <v>2851663840.6893053</v>
      </c>
      <c r="D45" s="467">
        <f t="shared" si="1"/>
        <v>588889929.5323162</v>
      </c>
      <c r="E45" s="467">
        <v>0</v>
      </c>
      <c r="F45" s="467">
        <f t="shared" si="2"/>
        <v>3440553770.2216215</v>
      </c>
      <c r="G45" s="468">
        <f t="shared" si="3"/>
        <v>5348.52095260111</v>
      </c>
      <c r="H45" s="459">
        <f t="shared" si="4"/>
        <v>-1563.1909526011104</v>
      </c>
      <c r="I45" s="379">
        <f t="shared" si="5"/>
        <v>7.354484493529388</v>
      </c>
      <c r="J45" s="379">
        <f t="shared" si="6"/>
        <v>37.35448449352939</v>
      </c>
      <c r="K45" s="460">
        <f t="shared" si="7"/>
        <v>-583.9219219936363</v>
      </c>
      <c r="L45" s="487">
        <f t="shared" si="8"/>
        <v>-375620622.6046904</v>
      </c>
      <c r="M45" s="487"/>
      <c r="N45" s="477">
        <v>91</v>
      </c>
      <c r="O45" s="478" t="s">
        <v>778</v>
      </c>
      <c r="P45" s="470">
        <v>1</v>
      </c>
      <c r="Q45" s="471" t="s">
        <v>741</v>
      </c>
      <c r="X45" s="472" t="s">
        <v>86</v>
      </c>
      <c r="Y45" s="473">
        <v>18</v>
      </c>
      <c r="Z45" s="474">
        <v>2585891643.95</v>
      </c>
      <c r="AA45" s="475">
        <f t="shared" si="9"/>
        <v>14366064688.611109</v>
      </c>
      <c r="AB45" s="474">
        <v>588889929.5323162</v>
      </c>
      <c r="AE45" s="488">
        <v>91</v>
      </c>
      <c r="AF45">
        <f t="shared" si="10"/>
        <v>0</v>
      </c>
      <c r="AH45" s="476">
        <v>2590143.631496326</v>
      </c>
      <c r="AI45">
        <f t="shared" si="11"/>
        <v>2590143631.496326</v>
      </c>
      <c r="AJ45" s="489">
        <v>592152.753344</v>
      </c>
      <c r="AK45">
        <f t="shared" si="12"/>
        <v>592152753.344</v>
      </c>
    </row>
    <row r="46" spans="1:37" ht="15" customHeight="1">
      <c r="A46" s="452" t="s">
        <v>779</v>
      </c>
      <c r="B46" s="466">
        <v>223027</v>
      </c>
      <c r="C46" s="467">
        <f t="shared" si="0"/>
        <v>873696075.2346054</v>
      </c>
      <c r="D46" s="467">
        <f t="shared" si="1"/>
        <v>76926893.20786147</v>
      </c>
      <c r="E46" s="467">
        <v>0</v>
      </c>
      <c r="F46" s="467">
        <f t="shared" si="2"/>
        <v>950622968.4424669</v>
      </c>
      <c r="G46" s="468">
        <f t="shared" si="3"/>
        <v>4262.367195193707</v>
      </c>
      <c r="H46" s="459">
        <f t="shared" si="4"/>
        <v>-477.0371951937068</v>
      </c>
      <c r="I46" s="379">
        <f t="shared" si="5"/>
        <v>6.167594465193563</v>
      </c>
      <c r="J46" s="379">
        <f t="shared" si="6"/>
        <v>36.16759446519356</v>
      </c>
      <c r="K46" s="460">
        <f t="shared" si="7"/>
        <v>-172.53287820579368</v>
      </c>
      <c r="L46" s="487">
        <f t="shared" si="8"/>
        <v>-38479490.22760355</v>
      </c>
      <c r="M46" s="487"/>
      <c r="N46" s="477">
        <v>92</v>
      </c>
      <c r="O46" s="478" t="s">
        <v>780</v>
      </c>
      <c r="P46" s="470">
        <v>1</v>
      </c>
      <c r="Q46" s="471" t="s">
        <v>741</v>
      </c>
      <c r="X46" s="472" t="s">
        <v>334</v>
      </c>
      <c r="Y46" s="473">
        <v>19</v>
      </c>
      <c r="Z46" s="474">
        <v>836283396.95</v>
      </c>
      <c r="AA46" s="475">
        <f t="shared" si="9"/>
        <v>4401491562.894737</v>
      </c>
      <c r="AB46" s="474">
        <v>76926893.20786147</v>
      </c>
      <c r="AE46" s="488">
        <v>92</v>
      </c>
      <c r="AF46">
        <f t="shared" si="10"/>
        <v>0</v>
      </c>
      <c r="AH46" s="476">
        <v>835929.2882034068</v>
      </c>
      <c r="AI46">
        <f t="shared" si="11"/>
        <v>835929288.2034068</v>
      </c>
      <c r="AJ46" s="489">
        <v>77353.117</v>
      </c>
      <c r="AK46">
        <f t="shared" si="12"/>
        <v>77353117</v>
      </c>
    </row>
    <row r="47" spans="1:37" ht="15" customHeight="1">
      <c r="A47" s="452" t="s">
        <v>781</v>
      </c>
      <c r="B47" s="466">
        <v>2236</v>
      </c>
      <c r="C47" s="467">
        <f t="shared" si="0"/>
        <v>5562945.13125</v>
      </c>
      <c r="D47" s="467">
        <f t="shared" si="1"/>
        <v>885869.9345512005</v>
      </c>
      <c r="E47" s="467">
        <v>0</v>
      </c>
      <c r="F47" s="467">
        <f t="shared" si="2"/>
        <v>6448815.0658012</v>
      </c>
      <c r="G47" s="468">
        <f t="shared" si="3"/>
        <v>2884.085449821646</v>
      </c>
      <c r="H47" s="459">
        <f t="shared" si="4"/>
        <v>901.2445501783541</v>
      </c>
      <c r="I47" s="379">
        <f t="shared" si="5"/>
      </c>
      <c r="J47" s="379">
        <f t="shared" si="6"/>
      </c>
      <c r="K47" s="460">
        <f t="shared" si="7"/>
        <v>720.9956401426833</v>
      </c>
      <c r="L47" s="487">
        <f t="shared" si="8"/>
        <v>1612146.25135904</v>
      </c>
      <c r="M47" s="487"/>
      <c r="N47" s="477">
        <v>97</v>
      </c>
      <c r="O47" s="388" t="s">
        <v>781</v>
      </c>
      <c r="P47" s="470">
        <v>0</v>
      </c>
      <c r="Q47" s="471" t="s">
        <v>746</v>
      </c>
      <c r="X47" s="472" t="s">
        <v>87</v>
      </c>
      <c r="Y47" s="473">
        <v>20</v>
      </c>
      <c r="Z47" s="474">
        <v>5604982.5</v>
      </c>
      <c r="AA47" s="475">
        <f t="shared" si="9"/>
        <v>28024912.5</v>
      </c>
      <c r="AB47" s="474">
        <v>885869.9345512005</v>
      </c>
      <c r="AE47" s="488">
        <v>97</v>
      </c>
      <c r="AF47">
        <f t="shared" si="10"/>
        <v>0</v>
      </c>
      <c r="AH47" s="476">
        <v>5673.969409727196</v>
      </c>
      <c r="AI47">
        <f t="shared" si="11"/>
        <v>5673969.409727196</v>
      </c>
      <c r="AJ47" s="489">
        <v>890.7782159999999</v>
      </c>
      <c r="AK47">
        <f t="shared" si="12"/>
        <v>890778.2159999999</v>
      </c>
    </row>
    <row r="48" spans="1:37" s="1" customFormat="1" ht="15" customHeight="1">
      <c r="A48" s="452" t="s">
        <v>782</v>
      </c>
      <c r="B48" s="466">
        <v>23782</v>
      </c>
      <c r="C48" s="467">
        <f t="shared" si="0"/>
        <v>78652393.01354761</v>
      </c>
      <c r="D48" s="467">
        <f t="shared" si="1"/>
        <v>2833345.027026614</v>
      </c>
      <c r="E48" s="467">
        <v>0</v>
      </c>
      <c r="F48" s="467">
        <f t="shared" si="2"/>
        <v>81485738.04057422</v>
      </c>
      <c r="G48" s="468">
        <f t="shared" si="3"/>
        <v>3426.361872028182</v>
      </c>
      <c r="H48" s="459">
        <f t="shared" si="4"/>
        <v>358.9681279718179</v>
      </c>
      <c r="I48" s="379">
        <f t="shared" si="5"/>
      </c>
      <c r="J48" s="379">
        <f t="shared" si="6"/>
      </c>
      <c r="K48" s="460">
        <f t="shared" si="7"/>
        <v>287.17450237745436</v>
      </c>
      <c r="L48" s="487">
        <f t="shared" si="8"/>
        <v>6829584.015540619</v>
      </c>
      <c r="M48" s="487"/>
      <c r="N48" s="477">
        <v>98</v>
      </c>
      <c r="O48" s="388" t="s">
        <v>782</v>
      </c>
      <c r="P48" s="470">
        <v>0</v>
      </c>
      <c r="Q48" s="471" t="s">
        <v>739</v>
      </c>
      <c r="R48"/>
      <c r="S48"/>
      <c r="T48"/>
      <c r="U48"/>
      <c r="V48"/>
      <c r="W48"/>
      <c r="X48" s="472" t="s">
        <v>88</v>
      </c>
      <c r="Y48" s="473">
        <v>21</v>
      </c>
      <c r="Z48" s="474">
        <v>83209080.77</v>
      </c>
      <c r="AA48" s="475">
        <f t="shared" si="9"/>
        <v>396233717.95238096</v>
      </c>
      <c r="AB48" s="474">
        <v>2833345.027026614</v>
      </c>
      <c r="AC48"/>
      <c r="AE48" s="488">
        <v>98</v>
      </c>
      <c r="AF48">
        <f t="shared" si="10"/>
        <v>0</v>
      </c>
      <c r="AH48" s="476">
        <v>83142.8038420225</v>
      </c>
      <c r="AI48">
        <f t="shared" si="11"/>
        <v>83142803.84202251</v>
      </c>
      <c r="AJ48" s="489">
        <v>2849.0435559999996</v>
      </c>
      <c r="AK48">
        <f t="shared" si="12"/>
        <v>2849043.5559999994</v>
      </c>
    </row>
    <row r="49" spans="1:37" ht="15" customHeight="1">
      <c r="A49" s="452" t="s">
        <v>783</v>
      </c>
      <c r="B49" s="466">
        <v>1707</v>
      </c>
      <c r="C49" s="467">
        <f t="shared" si="0"/>
        <v>3971191.487227273</v>
      </c>
      <c r="D49" s="467">
        <f t="shared" si="1"/>
        <v>696728.4503682409</v>
      </c>
      <c r="E49" s="467">
        <v>0</v>
      </c>
      <c r="F49" s="467">
        <f t="shared" si="2"/>
        <v>4667919.937595515</v>
      </c>
      <c r="G49" s="468">
        <f t="shared" si="3"/>
        <v>2734.5752417079757</v>
      </c>
      <c r="H49" s="459">
        <f t="shared" si="4"/>
        <v>1050.7547582920242</v>
      </c>
      <c r="I49" s="379">
        <f t="shared" si="5"/>
      </c>
      <c r="J49" s="379">
        <f t="shared" si="6"/>
      </c>
      <c r="K49" s="460">
        <f t="shared" si="7"/>
        <v>840.6038066336195</v>
      </c>
      <c r="L49" s="487">
        <f t="shared" si="8"/>
        <v>1434910.6979235883</v>
      </c>
      <c r="M49" s="487"/>
      <c r="N49" s="477">
        <v>99</v>
      </c>
      <c r="O49" s="388" t="s">
        <v>783</v>
      </c>
      <c r="P49" s="470">
        <v>0</v>
      </c>
      <c r="Q49" s="471" t="s">
        <v>753</v>
      </c>
      <c r="X49" s="472" t="s">
        <v>89</v>
      </c>
      <c r="Y49" s="473">
        <v>22</v>
      </c>
      <c r="Z49" s="474">
        <v>4401320.54</v>
      </c>
      <c r="AA49" s="475">
        <f t="shared" si="9"/>
        <v>20006002.454545453</v>
      </c>
      <c r="AB49" s="474">
        <v>696728.4503682409</v>
      </c>
      <c r="AE49" s="488">
        <v>99</v>
      </c>
      <c r="AF49">
        <f t="shared" si="10"/>
        <v>0</v>
      </c>
      <c r="AH49" s="476">
        <v>4244.75209367673</v>
      </c>
      <c r="AI49">
        <f t="shared" si="11"/>
        <v>4244752.09367673</v>
      </c>
      <c r="AJ49" s="489">
        <v>700.5887680000001</v>
      </c>
      <c r="AK49">
        <f t="shared" si="12"/>
        <v>700588.768</v>
      </c>
    </row>
    <row r="50" spans="1:37" ht="15" customHeight="1">
      <c r="A50" s="465" t="s">
        <v>784</v>
      </c>
      <c r="B50" s="466">
        <v>10207</v>
      </c>
      <c r="C50" s="467">
        <f t="shared" si="0"/>
        <v>27535815.880771086</v>
      </c>
      <c r="D50" s="467">
        <f t="shared" si="1"/>
        <v>1931357.4782833345</v>
      </c>
      <c r="E50" s="467">
        <v>0</v>
      </c>
      <c r="F50" s="467">
        <f t="shared" si="2"/>
        <v>29467173.35905442</v>
      </c>
      <c r="G50" s="468">
        <f t="shared" si="3"/>
        <v>2886.9573193939864</v>
      </c>
      <c r="H50" s="459">
        <f t="shared" si="4"/>
        <v>898.3726806060135</v>
      </c>
      <c r="I50" s="379">
        <f t="shared" si="5"/>
      </c>
      <c r="J50" s="379">
        <f t="shared" si="6"/>
      </c>
      <c r="K50" s="460">
        <f t="shared" si="7"/>
        <v>718.6981444848109</v>
      </c>
      <c r="L50" s="487">
        <f t="shared" si="8"/>
        <v>7335751.960756465</v>
      </c>
      <c r="M50" s="487"/>
      <c r="N50" s="469">
        <v>102</v>
      </c>
      <c r="O50" s="388" t="s">
        <v>784</v>
      </c>
      <c r="P50" s="470">
        <v>0</v>
      </c>
      <c r="Q50" s="471" t="s">
        <v>753</v>
      </c>
      <c r="X50" s="472" t="s">
        <v>90</v>
      </c>
      <c r="Y50" s="473">
        <v>20.75</v>
      </c>
      <c r="Z50" s="474">
        <v>28784291.16</v>
      </c>
      <c r="AA50" s="475">
        <f t="shared" si="9"/>
        <v>138719475.4698795</v>
      </c>
      <c r="AB50" s="474">
        <v>1931357.4782833345</v>
      </c>
      <c r="AE50" s="488">
        <v>102</v>
      </c>
      <c r="AF50">
        <f t="shared" si="10"/>
        <v>0</v>
      </c>
      <c r="AH50" s="476">
        <v>28700.714342469313</v>
      </c>
      <c r="AI50">
        <f t="shared" si="11"/>
        <v>28700714.342469312</v>
      </c>
      <c r="AJ50" s="489">
        <v>1942.0584239999998</v>
      </c>
      <c r="AK50">
        <f t="shared" si="12"/>
        <v>1942058.4239999999</v>
      </c>
    </row>
    <row r="51" spans="1:37" ht="15" customHeight="1">
      <c r="A51" s="452" t="s">
        <v>785</v>
      </c>
      <c r="B51" s="466">
        <v>2290</v>
      </c>
      <c r="C51" s="467">
        <f t="shared" si="0"/>
        <v>6003760.559568183</v>
      </c>
      <c r="D51" s="467">
        <f t="shared" si="1"/>
        <v>384633.95188803156</v>
      </c>
      <c r="E51" s="467">
        <v>0</v>
      </c>
      <c r="F51" s="467">
        <f t="shared" si="2"/>
        <v>6388394.511456214</v>
      </c>
      <c r="G51" s="468">
        <f t="shared" si="3"/>
        <v>2789.6919264000935</v>
      </c>
      <c r="H51" s="459">
        <f t="shared" si="4"/>
        <v>995.6380735999064</v>
      </c>
      <c r="I51" s="379">
        <f t="shared" si="5"/>
      </c>
      <c r="J51" s="379">
        <f t="shared" si="6"/>
      </c>
      <c r="K51" s="460">
        <f t="shared" si="7"/>
        <v>796.5104588799252</v>
      </c>
      <c r="L51" s="487">
        <f t="shared" si="8"/>
        <v>1824008.9508350287</v>
      </c>
      <c r="M51" s="487"/>
      <c r="N51" s="477">
        <v>103</v>
      </c>
      <c r="O51" s="388" t="s">
        <v>785</v>
      </c>
      <c r="P51" s="470">
        <v>0</v>
      </c>
      <c r="Q51" s="471" t="s">
        <v>758</v>
      </c>
      <c r="X51" s="472" t="s">
        <v>91</v>
      </c>
      <c r="Y51" s="473">
        <v>22</v>
      </c>
      <c r="Z51" s="474">
        <v>6654041.93</v>
      </c>
      <c r="AA51" s="475">
        <f t="shared" si="9"/>
        <v>30245645.136363637</v>
      </c>
      <c r="AB51" s="474">
        <v>384633.95188803156</v>
      </c>
      <c r="AE51" s="488">
        <v>103</v>
      </c>
      <c r="AF51">
        <f t="shared" si="10"/>
        <v>0</v>
      </c>
      <c r="AH51" s="476">
        <v>6557.97700471172</v>
      </c>
      <c r="AI51">
        <f t="shared" si="11"/>
        <v>6557977.00471172</v>
      </c>
      <c r="AJ51" s="489">
        <v>386.765068</v>
      </c>
      <c r="AK51">
        <f t="shared" si="12"/>
        <v>386765.06799999997</v>
      </c>
    </row>
    <row r="52" spans="1:37" ht="15" customHeight="1">
      <c r="A52" s="452" t="s">
        <v>786</v>
      </c>
      <c r="B52" s="466">
        <v>2326</v>
      </c>
      <c r="C52" s="467">
        <f t="shared" si="0"/>
        <v>5555483.613218391</v>
      </c>
      <c r="D52" s="467">
        <f t="shared" si="1"/>
        <v>749966.851848666</v>
      </c>
      <c r="E52" s="467">
        <v>0</v>
      </c>
      <c r="F52" s="467">
        <f t="shared" si="2"/>
        <v>6305450.465067057</v>
      </c>
      <c r="G52" s="468">
        <f t="shared" si="3"/>
        <v>2710.8557459445647</v>
      </c>
      <c r="H52" s="459">
        <f t="shared" si="4"/>
        <v>1074.4742540554353</v>
      </c>
      <c r="I52" s="379">
        <f t="shared" si="5"/>
      </c>
      <c r="J52" s="379">
        <f t="shared" si="6"/>
      </c>
      <c r="K52" s="460">
        <f t="shared" si="7"/>
        <v>859.5794032443482</v>
      </c>
      <c r="L52" s="487">
        <f t="shared" si="8"/>
        <v>1999381.691946354</v>
      </c>
      <c r="M52" s="487"/>
      <c r="N52" s="477">
        <v>105</v>
      </c>
      <c r="O52" s="388" t="s">
        <v>786</v>
      </c>
      <c r="P52" s="470">
        <v>0</v>
      </c>
      <c r="Q52" s="471" t="s">
        <v>787</v>
      </c>
      <c r="X52" s="472" t="s">
        <v>92</v>
      </c>
      <c r="Y52" s="473">
        <v>21.75</v>
      </c>
      <c r="Z52" s="474">
        <v>6087242.75</v>
      </c>
      <c r="AA52" s="475">
        <f t="shared" si="9"/>
        <v>27987322.988505747</v>
      </c>
      <c r="AB52" s="474">
        <v>749966.851848666</v>
      </c>
      <c r="AE52" s="488">
        <v>105</v>
      </c>
      <c r="AF52">
        <f t="shared" si="10"/>
        <v>0</v>
      </c>
      <c r="AH52" s="476">
        <v>6039.935500592124</v>
      </c>
      <c r="AI52">
        <f t="shared" si="11"/>
        <v>6039935.500592125</v>
      </c>
      <c r="AJ52" s="489">
        <v>754.122144</v>
      </c>
      <c r="AK52">
        <f t="shared" si="12"/>
        <v>754122.1440000001</v>
      </c>
    </row>
    <row r="53" spans="1:37" ht="15" customHeight="1">
      <c r="A53" s="452" t="s">
        <v>788</v>
      </c>
      <c r="B53" s="466">
        <v>46739</v>
      </c>
      <c r="C53" s="467">
        <f t="shared" si="0"/>
        <v>173865819.22362027</v>
      </c>
      <c r="D53" s="467">
        <f t="shared" si="1"/>
        <v>12096565.134880198</v>
      </c>
      <c r="E53" s="467">
        <v>0</v>
      </c>
      <c r="F53" s="467">
        <f t="shared" si="2"/>
        <v>185962384.35850045</v>
      </c>
      <c r="G53" s="468">
        <f t="shared" si="3"/>
        <v>3978.7411874130908</v>
      </c>
      <c r="H53" s="459">
        <f t="shared" si="4"/>
        <v>-193.41118741309083</v>
      </c>
      <c r="I53" s="379">
        <f t="shared" si="5"/>
        <v>5.264818427329069</v>
      </c>
      <c r="J53" s="379">
        <f t="shared" si="6"/>
        <v>35.26481842732907</v>
      </c>
      <c r="K53" s="460">
        <f t="shared" si="7"/>
        <v>-68.20610405936762</v>
      </c>
      <c r="L53" s="487">
        <f t="shared" si="8"/>
        <v>-3187885.097630783</v>
      </c>
      <c r="M53" s="487"/>
      <c r="N53" s="477">
        <v>106</v>
      </c>
      <c r="O53" s="478" t="s">
        <v>789</v>
      </c>
      <c r="P53" s="470">
        <v>0</v>
      </c>
      <c r="Q53" s="471" t="s">
        <v>741</v>
      </c>
      <c r="X53" s="472" t="s">
        <v>93</v>
      </c>
      <c r="Y53" s="473">
        <v>19.75</v>
      </c>
      <c r="Z53" s="474">
        <v>172989920.89</v>
      </c>
      <c r="AA53" s="475">
        <f t="shared" si="9"/>
        <v>875898333.6202532</v>
      </c>
      <c r="AB53" s="474">
        <v>12096565.134880198</v>
      </c>
      <c r="AE53" s="488">
        <v>106</v>
      </c>
      <c r="AF53">
        <f t="shared" si="10"/>
        <v>0</v>
      </c>
      <c r="AH53" s="476">
        <v>172988.3972664766</v>
      </c>
      <c r="AI53">
        <f t="shared" si="11"/>
        <v>172988397.2664766</v>
      </c>
      <c r="AJ53" s="489">
        <v>12163.58778</v>
      </c>
      <c r="AK53">
        <f t="shared" si="12"/>
        <v>12163587.78</v>
      </c>
    </row>
    <row r="54" spans="1:37" ht="15" customHeight="1">
      <c r="A54" s="452" t="s">
        <v>790</v>
      </c>
      <c r="B54" s="466">
        <v>10599</v>
      </c>
      <c r="C54" s="467">
        <f t="shared" si="0"/>
        <v>31657735.551931813</v>
      </c>
      <c r="D54" s="467">
        <f t="shared" si="1"/>
        <v>1675320.9868797404</v>
      </c>
      <c r="E54" s="467">
        <v>0</v>
      </c>
      <c r="F54" s="467">
        <f t="shared" si="2"/>
        <v>33333056.538811553</v>
      </c>
      <c r="G54" s="468">
        <f t="shared" si="3"/>
        <v>3144.9246663658414</v>
      </c>
      <c r="H54" s="459">
        <f t="shared" si="4"/>
        <v>640.4053336341585</v>
      </c>
      <c r="I54" s="379">
        <f t="shared" si="5"/>
      </c>
      <c r="J54" s="379">
        <f t="shared" si="6"/>
      </c>
      <c r="K54" s="460">
        <f t="shared" si="7"/>
        <v>512.3242669073269</v>
      </c>
      <c r="L54" s="487">
        <f t="shared" si="8"/>
        <v>5430124.9049507575</v>
      </c>
      <c r="M54" s="487"/>
      <c r="N54" s="477">
        <v>108</v>
      </c>
      <c r="O54" s="478" t="s">
        <v>791</v>
      </c>
      <c r="P54" s="470">
        <v>0</v>
      </c>
      <c r="Q54" s="471" t="s">
        <v>744</v>
      </c>
      <c r="S54" s="1"/>
      <c r="T54" s="1"/>
      <c r="U54" s="1"/>
      <c r="X54" s="472" t="s">
        <v>94</v>
      </c>
      <c r="Y54" s="473">
        <v>22</v>
      </c>
      <c r="Z54" s="474">
        <v>35086659.05</v>
      </c>
      <c r="AA54" s="475">
        <f t="shared" si="9"/>
        <v>159484813.86363634</v>
      </c>
      <c r="AB54" s="474">
        <v>1675320.9868797404</v>
      </c>
      <c r="AC54" s="1"/>
      <c r="AE54" s="488">
        <v>108</v>
      </c>
      <c r="AF54">
        <f t="shared" si="10"/>
        <v>0</v>
      </c>
      <c r="AH54" s="476">
        <v>33971.19321551467</v>
      </c>
      <c r="AI54">
        <f t="shared" si="11"/>
        <v>33971193.215514675</v>
      </c>
      <c r="AJ54" s="489">
        <v>1684.6033280000001</v>
      </c>
      <c r="AK54">
        <f t="shared" si="12"/>
        <v>1684603.3280000002</v>
      </c>
    </row>
    <row r="55" spans="1:37" ht="15" customHeight="1">
      <c r="A55" s="465" t="s">
        <v>792</v>
      </c>
      <c r="B55" s="466">
        <v>67662</v>
      </c>
      <c r="C55" s="467">
        <f t="shared" si="0"/>
        <v>228385583.79515663</v>
      </c>
      <c r="D55" s="467">
        <f t="shared" si="1"/>
        <v>15974386.977712879</v>
      </c>
      <c r="E55" s="467">
        <v>0</v>
      </c>
      <c r="F55" s="467">
        <f t="shared" si="2"/>
        <v>244359970.7728695</v>
      </c>
      <c r="G55" s="468">
        <f t="shared" si="3"/>
        <v>3611.480162762991</v>
      </c>
      <c r="H55" s="459">
        <f t="shared" si="4"/>
        <v>173.84983723700907</v>
      </c>
      <c r="I55" s="379">
        <f t="shared" si="5"/>
      </c>
      <c r="J55" s="379">
        <f t="shared" si="6"/>
      </c>
      <c r="K55" s="460">
        <f t="shared" si="7"/>
        <v>139.07986978960727</v>
      </c>
      <c r="L55" s="487">
        <f t="shared" si="8"/>
        <v>9410422.149704408</v>
      </c>
      <c r="M55" s="487"/>
      <c r="N55" s="469">
        <v>109</v>
      </c>
      <c r="O55" s="478" t="s">
        <v>793</v>
      </c>
      <c r="P55" s="470">
        <v>0</v>
      </c>
      <c r="Q55" s="471" t="s">
        <v>758</v>
      </c>
      <c r="X55" s="472" t="s">
        <v>95</v>
      </c>
      <c r="Y55" s="473">
        <v>20.75</v>
      </c>
      <c r="Z55" s="474">
        <v>238740597.67</v>
      </c>
      <c r="AA55" s="475">
        <f t="shared" si="9"/>
        <v>1150557097.2048192</v>
      </c>
      <c r="AB55" s="474">
        <v>15974386.977712879</v>
      </c>
      <c r="AE55" s="488">
        <v>109</v>
      </c>
      <c r="AF55">
        <f t="shared" si="10"/>
        <v>0</v>
      </c>
      <c r="AH55" s="476">
        <v>238896.15099261934</v>
      </c>
      <c r="AI55">
        <f t="shared" si="11"/>
        <v>238896150.99261934</v>
      </c>
      <c r="AJ55" s="489">
        <v>16062.895216</v>
      </c>
      <c r="AK55">
        <f t="shared" si="12"/>
        <v>16062895.216</v>
      </c>
    </row>
    <row r="56" spans="1:37" ht="15" customHeight="1">
      <c r="A56" s="452" t="s">
        <v>794</v>
      </c>
      <c r="B56" s="466">
        <v>19128</v>
      </c>
      <c r="C56" s="467">
        <f t="shared" si="0"/>
        <v>57678709.80512196</v>
      </c>
      <c r="D56" s="467">
        <f t="shared" si="1"/>
        <v>3020208.3536477694</v>
      </c>
      <c r="E56" s="467">
        <v>0</v>
      </c>
      <c r="F56" s="467">
        <f t="shared" si="2"/>
        <v>60698918.15876973</v>
      </c>
      <c r="G56" s="468">
        <f t="shared" si="3"/>
        <v>3173.301869446347</v>
      </c>
      <c r="H56" s="459">
        <f t="shared" si="4"/>
        <v>612.0281305536528</v>
      </c>
      <c r="I56" s="379">
        <f t="shared" si="5"/>
      </c>
      <c r="J56" s="379">
        <f t="shared" si="6"/>
      </c>
      <c r="K56" s="460">
        <f t="shared" si="7"/>
        <v>489.62250444292226</v>
      </c>
      <c r="L56" s="487">
        <f t="shared" si="8"/>
        <v>9365499.264984217</v>
      </c>
      <c r="M56" s="487"/>
      <c r="N56" s="477">
        <v>111</v>
      </c>
      <c r="O56" s="388" t="s">
        <v>794</v>
      </c>
      <c r="P56" s="470">
        <v>0</v>
      </c>
      <c r="Q56" s="471" t="s">
        <v>739</v>
      </c>
      <c r="X56" s="472" t="s">
        <v>84</v>
      </c>
      <c r="Y56" s="473">
        <v>20.5</v>
      </c>
      <c r="Z56" s="474">
        <v>59567433.3</v>
      </c>
      <c r="AA56" s="475">
        <f t="shared" si="9"/>
        <v>290572845.36585367</v>
      </c>
      <c r="AB56" s="474">
        <v>3020208.3536477694</v>
      </c>
      <c r="AE56" s="488">
        <v>111</v>
      </c>
      <c r="AF56">
        <f t="shared" si="10"/>
        <v>0</v>
      </c>
      <c r="AH56" s="476">
        <v>60537.93266499993</v>
      </c>
      <c r="AI56">
        <f t="shared" si="11"/>
        <v>60537932.664999925</v>
      </c>
      <c r="AJ56" s="489">
        <v>3036.9422240000004</v>
      </c>
      <c r="AK56">
        <f t="shared" si="12"/>
        <v>3036942.2240000004</v>
      </c>
    </row>
    <row r="57" spans="1:37" ht="15" customHeight="1">
      <c r="A57" s="452" t="s">
        <v>795</v>
      </c>
      <c r="B57" s="466">
        <v>9966</v>
      </c>
      <c r="C57" s="467">
        <f t="shared" si="0"/>
        <v>25090158.64268235</v>
      </c>
      <c r="D57" s="467">
        <f t="shared" si="1"/>
        <v>1382120.3325165375</v>
      </c>
      <c r="E57" s="467">
        <v>0</v>
      </c>
      <c r="F57" s="467">
        <f t="shared" si="2"/>
        <v>26472278.975198887</v>
      </c>
      <c r="G57" s="468">
        <f t="shared" si="3"/>
        <v>2656.2591787275624</v>
      </c>
      <c r="H57" s="459">
        <f t="shared" si="4"/>
        <v>1129.0708212724376</v>
      </c>
      <c r="I57" s="379">
        <f t="shared" si="5"/>
      </c>
      <c r="J57" s="379">
        <f t="shared" si="6"/>
      </c>
      <c r="K57" s="460">
        <f t="shared" si="7"/>
        <v>903.2566570179501</v>
      </c>
      <c r="L57" s="487">
        <f t="shared" si="8"/>
        <v>9001855.843840891</v>
      </c>
      <c r="M57" s="487"/>
      <c r="N57" s="477">
        <v>139</v>
      </c>
      <c r="O57" s="388" t="s">
        <v>795</v>
      </c>
      <c r="P57" s="470">
        <v>0</v>
      </c>
      <c r="Q57" s="471" t="s">
        <v>736</v>
      </c>
      <c r="X57" s="472" t="s">
        <v>96</v>
      </c>
      <c r="Y57" s="473">
        <v>21.25</v>
      </c>
      <c r="Z57" s="474">
        <v>26859741.62</v>
      </c>
      <c r="AA57" s="475">
        <f t="shared" si="9"/>
        <v>126398784.09411764</v>
      </c>
      <c r="AB57" s="474">
        <v>1382120.3325165375</v>
      </c>
      <c r="AE57" s="488">
        <v>139</v>
      </c>
      <c r="AF57">
        <f t="shared" si="10"/>
        <v>0</v>
      </c>
      <c r="AH57" s="476">
        <v>26635.05819450224</v>
      </c>
      <c r="AI57">
        <f t="shared" si="11"/>
        <v>26635058.19450224</v>
      </c>
      <c r="AJ57" s="489">
        <v>1389.778156</v>
      </c>
      <c r="AK57">
        <f t="shared" si="12"/>
        <v>1389778.1560000002</v>
      </c>
    </row>
    <row r="58" spans="1:37" ht="15" customHeight="1">
      <c r="A58" s="452" t="s">
        <v>796</v>
      </c>
      <c r="B58" s="466">
        <v>21639</v>
      </c>
      <c r="C58" s="467">
        <f t="shared" si="0"/>
        <v>62668886.24375609</v>
      </c>
      <c r="D58" s="467">
        <f t="shared" si="1"/>
        <v>5918813.012909946</v>
      </c>
      <c r="E58" s="467">
        <v>0</v>
      </c>
      <c r="F58" s="467">
        <f t="shared" si="2"/>
        <v>68587699.25666603</v>
      </c>
      <c r="G58" s="468">
        <f t="shared" si="3"/>
        <v>3169.63349769703</v>
      </c>
      <c r="H58" s="459">
        <f t="shared" si="4"/>
        <v>615.6965023029697</v>
      </c>
      <c r="I58" s="379">
        <f t="shared" si="5"/>
      </c>
      <c r="J58" s="379">
        <f t="shared" si="6"/>
      </c>
      <c r="K58" s="460">
        <f t="shared" si="7"/>
        <v>492.55720184237583</v>
      </c>
      <c r="L58" s="487">
        <f t="shared" si="8"/>
        <v>10658445.29066717</v>
      </c>
      <c r="M58" s="487"/>
      <c r="N58" s="477">
        <v>140</v>
      </c>
      <c r="O58" s="478" t="s">
        <v>797</v>
      </c>
      <c r="P58" s="470">
        <v>0</v>
      </c>
      <c r="Q58" s="471" t="s">
        <v>798</v>
      </c>
      <c r="X58" s="472" t="s">
        <v>97</v>
      </c>
      <c r="Y58" s="473">
        <v>20.5</v>
      </c>
      <c r="Z58" s="474">
        <v>64721016.02</v>
      </c>
      <c r="AA58" s="475">
        <f t="shared" si="9"/>
        <v>315712273.26829267</v>
      </c>
      <c r="AB58" s="474">
        <v>5918813.012909946</v>
      </c>
      <c r="AE58" s="488">
        <v>140</v>
      </c>
      <c r="AF58">
        <f t="shared" si="10"/>
        <v>0</v>
      </c>
      <c r="AH58" s="476">
        <v>64614.882571069174</v>
      </c>
      <c r="AI58">
        <f t="shared" si="11"/>
        <v>64614882.57106917</v>
      </c>
      <c r="AJ58" s="489">
        <v>5951.606992</v>
      </c>
      <c r="AK58">
        <f t="shared" si="12"/>
        <v>5951606.992</v>
      </c>
    </row>
    <row r="59" spans="1:37" ht="15" customHeight="1">
      <c r="A59" s="452" t="s">
        <v>799</v>
      </c>
      <c r="B59" s="466">
        <v>6820</v>
      </c>
      <c r="C59" s="467">
        <f t="shared" si="0"/>
        <v>19135742.309662648</v>
      </c>
      <c r="D59" s="467">
        <f t="shared" si="1"/>
        <v>1421713.90699507</v>
      </c>
      <c r="E59" s="467">
        <v>0</v>
      </c>
      <c r="F59" s="467">
        <f t="shared" si="2"/>
        <v>20557456.216657717</v>
      </c>
      <c r="G59" s="468">
        <f t="shared" si="3"/>
        <v>3014.2897678383747</v>
      </c>
      <c r="H59" s="459">
        <f t="shared" si="4"/>
        <v>771.0402321616252</v>
      </c>
      <c r="I59" s="379">
        <f t="shared" si="5"/>
      </c>
      <c r="J59" s="379">
        <f t="shared" si="6"/>
      </c>
      <c r="K59" s="460">
        <f t="shared" si="7"/>
        <v>616.8321857293002</v>
      </c>
      <c r="L59" s="487">
        <f t="shared" si="8"/>
        <v>4206795.506673828</v>
      </c>
      <c r="M59" s="487"/>
      <c r="N59" s="477">
        <v>142</v>
      </c>
      <c r="O59" s="388" t="s">
        <v>799</v>
      </c>
      <c r="P59" s="470">
        <v>0</v>
      </c>
      <c r="Q59" s="471" t="s">
        <v>767</v>
      </c>
      <c r="X59" s="472" t="s">
        <v>98</v>
      </c>
      <c r="Y59" s="473">
        <v>20.75</v>
      </c>
      <c r="Z59" s="474">
        <v>20003357.83</v>
      </c>
      <c r="AA59" s="475">
        <f t="shared" si="9"/>
        <v>96401724.4819277</v>
      </c>
      <c r="AB59" s="474">
        <v>1421713.90699507</v>
      </c>
      <c r="AE59" s="488">
        <v>142</v>
      </c>
      <c r="AF59">
        <f t="shared" si="10"/>
        <v>0</v>
      </c>
      <c r="AH59" s="476">
        <v>19836.725189733195</v>
      </c>
      <c r="AI59">
        <f t="shared" si="11"/>
        <v>19836725.189733196</v>
      </c>
      <c r="AJ59" s="489">
        <v>1429.591104</v>
      </c>
      <c r="AK59">
        <f t="shared" si="12"/>
        <v>1429591.104</v>
      </c>
    </row>
    <row r="60" spans="1:37" ht="15" customHeight="1">
      <c r="A60" s="452" t="s">
        <v>800</v>
      </c>
      <c r="B60" s="466">
        <v>7119</v>
      </c>
      <c r="C60" s="467">
        <f t="shared" si="0"/>
        <v>18736455.204423532</v>
      </c>
      <c r="D60" s="467">
        <f t="shared" si="1"/>
        <v>1683115.3332559464</v>
      </c>
      <c r="E60" s="467">
        <v>0</v>
      </c>
      <c r="F60" s="467">
        <f t="shared" si="2"/>
        <v>20419570.53767948</v>
      </c>
      <c r="G60" s="468">
        <f t="shared" si="3"/>
        <v>2868.320064289855</v>
      </c>
      <c r="H60" s="459">
        <f t="shared" si="4"/>
        <v>917.0099357101449</v>
      </c>
      <c r="I60" s="379">
        <f t="shared" si="5"/>
      </c>
      <c r="J60" s="379">
        <f t="shared" si="6"/>
      </c>
      <c r="K60" s="460">
        <f t="shared" si="7"/>
        <v>733.607948568116</v>
      </c>
      <c r="L60" s="487">
        <f t="shared" si="8"/>
        <v>5222554.985856418</v>
      </c>
      <c r="M60" s="487"/>
      <c r="N60" s="477">
        <v>143</v>
      </c>
      <c r="O60" s="478" t="s">
        <v>801</v>
      </c>
      <c r="P60" s="470">
        <v>0</v>
      </c>
      <c r="Q60" s="471" t="s">
        <v>744</v>
      </c>
      <c r="X60" s="472" t="s">
        <v>99</v>
      </c>
      <c r="Y60" s="473">
        <v>21.25</v>
      </c>
      <c r="Z60" s="474">
        <v>20057918.04</v>
      </c>
      <c r="AA60" s="475">
        <f t="shared" si="9"/>
        <v>94390202.54117647</v>
      </c>
      <c r="AB60" s="474">
        <v>1683115.3332559464</v>
      </c>
      <c r="AE60" s="488">
        <v>143</v>
      </c>
      <c r="AF60">
        <f t="shared" si="10"/>
        <v>0</v>
      </c>
      <c r="AH60" s="476">
        <v>20176.023043813217</v>
      </c>
      <c r="AI60">
        <f t="shared" si="11"/>
        <v>20176023.043813217</v>
      </c>
      <c r="AJ60" s="489">
        <v>1692.4408600000002</v>
      </c>
      <c r="AK60">
        <f t="shared" si="12"/>
        <v>1692440.86</v>
      </c>
    </row>
    <row r="61" spans="1:37" ht="15" customHeight="1">
      <c r="A61" s="452" t="s">
        <v>802</v>
      </c>
      <c r="B61" s="466">
        <v>12205</v>
      </c>
      <c r="C61" s="467">
        <f t="shared" si="0"/>
        <v>34524596.256457835</v>
      </c>
      <c r="D61" s="467">
        <f t="shared" si="1"/>
        <v>1576611.0465723565</v>
      </c>
      <c r="E61" s="467">
        <v>0</v>
      </c>
      <c r="F61" s="467">
        <f t="shared" si="2"/>
        <v>36101207.30303019</v>
      </c>
      <c r="G61" s="468">
        <f t="shared" si="3"/>
        <v>2957.9030973396307</v>
      </c>
      <c r="H61" s="459">
        <f t="shared" si="4"/>
        <v>827.4269026603693</v>
      </c>
      <c r="I61" s="379">
        <f t="shared" si="5"/>
      </c>
      <c r="J61" s="379">
        <f t="shared" si="6"/>
      </c>
      <c r="K61" s="460">
        <f t="shared" si="7"/>
        <v>661.9415221282954</v>
      </c>
      <c r="L61" s="487">
        <f t="shared" si="8"/>
        <v>8078996.277575846</v>
      </c>
      <c r="M61" s="487"/>
      <c r="N61" s="477">
        <v>145</v>
      </c>
      <c r="O61" s="388" t="s">
        <v>802</v>
      </c>
      <c r="P61" s="470">
        <v>0</v>
      </c>
      <c r="Q61" s="471" t="s">
        <v>734</v>
      </c>
      <c r="X61" s="472" t="s">
        <v>100</v>
      </c>
      <c r="Y61" s="473">
        <v>20.75</v>
      </c>
      <c r="Z61" s="474">
        <v>36089943.19</v>
      </c>
      <c r="AA61" s="475">
        <f t="shared" si="9"/>
        <v>173927437.06024095</v>
      </c>
      <c r="AB61" s="474">
        <v>1576611.0465723565</v>
      </c>
      <c r="AE61" s="488">
        <v>145</v>
      </c>
      <c r="AF61">
        <f t="shared" si="10"/>
        <v>0</v>
      </c>
      <c r="AH61" s="476">
        <v>35891.17660292576</v>
      </c>
      <c r="AI61">
        <f t="shared" si="11"/>
        <v>35891176.60292576</v>
      </c>
      <c r="AJ61" s="489">
        <v>1585.3464720000002</v>
      </c>
      <c r="AK61">
        <f t="shared" si="12"/>
        <v>1585346.472</v>
      </c>
    </row>
    <row r="62" spans="1:37" ht="15" customHeight="1">
      <c r="A62" s="452" t="s">
        <v>803</v>
      </c>
      <c r="B62" s="466">
        <v>5128</v>
      </c>
      <c r="C62" s="467">
        <f t="shared" si="0"/>
        <v>12352879.654168675</v>
      </c>
      <c r="D62" s="467">
        <f t="shared" si="1"/>
        <v>3109593.459454127</v>
      </c>
      <c r="E62" s="467">
        <v>0</v>
      </c>
      <c r="F62" s="467">
        <f t="shared" si="2"/>
        <v>15462473.113622801</v>
      </c>
      <c r="G62" s="468">
        <f t="shared" si="3"/>
        <v>3015.3028692712173</v>
      </c>
      <c r="H62" s="459">
        <f t="shared" si="4"/>
        <v>770.0271307287826</v>
      </c>
      <c r="I62" s="379">
        <f t="shared" si="5"/>
      </c>
      <c r="J62" s="379">
        <f t="shared" si="6"/>
      </c>
      <c r="K62" s="460">
        <f t="shared" si="7"/>
        <v>616.0217045830261</v>
      </c>
      <c r="L62" s="487">
        <f t="shared" si="8"/>
        <v>3158959.301101758</v>
      </c>
      <c r="M62" s="487"/>
      <c r="N62" s="477">
        <v>146</v>
      </c>
      <c r="O62" s="478" t="s">
        <v>804</v>
      </c>
      <c r="P62" s="470">
        <v>0</v>
      </c>
      <c r="Q62" s="471" t="s">
        <v>805</v>
      </c>
      <c r="X62" s="472" t="s">
        <v>101</v>
      </c>
      <c r="Y62" s="473">
        <v>20.75</v>
      </c>
      <c r="Z62" s="474">
        <v>12912959.84</v>
      </c>
      <c r="AA62" s="475">
        <f t="shared" si="9"/>
        <v>62231131.759036146</v>
      </c>
      <c r="AB62" s="474">
        <v>3109593.459454127</v>
      </c>
      <c r="AE62" s="488">
        <v>146</v>
      </c>
      <c r="AF62">
        <f t="shared" si="10"/>
        <v>0</v>
      </c>
      <c r="AH62" s="476">
        <v>12915.59605667418</v>
      </c>
      <c r="AI62">
        <f t="shared" si="11"/>
        <v>12915596.05667418</v>
      </c>
      <c r="AJ62" s="489">
        <v>3126.82258</v>
      </c>
      <c r="AK62">
        <f t="shared" si="12"/>
        <v>3126822.58</v>
      </c>
    </row>
    <row r="63" spans="1:37" ht="15" customHeight="1">
      <c r="A63" s="452" t="s">
        <v>806</v>
      </c>
      <c r="B63" s="466">
        <v>6869</v>
      </c>
      <c r="C63" s="467">
        <f t="shared" si="0"/>
        <v>21244367.063289475</v>
      </c>
      <c r="D63" s="467">
        <f t="shared" si="1"/>
        <v>2501034.848240481</v>
      </c>
      <c r="E63" s="467">
        <v>0</v>
      </c>
      <c r="F63" s="467">
        <f t="shared" si="2"/>
        <v>23745401.911529955</v>
      </c>
      <c r="G63" s="468">
        <f t="shared" si="3"/>
        <v>3456.8935669718962</v>
      </c>
      <c r="H63" s="459">
        <f t="shared" si="4"/>
        <v>328.4364330281037</v>
      </c>
      <c r="I63" s="379">
        <f t="shared" si="5"/>
      </c>
      <c r="J63" s="379">
        <f t="shared" si="6"/>
      </c>
      <c r="K63" s="460">
        <f t="shared" si="7"/>
        <v>262.74914642248297</v>
      </c>
      <c r="L63" s="487">
        <f t="shared" si="8"/>
        <v>1804823.8867760354</v>
      </c>
      <c r="M63" s="487"/>
      <c r="N63" s="477">
        <v>148</v>
      </c>
      <c r="O63" s="478" t="s">
        <v>807</v>
      </c>
      <c r="P63" s="470">
        <v>0</v>
      </c>
      <c r="Q63" s="471" t="s">
        <v>749</v>
      </c>
      <c r="X63" s="472" t="s">
        <v>103</v>
      </c>
      <c r="Y63" s="473">
        <v>19</v>
      </c>
      <c r="Z63" s="474">
        <v>20334658.65</v>
      </c>
      <c r="AA63" s="475">
        <f t="shared" si="9"/>
        <v>107024519.2105263</v>
      </c>
      <c r="AB63" s="474">
        <v>2501034.848240481</v>
      </c>
      <c r="AE63" s="488">
        <v>148</v>
      </c>
      <c r="AF63">
        <f t="shared" si="10"/>
        <v>0</v>
      </c>
      <c r="AH63" s="476">
        <v>20657.194086571963</v>
      </c>
      <c r="AI63">
        <f t="shared" si="11"/>
        <v>20657194.08657196</v>
      </c>
      <c r="AJ63" s="489">
        <v>2514.892168</v>
      </c>
      <c r="AK63">
        <f t="shared" si="12"/>
        <v>2514892.168</v>
      </c>
    </row>
    <row r="64" spans="1:37" ht="15" customHeight="1">
      <c r="A64" s="452" t="s">
        <v>808</v>
      </c>
      <c r="B64" s="466">
        <v>5481</v>
      </c>
      <c r="C64" s="467">
        <f t="shared" si="0"/>
        <v>20887442.858530123</v>
      </c>
      <c r="D64" s="467">
        <f t="shared" si="1"/>
        <v>1089323.3336458202</v>
      </c>
      <c r="E64" s="467">
        <v>0</v>
      </c>
      <c r="F64" s="467">
        <f t="shared" si="2"/>
        <v>21976766.192175943</v>
      </c>
      <c r="G64" s="468">
        <f t="shared" si="3"/>
        <v>4009.627110413418</v>
      </c>
      <c r="H64" s="459">
        <f t="shared" si="4"/>
        <v>-224.29711041341807</v>
      </c>
      <c r="I64" s="379">
        <f t="shared" si="5"/>
        <v>5.41297155875668</v>
      </c>
      <c r="J64" s="379">
        <f t="shared" si="6"/>
        <v>35.41297155875668</v>
      </c>
      <c r="K64" s="460">
        <f t="shared" si="7"/>
        <v>-79.43027191781681</v>
      </c>
      <c r="L64" s="487">
        <f t="shared" si="8"/>
        <v>-435357.32038155396</v>
      </c>
      <c r="M64" s="487"/>
      <c r="N64" s="477">
        <v>149</v>
      </c>
      <c r="O64" s="478" t="s">
        <v>809</v>
      </c>
      <c r="P64" s="470">
        <v>3</v>
      </c>
      <c r="Q64" s="471" t="s">
        <v>741</v>
      </c>
      <c r="X64" s="472" t="s">
        <v>104</v>
      </c>
      <c r="Y64" s="473">
        <v>20.75</v>
      </c>
      <c r="Z64" s="474">
        <v>21834480.57</v>
      </c>
      <c r="AA64" s="475">
        <f t="shared" si="9"/>
        <v>105226412.38554217</v>
      </c>
      <c r="AB64" s="474">
        <v>1089323.3336458202</v>
      </c>
      <c r="AE64" s="488">
        <v>149</v>
      </c>
      <c r="AF64">
        <f t="shared" si="10"/>
        <v>0</v>
      </c>
      <c r="AH64" s="476">
        <v>21813.983316944887</v>
      </c>
      <c r="AI64">
        <f t="shared" si="11"/>
        <v>21813983.316944886</v>
      </c>
      <c r="AJ64" s="489">
        <v>1095.3588760000002</v>
      </c>
      <c r="AK64">
        <f t="shared" si="12"/>
        <v>1095358.8760000002</v>
      </c>
    </row>
    <row r="65" spans="1:37" ht="15" customHeight="1">
      <c r="A65" s="452" t="s">
        <v>810</v>
      </c>
      <c r="B65" s="466">
        <v>2032</v>
      </c>
      <c r="C65" s="467">
        <f t="shared" si="0"/>
        <v>4615874.202159091</v>
      </c>
      <c r="D65" s="467">
        <f t="shared" si="1"/>
        <v>621712.283524126</v>
      </c>
      <c r="E65" s="467">
        <v>0</v>
      </c>
      <c r="F65" s="467">
        <f t="shared" si="2"/>
        <v>5237586.485683217</v>
      </c>
      <c r="G65" s="468">
        <f t="shared" si="3"/>
        <v>2577.552404371662</v>
      </c>
      <c r="H65" s="459">
        <f t="shared" si="4"/>
        <v>1207.777595628338</v>
      </c>
      <c r="I65" s="379">
        <f t="shared" si="5"/>
      </c>
      <c r="J65" s="379">
        <f t="shared" si="6"/>
      </c>
      <c r="K65" s="460">
        <f t="shared" si="7"/>
        <v>966.2220765026705</v>
      </c>
      <c r="L65" s="487">
        <f t="shared" si="8"/>
        <v>1963363.2594534263</v>
      </c>
      <c r="M65" s="487"/>
      <c r="N65" s="477">
        <v>151</v>
      </c>
      <c r="O65" s="478" t="s">
        <v>811</v>
      </c>
      <c r="P65" s="470">
        <v>0</v>
      </c>
      <c r="Q65" s="471" t="s">
        <v>734</v>
      </c>
      <c r="X65" s="472" t="s">
        <v>105</v>
      </c>
      <c r="Y65" s="473">
        <v>22</v>
      </c>
      <c r="Z65" s="474">
        <v>5115830.35</v>
      </c>
      <c r="AA65" s="475">
        <f t="shared" si="9"/>
        <v>23253774.318181816</v>
      </c>
      <c r="AB65" s="474">
        <v>621712.283524126</v>
      </c>
      <c r="AE65" s="488">
        <v>151</v>
      </c>
      <c r="AF65">
        <f t="shared" si="10"/>
        <v>0</v>
      </c>
      <c r="AH65" s="476">
        <v>5084.0214726631075</v>
      </c>
      <c r="AI65">
        <f t="shared" si="11"/>
        <v>5084021.472663107</v>
      </c>
      <c r="AJ65" s="489">
        <v>625.156964</v>
      </c>
      <c r="AK65">
        <f t="shared" si="12"/>
        <v>625156.964</v>
      </c>
    </row>
    <row r="66" spans="1:37" ht="15" customHeight="1">
      <c r="A66" s="452" t="s">
        <v>812</v>
      </c>
      <c r="B66" s="466">
        <v>4673</v>
      </c>
      <c r="C66" s="467">
        <f t="shared" si="0"/>
        <v>12569019.723023258</v>
      </c>
      <c r="D66" s="467">
        <f t="shared" si="1"/>
        <v>573540.23523285</v>
      </c>
      <c r="E66" s="467">
        <v>0</v>
      </c>
      <c r="F66" s="467">
        <f t="shared" si="2"/>
        <v>13142559.958256109</v>
      </c>
      <c r="G66" s="468">
        <f t="shared" si="3"/>
        <v>2812.4459572557475</v>
      </c>
      <c r="H66" s="459">
        <f t="shared" si="4"/>
        <v>972.8840427442524</v>
      </c>
      <c r="I66" s="379">
        <f t="shared" si="5"/>
      </c>
      <c r="J66" s="379">
        <f t="shared" si="6"/>
      </c>
      <c r="K66" s="460">
        <f t="shared" si="7"/>
        <v>778.307234195402</v>
      </c>
      <c r="L66" s="487">
        <f t="shared" si="8"/>
        <v>3637029.705395113</v>
      </c>
      <c r="M66" s="487"/>
      <c r="N66" s="477">
        <v>152</v>
      </c>
      <c r="O66" s="478" t="s">
        <v>813</v>
      </c>
      <c r="P66" s="470">
        <v>0</v>
      </c>
      <c r="Q66" s="471" t="s">
        <v>814</v>
      </c>
      <c r="X66" s="472" t="s">
        <v>106</v>
      </c>
      <c r="Y66" s="473">
        <v>21.5</v>
      </c>
      <c r="Z66" s="474">
        <v>13613799.7</v>
      </c>
      <c r="AA66" s="475">
        <f t="shared" si="9"/>
        <v>63319998.60465116</v>
      </c>
      <c r="AB66" s="474">
        <v>573540.23523285</v>
      </c>
      <c r="AE66" s="488">
        <v>152</v>
      </c>
      <c r="AF66">
        <f t="shared" si="10"/>
        <v>0</v>
      </c>
      <c r="AH66" s="476">
        <v>13412.277306283002</v>
      </c>
      <c r="AI66">
        <f t="shared" si="11"/>
        <v>13412277.306283003</v>
      </c>
      <c r="AJ66" s="489">
        <v>576.7180119999999</v>
      </c>
      <c r="AK66">
        <f t="shared" si="12"/>
        <v>576718.012</v>
      </c>
    </row>
    <row r="67" spans="1:37" ht="15" customHeight="1">
      <c r="A67" s="452" t="s">
        <v>815</v>
      </c>
      <c r="B67" s="466">
        <v>27269</v>
      </c>
      <c r="C67" s="467">
        <f t="shared" si="0"/>
        <v>90102239.841075</v>
      </c>
      <c r="D67" s="467">
        <f t="shared" si="1"/>
        <v>3766350.293933087</v>
      </c>
      <c r="E67" s="467">
        <v>0</v>
      </c>
      <c r="F67" s="467">
        <f t="shared" si="2"/>
        <v>93868590.1350081</v>
      </c>
      <c r="G67" s="468">
        <f t="shared" si="3"/>
        <v>3442.3187551801716</v>
      </c>
      <c r="H67" s="459">
        <f t="shared" si="4"/>
        <v>343.01124481982833</v>
      </c>
      <c r="I67" s="379">
        <f t="shared" si="5"/>
      </c>
      <c r="J67" s="379">
        <f t="shared" si="6"/>
      </c>
      <c r="K67" s="460">
        <f t="shared" si="7"/>
        <v>274.40899585586266</v>
      </c>
      <c r="L67" s="487">
        <f t="shared" si="8"/>
        <v>7482858.907993519</v>
      </c>
      <c r="M67" s="487"/>
      <c r="N67" s="477">
        <v>153</v>
      </c>
      <c r="O67" s="388" t="s">
        <v>815</v>
      </c>
      <c r="P67" s="470">
        <v>0</v>
      </c>
      <c r="Q67" s="471" t="s">
        <v>816</v>
      </c>
      <c r="X67" s="472" t="s">
        <v>102</v>
      </c>
      <c r="Y67" s="473">
        <v>20</v>
      </c>
      <c r="Z67" s="474">
        <v>90783113.19</v>
      </c>
      <c r="AA67" s="475">
        <f t="shared" si="9"/>
        <v>453915565.95</v>
      </c>
      <c r="AB67" s="474">
        <v>3766350.293933087</v>
      </c>
      <c r="AE67" s="488">
        <v>153</v>
      </c>
      <c r="AF67">
        <f t="shared" si="10"/>
        <v>0</v>
      </c>
      <c r="AH67" s="476">
        <v>91200.83157564189</v>
      </c>
      <c r="AI67">
        <f t="shared" si="11"/>
        <v>91200831.57564189</v>
      </c>
      <c r="AJ67" s="489">
        <v>3787.218264</v>
      </c>
      <c r="AK67">
        <f t="shared" si="12"/>
        <v>3787218.264</v>
      </c>
    </row>
    <row r="68" spans="1:37" ht="15" customHeight="1">
      <c r="A68" s="452" t="s">
        <v>817</v>
      </c>
      <c r="B68" s="466">
        <v>16607</v>
      </c>
      <c r="C68" s="467">
        <f t="shared" si="0"/>
        <v>54317121.49583334</v>
      </c>
      <c r="D68" s="467">
        <f t="shared" si="1"/>
        <v>2083783.1394191356</v>
      </c>
      <c r="E68" s="467">
        <v>0</v>
      </c>
      <c r="F68" s="467">
        <f t="shared" si="2"/>
        <v>56400904.635252476</v>
      </c>
      <c r="G68" s="468">
        <f t="shared" si="3"/>
        <v>3396.2127196515007</v>
      </c>
      <c r="H68" s="459">
        <f t="shared" si="4"/>
        <v>389.1172803484992</v>
      </c>
      <c r="I68" s="379">
        <f t="shared" si="5"/>
      </c>
      <c r="J68" s="379">
        <f t="shared" si="6"/>
      </c>
      <c r="K68" s="460">
        <f t="shared" si="7"/>
        <v>311.2938242787994</v>
      </c>
      <c r="L68" s="487">
        <f t="shared" si="8"/>
        <v>5169656.539798021</v>
      </c>
      <c r="M68" s="487"/>
      <c r="N68" s="477">
        <v>165</v>
      </c>
      <c r="O68" s="388" t="s">
        <v>817</v>
      </c>
      <c r="P68" s="470">
        <v>0</v>
      </c>
      <c r="Q68" s="471" t="s">
        <v>758</v>
      </c>
      <c r="X68" s="472" t="s">
        <v>107</v>
      </c>
      <c r="Y68" s="473">
        <v>21</v>
      </c>
      <c r="Z68" s="474">
        <v>57463957.25</v>
      </c>
      <c r="AA68" s="475">
        <f t="shared" si="9"/>
        <v>273637891.6666667</v>
      </c>
      <c r="AB68" s="474">
        <v>2083783.1394191356</v>
      </c>
      <c r="AE68" s="488">
        <v>165</v>
      </c>
      <c r="AF68">
        <f t="shared" si="10"/>
        <v>0</v>
      </c>
      <c r="AH68" s="476">
        <v>57711.14526215031</v>
      </c>
      <c r="AI68">
        <f t="shared" si="11"/>
        <v>57711145.26215031</v>
      </c>
      <c r="AJ68" s="489">
        <v>2095.32862</v>
      </c>
      <c r="AK68">
        <f t="shared" si="12"/>
        <v>2095328.6199999999</v>
      </c>
    </row>
    <row r="69" spans="1:37" ht="15" customHeight="1">
      <c r="A69" s="465" t="s">
        <v>818</v>
      </c>
      <c r="B69" s="466">
        <v>76067</v>
      </c>
      <c r="C69" s="467">
        <f t="shared" si="0"/>
        <v>215105829.50326827</v>
      </c>
      <c r="D69" s="467">
        <f t="shared" si="1"/>
        <v>21412528.93720489</v>
      </c>
      <c r="E69" s="467">
        <v>0</v>
      </c>
      <c r="F69" s="467">
        <f t="shared" si="2"/>
        <v>236518358.44047317</v>
      </c>
      <c r="G69" s="468">
        <f t="shared" si="3"/>
        <v>3109.342532773386</v>
      </c>
      <c r="H69" s="459">
        <f t="shared" si="4"/>
        <v>675.9874672266137</v>
      </c>
      <c r="I69" s="379">
        <f t="shared" si="5"/>
      </c>
      <c r="J69" s="379">
        <f t="shared" si="6"/>
      </c>
      <c r="K69" s="460">
        <f t="shared" si="7"/>
        <v>540.789973781291</v>
      </c>
      <c r="L69" s="487">
        <f t="shared" si="8"/>
        <v>41136270.93562146</v>
      </c>
      <c r="M69" s="487"/>
      <c r="N69" s="469">
        <v>167</v>
      </c>
      <c r="O69" s="388" t="s">
        <v>818</v>
      </c>
      <c r="P69" s="470">
        <v>0</v>
      </c>
      <c r="Q69" s="471" t="s">
        <v>805</v>
      </c>
      <c r="X69" s="472" t="s">
        <v>108</v>
      </c>
      <c r="Y69" s="473">
        <v>20.5</v>
      </c>
      <c r="Z69" s="474">
        <v>222149597.22</v>
      </c>
      <c r="AA69" s="475">
        <f t="shared" si="9"/>
        <v>1083656571.804878</v>
      </c>
      <c r="AB69" s="474">
        <v>21412528.93720489</v>
      </c>
      <c r="AE69" s="488">
        <v>167</v>
      </c>
      <c r="AF69">
        <f t="shared" si="10"/>
        <v>0</v>
      </c>
      <c r="AH69" s="476">
        <v>222736.69727979298</v>
      </c>
      <c r="AI69">
        <f t="shared" si="11"/>
        <v>222736697.27979296</v>
      </c>
      <c r="AJ69" s="489">
        <v>21531.167932</v>
      </c>
      <c r="AK69">
        <f t="shared" si="12"/>
        <v>21531167.932</v>
      </c>
    </row>
    <row r="70" spans="1:37" ht="15" customHeight="1">
      <c r="A70" s="452" t="s">
        <v>819</v>
      </c>
      <c r="B70" s="466">
        <v>5286</v>
      </c>
      <c r="C70" s="467">
        <f t="shared" si="0"/>
        <v>16025087.890894117</v>
      </c>
      <c r="D70" s="467">
        <f t="shared" si="1"/>
        <v>1023401.8484952976</v>
      </c>
      <c r="E70" s="467">
        <v>0</v>
      </c>
      <c r="F70" s="467">
        <f t="shared" si="2"/>
        <v>17048489.739389416</v>
      </c>
      <c r="G70" s="468">
        <f t="shared" si="3"/>
        <v>3225.215614716121</v>
      </c>
      <c r="H70" s="459">
        <f t="shared" si="4"/>
        <v>560.1143852838791</v>
      </c>
      <c r="I70" s="379">
        <f t="shared" si="5"/>
      </c>
      <c r="J70" s="379">
        <f t="shared" si="6"/>
      </c>
      <c r="K70" s="460">
        <f t="shared" si="7"/>
        <v>448.0915082271033</v>
      </c>
      <c r="L70" s="487">
        <f t="shared" si="8"/>
        <v>2368611.7124884683</v>
      </c>
      <c r="M70" s="487"/>
      <c r="N70" s="477">
        <v>169</v>
      </c>
      <c r="O70" s="478" t="s">
        <v>820</v>
      </c>
      <c r="P70" s="470">
        <v>0</v>
      </c>
      <c r="Q70" s="471" t="s">
        <v>758</v>
      </c>
      <c r="X70" s="472" t="s">
        <v>109</v>
      </c>
      <c r="Y70" s="473">
        <v>21.25</v>
      </c>
      <c r="Z70" s="474">
        <v>17155320.79</v>
      </c>
      <c r="AA70" s="475">
        <f t="shared" si="9"/>
        <v>80730921.36470588</v>
      </c>
      <c r="AB70" s="474">
        <v>1023401.8484952976</v>
      </c>
      <c r="AE70" s="488">
        <v>169</v>
      </c>
      <c r="AF70">
        <f t="shared" si="10"/>
        <v>0</v>
      </c>
      <c r="AH70" s="476">
        <v>17266.202271463877</v>
      </c>
      <c r="AI70">
        <f t="shared" si="11"/>
        <v>17266202.27146388</v>
      </c>
      <c r="AJ70" s="489">
        <v>1029.072144</v>
      </c>
      <c r="AK70">
        <f t="shared" si="12"/>
        <v>1029072.144</v>
      </c>
    </row>
    <row r="71" spans="1:37" ht="15" customHeight="1">
      <c r="A71" s="452" t="s">
        <v>821</v>
      </c>
      <c r="B71" s="466">
        <v>4917</v>
      </c>
      <c r="C71" s="467">
        <f t="shared" si="0"/>
        <v>13568497.59546988</v>
      </c>
      <c r="D71" s="467">
        <f t="shared" si="1"/>
        <v>1372859.6267019045</v>
      </c>
      <c r="E71" s="467">
        <v>0</v>
      </c>
      <c r="F71" s="467">
        <f t="shared" si="2"/>
        <v>14941357.222171785</v>
      </c>
      <c r="G71" s="468">
        <f t="shared" si="3"/>
        <v>3038.7140984689413</v>
      </c>
      <c r="H71" s="459">
        <f t="shared" si="4"/>
        <v>746.6159015310586</v>
      </c>
      <c r="I71" s="379">
        <f t="shared" si="5"/>
      </c>
      <c r="J71" s="379">
        <f t="shared" si="6"/>
      </c>
      <c r="K71" s="460">
        <f t="shared" si="7"/>
        <v>597.2927212248469</v>
      </c>
      <c r="L71" s="487">
        <f t="shared" si="8"/>
        <v>2936888.310262572</v>
      </c>
      <c r="M71" s="487"/>
      <c r="N71" s="477">
        <v>171</v>
      </c>
      <c r="O71" s="478" t="s">
        <v>822</v>
      </c>
      <c r="P71" s="470">
        <v>0</v>
      </c>
      <c r="Q71" s="471" t="s">
        <v>746</v>
      </c>
      <c r="X71" s="472" t="s">
        <v>110</v>
      </c>
      <c r="Y71" s="473">
        <v>20.75</v>
      </c>
      <c r="Z71" s="474">
        <v>14183693.96</v>
      </c>
      <c r="AA71" s="475">
        <f t="shared" si="9"/>
        <v>68355151.61445783</v>
      </c>
      <c r="AB71" s="474">
        <v>1372859.6267019045</v>
      </c>
      <c r="AE71" s="488">
        <v>171</v>
      </c>
      <c r="AF71">
        <f t="shared" si="10"/>
        <v>0</v>
      </c>
      <c r="AH71" s="476">
        <v>14307.905753529245</v>
      </c>
      <c r="AI71">
        <f t="shared" si="11"/>
        <v>14307905.753529245</v>
      </c>
      <c r="AJ71" s="489">
        <v>1380.46614</v>
      </c>
      <c r="AK71">
        <f t="shared" si="12"/>
        <v>1380466.14</v>
      </c>
    </row>
    <row r="72" spans="1:37" ht="15" customHeight="1">
      <c r="A72" s="452" t="s">
        <v>823</v>
      </c>
      <c r="B72" s="466">
        <v>4567</v>
      </c>
      <c r="C72" s="467">
        <f t="shared" si="0"/>
        <v>11415709.563642858</v>
      </c>
      <c r="D72" s="467">
        <f t="shared" si="1"/>
        <v>1492773.1656210453</v>
      </c>
      <c r="E72" s="467">
        <v>0</v>
      </c>
      <c r="F72" s="467">
        <f t="shared" si="2"/>
        <v>12908482.729263904</v>
      </c>
      <c r="G72" s="468">
        <f t="shared" si="3"/>
        <v>2826.468738617014</v>
      </c>
      <c r="H72" s="459">
        <f t="shared" si="4"/>
        <v>958.861261382986</v>
      </c>
      <c r="I72" s="379">
        <f t="shared" si="5"/>
      </c>
      <c r="J72" s="379">
        <f t="shared" si="6"/>
      </c>
      <c r="K72" s="460">
        <f t="shared" si="7"/>
        <v>767.0890091063889</v>
      </c>
      <c r="L72" s="487">
        <f t="shared" si="8"/>
        <v>3503295.504588878</v>
      </c>
      <c r="M72" s="487"/>
      <c r="N72" s="477">
        <v>172</v>
      </c>
      <c r="O72" s="388" t="s">
        <v>823</v>
      </c>
      <c r="P72" s="470">
        <v>0</v>
      </c>
      <c r="Q72" s="471" t="s">
        <v>769</v>
      </c>
      <c r="X72" s="472" t="s">
        <v>111</v>
      </c>
      <c r="Y72" s="473">
        <v>21</v>
      </c>
      <c r="Z72" s="474">
        <v>12077073.09</v>
      </c>
      <c r="AA72" s="475">
        <f t="shared" si="9"/>
        <v>57509871.85714286</v>
      </c>
      <c r="AB72" s="474">
        <v>1492773.1656210453</v>
      </c>
      <c r="AE72" s="488">
        <v>172</v>
      </c>
      <c r="AF72">
        <f t="shared" si="10"/>
        <v>0</v>
      </c>
      <c r="AH72" s="476">
        <v>11954.024944393059</v>
      </c>
      <c r="AI72">
        <f t="shared" si="11"/>
        <v>11954024.94439306</v>
      </c>
      <c r="AJ72" s="489">
        <v>1501.0440760000001</v>
      </c>
      <c r="AK72">
        <f t="shared" si="12"/>
        <v>1501044.0760000001</v>
      </c>
    </row>
    <row r="73" spans="1:37" ht="15" customHeight="1">
      <c r="A73" s="452" t="s">
        <v>824</v>
      </c>
      <c r="B73" s="466">
        <v>4817</v>
      </c>
      <c r="C73" s="467">
        <f t="shared" si="0"/>
        <v>10616779.540771086</v>
      </c>
      <c r="D73" s="467">
        <f t="shared" si="1"/>
        <v>1637603.9710756298</v>
      </c>
      <c r="E73" s="467">
        <v>0</v>
      </c>
      <c r="F73" s="467">
        <f t="shared" si="2"/>
        <v>12254383.511846716</v>
      </c>
      <c r="G73" s="468">
        <f t="shared" si="3"/>
        <v>2543.986612382544</v>
      </c>
      <c r="H73" s="459">
        <f t="shared" si="4"/>
        <v>1241.3433876174558</v>
      </c>
      <c r="I73" s="379">
        <f t="shared" si="5"/>
      </c>
      <c r="J73" s="379">
        <f t="shared" si="6"/>
      </c>
      <c r="K73" s="460">
        <f t="shared" si="7"/>
        <v>993.0747100939648</v>
      </c>
      <c r="L73" s="487">
        <f t="shared" si="8"/>
        <v>4783640.878522628</v>
      </c>
      <c r="M73" s="487"/>
      <c r="N73" s="477">
        <v>176</v>
      </c>
      <c r="O73" s="388" t="s">
        <v>824</v>
      </c>
      <c r="P73" s="470">
        <v>0</v>
      </c>
      <c r="Q73" s="471" t="s">
        <v>805</v>
      </c>
      <c r="X73" s="472" t="s">
        <v>112</v>
      </c>
      <c r="Y73" s="473">
        <v>20.75</v>
      </c>
      <c r="Z73" s="474">
        <v>11098144.86</v>
      </c>
      <c r="AA73" s="475">
        <f t="shared" si="9"/>
        <v>53485035.469879515</v>
      </c>
      <c r="AB73" s="474">
        <v>1637603.9710756298</v>
      </c>
      <c r="AE73" s="488">
        <v>176</v>
      </c>
      <c r="AF73">
        <f t="shared" si="10"/>
        <v>0</v>
      </c>
      <c r="AH73" s="476">
        <v>11102.865657794811</v>
      </c>
      <c r="AI73">
        <f t="shared" si="11"/>
        <v>11102865.65779481</v>
      </c>
      <c r="AJ73" s="489">
        <v>1646.677336</v>
      </c>
      <c r="AK73">
        <f t="shared" si="12"/>
        <v>1646677.336</v>
      </c>
    </row>
    <row r="74" spans="1:37" ht="15" customHeight="1">
      <c r="A74" s="452" t="s">
        <v>825</v>
      </c>
      <c r="B74" s="466">
        <v>1904</v>
      </c>
      <c r="C74" s="467">
        <f t="shared" si="0"/>
        <v>5229668.069142858</v>
      </c>
      <c r="D74" s="467">
        <f t="shared" si="1"/>
        <v>1025272.0503903105</v>
      </c>
      <c r="E74" s="467">
        <v>0</v>
      </c>
      <c r="F74" s="467">
        <f t="shared" si="2"/>
        <v>6254940.119533168</v>
      </c>
      <c r="G74" s="468">
        <f t="shared" si="3"/>
        <v>3285.1576258052355</v>
      </c>
      <c r="H74" s="459">
        <f t="shared" si="4"/>
        <v>500.1723741947644</v>
      </c>
      <c r="I74" s="379">
        <f t="shared" si="5"/>
      </c>
      <c r="J74" s="379">
        <f t="shared" si="6"/>
      </c>
      <c r="K74" s="460">
        <f t="shared" si="7"/>
        <v>400.13789935581156</v>
      </c>
      <c r="L74" s="487">
        <f t="shared" si="8"/>
        <v>761862.5603734652</v>
      </c>
      <c r="M74" s="487"/>
      <c r="N74" s="477">
        <v>177</v>
      </c>
      <c r="O74" s="388" t="s">
        <v>825</v>
      </c>
      <c r="P74" s="470">
        <v>0</v>
      </c>
      <c r="Q74" s="471" t="s">
        <v>744</v>
      </c>
      <c r="X74" s="472" t="s">
        <v>113</v>
      </c>
      <c r="Y74" s="473">
        <v>21</v>
      </c>
      <c r="Z74" s="474">
        <v>5532646.32</v>
      </c>
      <c r="AA74" s="475">
        <f t="shared" si="9"/>
        <v>26345934.85714286</v>
      </c>
      <c r="AB74" s="474">
        <v>1025272.0503903105</v>
      </c>
      <c r="AE74" s="488">
        <v>177</v>
      </c>
      <c r="AF74">
        <f t="shared" si="10"/>
        <v>0</v>
      </c>
      <c r="AH74" s="476">
        <v>5547.091896155712</v>
      </c>
      <c r="AI74">
        <f t="shared" si="11"/>
        <v>5547091.896155712</v>
      </c>
      <c r="AJ74" s="489">
        <v>1030.952708</v>
      </c>
      <c r="AK74">
        <f t="shared" si="12"/>
        <v>1030952.708</v>
      </c>
    </row>
    <row r="75" spans="1:37" ht="15" customHeight="1">
      <c r="A75" s="452" t="s">
        <v>826</v>
      </c>
      <c r="B75" s="466">
        <v>6334</v>
      </c>
      <c r="C75" s="467">
        <f t="shared" si="0"/>
        <v>15129921.124024099</v>
      </c>
      <c r="D75" s="467">
        <f t="shared" si="1"/>
        <v>2419704.1558738067</v>
      </c>
      <c r="E75" s="467">
        <v>0</v>
      </c>
      <c r="F75" s="467">
        <f t="shared" si="2"/>
        <v>17549625.279897906</v>
      </c>
      <c r="G75" s="468">
        <f t="shared" si="3"/>
        <v>2770.7018124246774</v>
      </c>
      <c r="H75" s="459">
        <f t="shared" si="4"/>
        <v>1014.6281875753225</v>
      </c>
      <c r="I75" s="379">
        <f t="shared" si="5"/>
      </c>
      <c r="J75" s="379">
        <f t="shared" si="6"/>
      </c>
      <c r="K75" s="460">
        <f t="shared" si="7"/>
        <v>811.7025500602581</v>
      </c>
      <c r="L75" s="487">
        <f t="shared" si="8"/>
        <v>5141323.952081675</v>
      </c>
      <c r="M75" s="487"/>
      <c r="N75" s="477">
        <v>178</v>
      </c>
      <c r="O75" s="388" t="s">
        <v>826</v>
      </c>
      <c r="P75" s="470">
        <v>0</v>
      </c>
      <c r="Q75" s="471" t="s">
        <v>746</v>
      </c>
      <c r="X75" s="472" t="s">
        <v>114</v>
      </c>
      <c r="Y75" s="473">
        <v>20.75</v>
      </c>
      <c r="Z75" s="474">
        <v>15815912.51</v>
      </c>
      <c r="AA75" s="475">
        <f t="shared" si="9"/>
        <v>76221265.10843374</v>
      </c>
      <c r="AB75" s="474">
        <v>2419704.1558738067</v>
      </c>
      <c r="AE75" s="488">
        <v>178</v>
      </c>
      <c r="AF75">
        <f t="shared" si="10"/>
        <v>0</v>
      </c>
      <c r="AH75" s="476">
        <v>15899.642063039939</v>
      </c>
      <c r="AI75">
        <f t="shared" si="11"/>
        <v>15899642.063039938</v>
      </c>
      <c r="AJ75" s="489">
        <v>2433.110852</v>
      </c>
      <c r="AK75">
        <f t="shared" si="12"/>
        <v>2433110.852</v>
      </c>
    </row>
    <row r="76" spans="1:37" ht="15" customHeight="1">
      <c r="A76" s="465" t="s">
        <v>827</v>
      </c>
      <c r="B76" s="466">
        <v>140188</v>
      </c>
      <c r="C76" s="467">
        <f t="shared" si="0"/>
        <v>438747893.31565005</v>
      </c>
      <c r="D76" s="467">
        <f t="shared" si="1"/>
        <v>26050812.48772676</v>
      </c>
      <c r="E76" s="467">
        <v>0</v>
      </c>
      <c r="F76" s="467">
        <f t="shared" si="2"/>
        <v>464798705.8033768</v>
      </c>
      <c r="G76" s="468">
        <f t="shared" si="3"/>
        <v>3315.538461233321</v>
      </c>
      <c r="H76" s="459">
        <f t="shared" si="4"/>
        <v>469.79153876667897</v>
      </c>
      <c r="I76" s="379">
        <f t="shared" si="5"/>
      </c>
      <c r="J76" s="379">
        <f t="shared" si="6"/>
      </c>
      <c r="K76" s="460">
        <f t="shared" si="7"/>
        <v>375.8332310133432</v>
      </c>
      <c r="L76" s="487">
        <f t="shared" si="8"/>
        <v>52687308.98929856</v>
      </c>
      <c r="M76" s="487"/>
      <c r="N76" s="469">
        <v>179</v>
      </c>
      <c r="O76" s="388" t="s">
        <v>827</v>
      </c>
      <c r="P76" s="470">
        <v>0</v>
      </c>
      <c r="Q76" s="471" t="s">
        <v>769</v>
      </c>
      <c r="X76" s="472" t="s">
        <v>115</v>
      </c>
      <c r="Y76" s="473">
        <v>20</v>
      </c>
      <c r="Z76" s="474">
        <v>442063368.58</v>
      </c>
      <c r="AA76" s="475">
        <f t="shared" si="9"/>
        <v>2210316842.9</v>
      </c>
      <c r="AB76" s="474">
        <v>26050812.48772676</v>
      </c>
      <c r="AE76" s="488">
        <v>179</v>
      </c>
      <c r="AF76">
        <f t="shared" si="10"/>
        <v>0</v>
      </c>
      <c r="AH76" s="476">
        <v>442957.6496250059</v>
      </c>
      <c r="AI76">
        <f t="shared" si="11"/>
        <v>442957649.6250059</v>
      </c>
      <c r="AJ76" s="489">
        <v>26195.150515999998</v>
      </c>
      <c r="AK76">
        <f t="shared" si="12"/>
        <v>26195150.516</v>
      </c>
    </row>
    <row r="77" spans="1:37" ht="15" customHeight="1">
      <c r="A77" s="452" t="s">
        <v>828</v>
      </c>
      <c r="B77" s="466">
        <v>1867</v>
      </c>
      <c r="C77" s="467">
        <f t="shared" si="0"/>
        <v>4468776.905</v>
      </c>
      <c r="D77" s="467">
        <f t="shared" si="1"/>
        <v>274699.24789266556</v>
      </c>
      <c r="E77" s="467">
        <v>0</v>
      </c>
      <c r="F77" s="467">
        <f t="shared" si="2"/>
        <v>4743476.152892666</v>
      </c>
      <c r="G77" s="468">
        <f t="shared" si="3"/>
        <v>2540.694243648991</v>
      </c>
      <c r="H77" s="459">
        <f t="shared" si="4"/>
        <v>1244.6357563510091</v>
      </c>
      <c r="I77" s="379">
        <f t="shared" si="5"/>
      </c>
      <c r="J77" s="379">
        <f t="shared" si="6"/>
      </c>
      <c r="K77" s="460">
        <f t="shared" si="7"/>
        <v>995.7086050808074</v>
      </c>
      <c r="L77" s="487">
        <f t="shared" si="8"/>
        <v>1858987.9656858675</v>
      </c>
      <c r="M77" s="487"/>
      <c r="N77" s="477">
        <v>181</v>
      </c>
      <c r="O77" s="388" t="s">
        <v>828</v>
      </c>
      <c r="P77" s="470">
        <v>0</v>
      </c>
      <c r="Q77" s="471" t="s">
        <v>753</v>
      </c>
      <c r="X77" s="472" t="s">
        <v>116</v>
      </c>
      <c r="Y77" s="473">
        <v>22.5</v>
      </c>
      <c r="Z77" s="474">
        <v>5065364.25</v>
      </c>
      <c r="AA77" s="475">
        <f t="shared" si="9"/>
        <v>22512730</v>
      </c>
      <c r="AB77" s="474">
        <v>274699.24789266556</v>
      </c>
      <c r="AE77" s="488">
        <v>181</v>
      </c>
      <c r="AF77">
        <f t="shared" si="10"/>
        <v>0</v>
      </c>
      <c r="AH77" s="476">
        <v>4936.376835310782</v>
      </c>
      <c r="AI77">
        <f t="shared" si="11"/>
        <v>4936376.835310781</v>
      </c>
      <c r="AJ77" s="489">
        <v>276.22125600000004</v>
      </c>
      <c r="AK77">
        <f t="shared" si="12"/>
        <v>276221.25600000005</v>
      </c>
    </row>
    <row r="78" spans="1:37" ht="15" customHeight="1">
      <c r="A78" s="452" t="s">
        <v>117</v>
      </c>
      <c r="B78" s="466">
        <v>20877</v>
      </c>
      <c r="C78" s="467">
        <f t="shared" si="0"/>
        <v>65401889.2789762</v>
      </c>
      <c r="D78" s="467">
        <f t="shared" si="1"/>
        <v>8491609.356937023</v>
      </c>
      <c r="E78" s="467">
        <v>0</v>
      </c>
      <c r="F78" s="467">
        <f t="shared" si="2"/>
        <v>73893498.63591322</v>
      </c>
      <c r="G78" s="468">
        <f t="shared" si="3"/>
        <v>3539.469207065825</v>
      </c>
      <c r="H78" s="459">
        <f t="shared" si="4"/>
        <v>245.86079293417515</v>
      </c>
      <c r="I78" s="379">
        <f t="shared" si="5"/>
      </c>
      <c r="J78" s="379">
        <f t="shared" si="6"/>
      </c>
      <c r="K78" s="460">
        <f t="shared" si="7"/>
        <v>196.68863434734013</v>
      </c>
      <c r="L78" s="487">
        <f t="shared" si="8"/>
        <v>4106268.61926942</v>
      </c>
      <c r="M78" s="487"/>
      <c r="N78" s="477">
        <v>182</v>
      </c>
      <c r="O78" s="388" t="s">
        <v>829</v>
      </c>
      <c r="P78" s="470">
        <v>0</v>
      </c>
      <c r="Q78" s="471" t="s">
        <v>769</v>
      </c>
      <c r="X78" s="472" t="s">
        <v>117</v>
      </c>
      <c r="Y78" s="473">
        <v>21</v>
      </c>
      <c r="Z78" s="474">
        <v>69190915.61</v>
      </c>
      <c r="AA78" s="475">
        <f t="shared" si="9"/>
        <v>329480550.52380955</v>
      </c>
      <c r="AB78" s="474">
        <v>8491609.356937023</v>
      </c>
      <c r="AE78" s="488">
        <v>182</v>
      </c>
      <c r="AF78">
        <f t="shared" si="10"/>
        <v>0</v>
      </c>
      <c r="AH78" s="476">
        <v>69686.47510016488</v>
      </c>
      <c r="AI78">
        <f t="shared" si="11"/>
        <v>69686475.10016489</v>
      </c>
      <c r="AJ78" s="489">
        <v>8538.65826</v>
      </c>
      <c r="AK78">
        <f t="shared" si="12"/>
        <v>8538658.26</v>
      </c>
    </row>
    <row r="79" spans="1:37" ht="15" customHeight="1">
      <c r="A79" s="452" t="s">
        <v>830</v>
      </c>
      <c r="B79" s="466">
        <v>42572</v>
      </c>
      <c r="C79" s="467">
        <f t="shared" si="0"/>
        <v>170849827.46045572</v>
      </c>
      <c r="D79" s="467">
        <f t="shared" si="1"/>
        <v>5162882.75411903</v>
      </c>
      <c r="E79" s="467">
        <v>0</v>
      </c>
      <c r="F79" s="467">
        <f t="shared" si="2"/>
        <v>176012710.21457475</v>
      </c>
      <c r="G79" s="468">
        <f t="shared" si="3"/>
        <v>4134.47125374835</v>
      </c>
      <c r="H79" s="459">
        <f t="shared" si="4"/>
        <v>-349.1412537483502</v>
      </c>
      <c r="I79" s="379">
        <f t="shared" si="5"/>
        <v>5.855476578851835</v>
      </c>
      <c r="J79" s="379">
        <f t="shared" si="6"/>
        <v>35.855476578851835</v>
      </c>
      <c r="K79" s="460">
        <f t="shared" si="7"/>
        <v>-125.18626046484937</v>
      </c>
      <c r="L79" s="487">
        <f t="shared" si="8"/>
        <v>-5329429.480509567</v>
      </c>
      <c r="M79" s="487"/>
      <c r="N79" s="477">
        <v>186</v>
      </c>
      <c r="O79" s="478" t="s">
        <v>831</v>
      </c>
      <c r="P79" s="470">
        <v>0</v>
      </c>
      <c r="Q79" s="471" t="s">
        <v>741</v>
      </c>
      <c r="U79" s="53"/>
      <c r="X79" s="472" t="s">
        <v>118</v>
      </c>
      <c r="Y79" s="473">
        <v>19.75</v>
      </c>
      <c r="Z79" s="474">
        <v>169989123.04</v>
      </c>
      <c r="AA79" s="475">
        <f t="shared" si="9"/>
        <v>860704420.4556962</v>
      </c>
      <c r="AB79" s="474">
        <v>5162882.75411903</v>
      </c>
      <c r="AE79" s="488">
        <v>186</v>
      </c>
      <c r="AF79">
        <f t="shared" si="10"/>
        <v>0</v>
      </c>
      <c r="AH79" s="476">
        <v>169666.65495598078</v>
      </c>
      <c r="AI79">
        <f t="shared" si="11"/>
        <v>169666654.95598078</v>
      </c>
      <c r="AJ79" s="489">
        <v>5191.4884</v>
      </c>
      <c r="AK79">
        <f t="shared" si="12"/>
        <v>5191488.4</v>
      </c>
    </row>
    <row r="80" spans="1:37" ht="15" customHeight="1">
      <c r="A80" s="465" t="s">
        <v>832</v>
      </c>
      <c r="B80" s="466">
        <v>33099</v>
      </c>
      <c r="C80" s="467">
        <f t="shared" si="0"/>
        <v>129776181.36901265</v>
      </c>
      <c r="D80" s="467">
        <f t="shared" si="1"/>
        <v>5081145.601798367</v>
      </c>
      <c r="E80" s="467">
        <v>0</v>
      </c>
      <c r="F80" s="467">
        <f t="shared" si="2"/>
        <v>134857326.970811</v>
      </c>
      <c r="G80" s="468">
        <f t="shared" si="3"/>
        <v>4074.362578048008</v>
      </c>
      <c r="H80" s="459">
        <f t="shared" si="4"/>
        <v>-289.03257804800796</v>
      </c>
      <c r="I80" s="379">
        <f t="shared" si="5"/>
        <v>5.666539408568959</v>
      </c>
      <c r="J80" s="379">
        <f t="shared" si="6"/>
        <v>35.66653940856896</v>
      </c>
      <c r="K80" s="460">
        <f t="shared" si="7"/>
        <v>-103.08791835309559</v>
      </c>
      <c r="L80" s="487">
        <f t="shared" si="8"/>
        <v>-3412107.009569111</v>
      </c>
      <c r="M80" s="487"/>
      <c r="N80" s="469">
        <v>202</v>
      </c>
      <c r="O80" s="478" t="s">
        <v>833</v>
      </c>
      <c r="P80" s="470">
        <v>0</v>
      </c>
      <c r="Q80" s="471" t="s">
        <v>743</v>
      </c>
      <c r="X80" s="472" t="s">
        <v>119</v>
      </c>
      <c r="Y80" s="473">
        <v>19.75</v>
      </c>
      <c r="Z80" s="474">
        <v>129122397.08</v>
      </c>
      <c r="AA80" s="475">
        <f t="shared" si="9"/>
        <v>653784289.0126582</v>
      </c>
      <c r="AB80" s="474">
        <v>5081145.601798367</v>
      </c>
      <c r="AE80" s="488">
        <v>202</v>
      </c>
      <c r="AF80">
        <f t="shared" si="10"/>
        <v>0</v>
      </c>
      <c r="AH80" s="476">
        <v>128675.86997277554</v>
      </c>
      <c r="AI80">
        <f t="shared" si="11"/>
        <v>128675869.97277555</v>
      </c>
      <c r="AJ80" s="489">
        <v>5109.298372</v>
      </c>
      <c r="AK80">
        <f t="shared" si="12"/>
        <v>5109298.372</v>
      </c>
    </row>
    <row r="81" spans="1:37" ht="15" customHeight="1">
      <c r="A81" s="452" t="s">
        <v>834</v>
      </c>
      <c r="B81" s="466">
        <v>3048</v>
      </c>
      <c r="C81" s="467">
        <f t="shared" si="0"/>
        <v>6565039.13478161</v>
      </c>
      <c r="D81" s="467">
        <f t="shared" si="1"/>
        <v>988035.9062520976</v>
      </c>
      <c r="E81" s="467">
        <v>0</v>
      </c>
      <c r="F81" s="467">
        <f t="shared" si="2"/>
        <v>7553075.041033708</v>
      </c>
      <c r="G81" s="468">
        <f t="shared" si="3"/>
        <v>2478.042992465127</v>
      </c>
      <c r="H81" s="459">
        <f t="shared" si="4"/>
        <v>1307.2870075348728</v>
      </c>
      <c r="I81" s="379">
        <f t="shared" si="5"/>
      </c>
      <c r="J81" s="379">
        <f t="shared" si="6"/>
      </c>
      <c r="K81" s="460">
        <f t="shared" si="7"/>
        <v>1045.8296060278983</v>
      </c>
      <c r="L81" s="487">
        <f t="shared" si="8"/>
        <v>3187688.639173034</v>
      </c>
      <c r="M81" s="487"/>
      <c r="N81" s="477">
        <v>204</v>
      </c>
      <c r="O81" s="388" t="s">
        <v>834</v>
      </c>
      <c r="P81" s="470">
        <v>0</v>
      </c>
      <c r="Q81" s="471" t="s">
        <v>798</v>
      </c>
      <c r="X81" s="472" t="s">
        <v>120</v>
      </c>
      <c r="Y81" s="473">
        <v>21.75</v>
      </c>
      <c r="Z81" s="474">
        <v>7193430.79</v>
      </c>
      <c r="AA81" s="475">
        <f t="shared" si="9"/>
        <v>33073245.011494253</v>
      </c>
      <c r="AB81" s="474">
        <v>988035.9062520976</v>
      </c>
      <c r="AE81" s="488">
        <v>204</v>
      </c>
      <c r="AF81">
        <f t="shared" si="10"/>
        <v>0</v>
      </c>
      <c r="AH81" s="476">
        <v>7229.0062905865525</v>
      </c>
      <c r="AI81">
        <f t="shared" si="11"/>
        <v>7229006.290586553</v>
      </c>
      <c r="AJ81" s="489">
        <v>993.510252</v>
      </c>
      <c r="AK81">
        <f t="shared" si="12"/>
        <v>993510.2520000001</v>
      </c>
    </row>
    <row r="82" spans="1:37" ht="15" customHeight="1">
      <c r="A82" s="452" t="s">
        <v>835</v>
      </c>
      <c r="B82" s="466">
        <v>37239</v>
      </c>
      <c r="C82" s="467">
        <f t="shared" si="0"/>
        <v>114978121.3547143</v>
      </c>
      <c r="D82" s="467">
        <f t="shared" si="1"/>
        <v>5437911.619720474</v>
      </c>
      <c r="E82" s="467">
        <v>0</v>
      </c>
      <c r="F82" s="467">
        <f t="shared" si="2"/>
        <v>120416032.97443478</v>
      </c>
      <c r="G82" s="468">
        <f t="shared" si="3"/>
        <v>3233.600069132758</v>
      </c>
      <c r="H82" s="459">
        <f t="shared" si="4"/>
        <v>551.7299308672418</v>
      </c>
      <c r="I82" s="379">
        <f t="shared" si="5"/>
      </c>
      <c r="J82" s="379">
        <f t="shared" si="6"/>
      </c>
      <c r="K82" s="460">
        <f t="shared" si="7"/>
        <v>441.38394469379347</v>
      </c>
      <c r="L82" s="487">
        <f t="shared" si="8"/>
        <v>16436696.716452176</v>
      </c>
      <c r="M82" s="487"/>
      <c r="N82" s="477">
        <v>205</v>
      </c>
      <c r="O82" s="478" t="s">
        <v>836</v>
      </c>
      <c r="P82" s="470">
        <v>0</v>
      </c>
      <c r="Q82" s="471" t="s">
        <v>787</v>
      </c>
      <c r="X82" s="472" t="s">
        <v>121</v>
      </c>
      <c r="Y82" s="473">
        <v>21</v>
      </c>
      <c r="Z82" s="474">
        <v>121639322.34</v>
      </c>
      <c r="AA82" s="475">
        <f t="shared" si="9"/>
        <v>579234868.2857143</v>
      </c>
      <c r="AB82" s="474">
        <v>5437911.619720474</v>
      </c>
      <c r="AE82" s="488">
        <v>205</v>
      </c>
      <c r="AF82">
        <f t="shared" si="10"/>
        <v>0</v>
      </c>
      <c r="AH82" s="476">
        <v>121725.8408951545</v>
      </c>
      <c r="AI82">
        <f t="shared" si="11"/>
        <v>121725840.8951545</v>
      </c>
      <c r="AJ82" s="489">
        <v>5468.0410999999995</v>
      </c>
      <c r="AK82">
        <f t="shared" si="12"/>
        <v>5468041.1</v>
      </c>
    </row>
    <row r="83" spans="1:37" ht="15" customHeight="1">
      <c r="A83" s="452" t="s">
        <v>837</v>
      </c>
      <c r="B83" s="466">
        <v>12516</v>
      </c>
      <c r="C83" s="467">
        <f aca="true" t="shared" si="13" ref="C83:C146">19.85*AA83/100</f>
        <v>32329590.956225</v>
      </c>
      <c r="D83" s="467">
        <f aca="true" t="shared" si="14" ref="D83:D146">AB83</f>
        <v>2088912.1255818757</v>
      </c>
      <c r="E83" s="467">
        <v>0</v>
      </c>
      <c r="F83" s="467">
        <f aca="true" t="shared" si="15" ref="F83:F146">C83+D83+E83</f>
        <v>34418503.081806876</v>
      </c>
      <c r="G83" s="468">
        <f aca="true" t="shared" si="16" ref="G83:G146">F83/B83</f>
        <v>2749.9602973639244</v>
      </c>
      <c r="H83" s="459">
        <f aca="true" t="shared" si="17" ref="H83:H146">$G$15-G83</f>
        <v>1035.3697026360755</v>
      </c>
      <c r="I83" s="379">
        <f aca="true" t="shared" si="18" ref="I83:I146">IF(H83&lt;0,LN(-H83),"")</f>
      </c>
      <c r="J83" s="379">
        <f aca="true" t="shared" si="19" ref="J83:J146">IF(H83&lt;0,30+I83,"")</f>
      </c>
      <c r="K83" s="460">
        <f aca="true" t="shared" si="20" ref="K83:K146">IF(H83&gt;0,H83*0.8,J83*H83/100)</f>
        <v>828.2957621088605</v>
      </c>
      <c r="L83" s="487">
        <f aca="true" t="shared" si="21" ref="L83:L146">K83*B83</f>
        <v>10366949.758554498</v>
      </c>
      <c r="M83" s="487"/>
      <c r="N83" s="477">
        <v>208</v>
      </c>
      <c r="O83" s="388" t="s">
        <v>837</v>
      </c>
      <c r="P83" s="470">
        <v>0</v>
      </c>
      <c r="Q83" s="471" t="s">
        <v>736</v>
      </c>
      <c r="X83" s="472" t="s">
        <v>122</v>
      </c>
      <c r="Y83" s="473">
        <v>20</v>
      </c>
      <c r="Z83" s="474">
        <v>32573895.17</v>
      </c>
      <c r="AA83" s="475">
        <f aca="true" t="shared" si="22" ref="AA83:AA146">100*Z83/Y83</f>
        <v>162869475.85</v>
      </c>
      <c r="AB83" s="474">
        <v>2088912.1255818757</v>
      </c>
      <c r="AE83" s="488">
        <v>208</v>
      </c>
      <c r="AF83">
        <f aca="true" t="shared" si="23" ref="AF83:AF146">N83-AE83</f>
        <v>0</v>
      </c>
      <c r="AH83" s="476">
        <v>32152.736988018496</v>
      </c>
      <c r="AI83">
        <f aca="true" t="shared" si="24" ref="AI83:AI146">AH83*1000</f>
        <v>32152736.988018498</v>
      </c>
      <c r="AJ83" s="489">
        <v>2100.486024</v>
      </c>
      <c r="AK83">
        <f aca="true" t="shared" si="25" ref="AK83:AK146">AJ83*1000</f>
        <v>2100486.0239999997</v>
      </c>
    </row>
    <row r="84" spans="1:37" ht="15" customHeight="1">
      <c r="A84" s="452" t="s">
        <v>838</v>
      </c>
      <c r="B84" s="466">
        <v>31437</v>
      </c>
      <c r="C84" s="467">
        <f t="shared" si="13"/>
        <v>110749408.48759526</v>
      </c>
      <c r="D84" s="467">
        <f t="shared" si="14"/>
        <v>4076710.887347381</v>
      </c>
      <c r="E84" s="467">
        <v>0</v>
      </c>
      <c r="F84" s="467">
        <f t="shared" si="15"/>
        <v>114826119.37494265</v>
      </c>
      <c r="G84" s="468">
        <f t="shared" si="16"/>
        <v>3652.5787885276154</v>
      </c>
      <c r="H84" s="459">
        <f t="shared" si="17"/>
        <v>132.7512114723845</v>
      </c>
      <c r="I84" s="379">
        <f t="shared" si="18"/>
      </c>
      <c r="J84" s="379">
        <f t="shared" si="19"/>
      </c>
      <c r="K84" s="460">
        <f t="shared" si="20"/>
        <v>106.20096917790761</v>
      </c>
      <c r="L84" s="487">
        <f t="shared" si="21"/>
        <v>3338639.8680458814</v>
      </c>
      <c r="M84" s="487"/>
      <c r="N84" s="477">
        <v>211</v>
      </c>
      <c r="O84" s="388" t="s">
        <v>838</v>
      </c>
      <c r="P84" s="470">
        <v>0</v>
      </c>
      <c r="Q84" s="471" t="s">
        <v>744</v>
      </c>
      <c r="X84" s="472" t="s">
        <v>123</v>
      </c>
      <c r="Y84" s="473">
        <v>21</v>
      </c>
      <c r="Z84" s="474">
        <v>117165621.07</v>
      </c>
      <c r="AA84" s="475">
        <f t="shared" si="22"/>
        <v>557931528.9047619</v>
      </c>
      <c r="AB84" s="474">
        <v>4076710.887347381</v>
      </c>
      <c r="AE84" s="488">
        <v>211</v>
      </c>
      <c r="AF84">
        <f t="shared" si="23"/>
        <v>0</v>
      </c>
      <c r="AH84" s="476">
        <v>117463.06954952117</v>
      </c>
      <c r="AI84">
        <f t="shared" si="24"/>
        <v>117463069.54952116</v>
      </c>
      <c r="AJ84" s="489">
        <v>4099.298452</v>
      </c>
      <c r="AK84">
        <f t="shared" si="25"/>
        <v>4099298.452</v>
      </c>
    </row>
    <row r="85" spans="1:37" ht="15" customHeight="1">
      <c r="A85" s="452" t="s">
        <v>839</v>
      </c>
      <c r="B85" s="466">
        <v>5549</v>
      </c>
      <c r="C85" s="467">
        <f t="shared" si="13"/>
        <v>13380965.34706024</v>
      </c>
      <c r="D85" s="467">
        <f t="shared" si="14"/>
        <v>2577910.5600258936</v>
      </c>
      <c r="E85" s="467">
        <v>0</v>
      </c>
      <c r="F85" s="467">
        <f t="shared" si="15"/>
        <v>15958875.907086134</v>
      </c>
      <c r="G85" s="468">
        <f t="shared" si="16"/>
        <v>2875.9913330485015</v>
      </c>
      <c r="H85" s="459">
        <f t="shared" si="17"/>
        <v>909.3386669514985</v>
      </c>
      <c r="I85" s="379">
        <f t="shared" si="18"/>
      </c>
      <c r="J85" s="379">
        <f t="shared" si="19"/>
      </c>
      <c r="K85" s="460">
        <f t="shared" si="20"/>
        <v>727.4709335611988</v>
      </c>
      <c r="L85" s="487">
        <f t="shared" si="21"/>
        <v>4036736.210331092</v>
      </c>
      <c r="M85" s="487"/>
      <c r="N85" s="477">
        <v>213</v>
      </c>
      <c r="O85" s="388" t="s">
        <v>839</v>
      </c>
      <c r="P85" s="470">
        <v>0</v>
      </c>
      <c r="Q85" s="471" t="s">
        <v>746</v>
      </c>
      <c r="X85" s="472" t="s">
        <v>124</v>
      </c>
      <c r="Y85" s="473">
        <v>20.75</v>
      </c>
      <c r="Z85" s="474">
        <v>13987658.99</v>
      </c>
      <c r="AA85" s="475">
        <f t="shared" si="22"/>
        <v>67410404.77108434</v>
      </c>
      <c r="AB85" s="474">
        <v>2577910.5600258936</v>
      </c>
      <c r="AE85" s="488">
        <v>213</v>
      </c>
      <c r="AF85">
        <f t="shared" si="23"/>
        <v>0</v>
      </c>
      <c r="AH85" s="476">
        <v>13965.738237651036</v>
      </c>
      <c r="AI85">
        <f t="shared" si="24"/>
        <v>13965738.237651035</v>
      </c>
      <c r="AJ85" s="489">
        <v>2592.1938200000004</v>
      </c>
      <c r="AK85">
        <f t="shared" si="25"/>
        <v>2592193.8200000003</v>
      </c>
    </row>
    <row r="86" spans="1:37" ht="15" customHeight="1">
      <c r="A86" s="452" t="s">
        <v>840</v>
      </c>
      <c r="B86" s="466">
        <v>11585</v>
      </c>
      <c r="C86" s="467">
        <f t="shared" si="13"/>
        <v>31294423.27251163</v>
      </c>
      <c r="D86" s="467">
        <f t="shared" si="14"/>
        <v>2562490.134963725</v>
      </c>
      <c r="E86" s="467">
        <v>0</v>
      </c>
      <c r="F86" s="467">
        <f t="shared" si="15"/>
        <v>33856913.40747536</v>
      </c>
      <c r="G86" s="468">
        <f t="shared" si="16"/>
        <v>2922.4784987030953</v>
      </c>
      <c r="H86" s="459">
        <f t="shared" si="17"/>
        <v>862.8515012969046</v>
      </c>
      <c r="I86" s="379">
        <f t="shared" si="18"/>
      </c>
      <c r="J86" s="379">
        <f t="shared" si="19"/>
      </c>
      <c r="K86" s="460">
        <f t="shared" si="20"/>
        <v>690.2812010375237</v>
      </c>
      <c r="L86" s="487">
        <f t="shared" si="21"/>
        <v>7996907.714019712</v>
      </c>
      <c r="M86" s="487"/>
      <c r="N86" s="477">
        <v>214</v>
      </c>
      <c r="O86" s="388" t="s">
        <v>840</v>
      </c>
      <c r="P86" s="470">
        <v>0</v>
      </c>
      <c r="Q86" s="471" t="s">
        <v>753</v>
      </c>
      <c r="X86" s="472" t="s">
        <v>125</v>
      </c>
      <c r="Y86" s="473">
        <v>21.5</v>
      </c>
      <c r="Z86" s="474">
        <v>33895722.94</v>
      </c>
      <c r="AA86" s="475">
        <f t="shared" si="22"/>
        <v>157654525.30232558</v>
      </c>
      <c r="AB86" s="474">
        <v>2562490.134963725</v>
      </c>
      <c r="AE86" s="488">
        <v>214</v>
      </c>
      <c r="AF86">
        <f t="shared" si="23"/>
        <v>0</v>
      </c>
      <c r="AH86" s="476">
        <v>33964.85837222722</v>
      </c>
      <c r="AI86">
        <f t="shared" si="24"/>
        <v>33964858.37222722</v>
      </c>
      <c r="AJ86" s="489">
        <v>2576.6879559999998</v>
      </c>
      <c r="AK86">
        <f t="shared" si="25"/>
        <v>2576687.956</v>
      </c>
    </row>
    <row r="87" spans="1:37" s="1" customFormat="1" ht="15" customHeight="1">
      <c r="A87" s="452" t="s">
        <v>841</v>
      </c>
      <c r="B87" s="466">
        <v>1408</v>
      </c>
      <c r="C87" s="467">
        <f t="shared" si="13"/>
        <v>3036982.075190476</v>
      </c>
      <c r="D87" s="467">
        <f t="shared" si="14"/>
        <v>584633.1892301409</v>
      </c>
      <c r="E87" s="467">
        <v>0</v>
      </c>
      <c r="F87" s="467">
        <f t="shared" si="15"/>
        <v>3621615.264420617</v>
      </c>
      <c r="G87" s="468">
        <f t="shared" si="16"/>
        <v>2572.1699321169153</v>
      </c>
      <c r="H87" s="459">
        <f t="shared" si="17"/>
        <v>1213.1600678830846</v>
      </c>
      <c r="I87" s="379">
        <f t="shared" si="18"/>
      </c>
      <c r="J87" s="379">
        <f t="shared" si="19"/>
      </c>
      <c r="K87" s="460">
        <f t="shared" si="20"/>
        <v>970.5280543064678</v>
      </c>
      <c r="L87" s="487">
        <f t="shared" si="21"/>
        <v>1366503.5004635067</v>
      </c>
      <c r="M87" s="487"/>
      <c r="N87" s="477">
        <v>216</v>
      </c>
      <c r="O87" s="388" t="s">
        <v>841</v>
      </c>
      <c r="P87" s="470">
        <v>0</v>
      </c>
      <c r="Q87" s="471" t="s">
        <v>769</v>
      </c>
      <c r="R87"/>
      <c r="S87"/>
      <c r="T87"/>
      <c r="U87"/>
      <c r="V87"/>
      <c r="W87"/>
      <c r="X87" s="472" t="s">
        <v>126</v>
      </c>
      <c r="Y87" s="473">
        <v>21</v>
      </c>
      <c r="Z87" s="474">
        <v>3212928.14</v>
      </c>
      <c r="AA87" s="475">
        <f t="shared" si="22"/>
        <v>15299657.80952381</v>
      </c>
      <c r="AB87" s="474">
        <v>584633.1892301409</v>
      </c>
      <c r="AC87"/>
      <c r="AE87" s="488">
        <v>216</v>
      </c>
      <c r="AF87">
        <f t="shared" si="23"/>
        <v>0</v>
      </c>
      <c r="AH87" s="476">
        <v>3134.2345376906983</v>
      </c>
      <c r="AI87">
        <f t="shared" si="24"/>
        <v>3134234.537690698</v>
      </c>
      <c r="AJ87" s="489">
        <v>587.872428</v>
      </c>
      <c r="AK87">
        <f t="shared" si="25"/>
        <v>587872.428</v>
      </c>
    </row>
    <row r="88" spans="1:37" ht="15" customHeight="1">
      <c r="A88" s="452" t="s">
        <v>842</v>
      </c>
      <c r="B88" s="466">
        <v>5520</v>
      </c>
      <c r="C88" s="467">
        <f t="shared" si="13"/>
        <v>14392899.461139536</v>
      </c>
      <c r="D88" s="467">
        <f t="shared" si="14"/>
        <v>1057622.0747320359</v>
      </c>
      <c r="E88" s="467">
        <v>0</v>
      </c>
      <c r="F88" s="467">
        <f t="shared" si="15"/>
        <v>15450521.53587157</v>
      </c>
      <c r="G88" s="468">
        <f t="shared" si="16"/>
        <v>2799.007524614415</v>
      </c>
      <c r="H88" s="459">
        <f t="shared" si="17"/>
        <v>986.3224753855848</v>
      </c>
      <c r="I88" s="379">
        <f t="shared" si="18"/>
      </c>
      <c r="J88" s="379">
        <f t="shared" si="19"/>
      </c>
      <c r="K88" s="460">
        <f t="shared" si="20"/>
        <v>789.0579803084679</v>
      </c>
      <c r="L88" s="487">
        <f t="shared" si="21"/>
        <v>4355600.051302743</v>
      </c>
      <c r="M88" s="487"/>
      <c r="N88" s="477">
        <v>217</v>
      </c>
      <c r="O88" s="388" t="s">
        <v>842</v>
      </c>
      <c r="P88" s="470">
        <v>0</v>
      </c>
      <c r="Q88" s="471" t="s">
        <v>764</v>
      </c>
      <c r="X88" s="472" t="s">
        <v>127</v>
      </c>
      <c r="Y88" s="473">
        <v>21.5</v>
      </c>
      <c r="Z88" s="474">
        <v>15589286.57</v>
      </c>
      <c r="AA88" s="475">
        <f t="shared" si="22"/>
        <v>72508309.62790698</v>
      </c>
      <c r="AB88" s="474">
        <v>1057622.0747320359</v>
      </c>
      <c r="AE88" s="488">
        <v>217</v>
      </c>
      <c r="AF88">
        <f t="shared" si="23"/>
        <v>0</v>
      </c>
      <c r="AH88" s="476">
        <v>15634.763085439332</v>
      </c>
      <c r="AI88">
        <f t="shared" si="24"/>
        <v>15634763.085439332</v>
      </c>
      <c r="AJ88" s="489">
        <v>1063.4819720000003</v>
      </c>
      <c r="AK88">
        <f t="shared" si="25"/>
        <v>1063481.9720000003</v>
      </c>
    </row>
    <row r="89" spans="1:37" ht="15" customHeight="1">
      <c r="A89" s="452" t="s">
        <v>843</v>
      </c>
      <c r="B89" s="466">
        <v>1329</v>
      </c>
      <c r="C89" s="467">
        <f t="shared" si="13"/>
        <v>3134167.938568182</v>
      </c>
      <c r="D89" s="467">
        <f t="shared" si="14"/>
        <v>280233.5722247934</v>
      </c>
      <c r="E89" s="467">
        <v>0</v>
      </c>
      <c r="F89" s="467">
        <f t="shared" si="15"/>
        <v>3414401.5107929753</v>
      </c>
      <c r="G89" s="468">
        <f t="shared" si="16"/>
        <v>2569.15087343339</v>
      </c>
      <c r="H89" s="459">
        <f t="shared" si="17"/>
        <v>1216.1791265666097</v>
      </c>
      <c r="I89" s="379">
        <f t="shared" si="18"/>
      </c>
      <c r="J89" s="379">
        <f t="shared" si="19"/>
      </c>
      <c r="K89" s="460">
        <f t="shared" si="20"/>
        <v>972.9433012532878</v>
      </c>
      <c r="L89" s="487">
        <f t="shared" si="21"/>
        <v>1293041.6473656194</v>
      </c>
      <c r="M89" s="487"/>
      <c r="N89" s="477">
        <v>218</v>
      </c>
      <c r="O89" s="478" t="s">
        <v>844</v>
      </c>
      <c r="P89" s="470">
        <v>0</v>
      </c>
      <c r="Q89" s="471" t="s">
        <v>734</v>
      </c>
      <c r="X89" s="472" t="s">
        <v>128</v>
      </c>
      <c r="Y89" s="473">
        <v>22</v>
      </c>
      <c r="Z89" s="474">
        <v>3473637.01</v>
      </c>
      <c r="AA89" s="475">
        <f t="shared" si="22"/>
        <v>15789259.136363637</v>
      </c>
      <c r="AB89" s="474">
        <v>280233.5722247934</v>
      </c>
      <c r="AE89" s="488">
        <v>218</v>
      </c>
      <c r="AF89">
        <f t="shared" si="23"/>
        <v>0</v>
      </c>
      <c r="AH89" s="476">
        <v>3468.583190246</v>
      </c>
      <c r="AI89">
        <f t="shared" si="24"/>
        <v>3468583.190246</v>
      </c>
      <c r="AJ89" s="489">
        <v>281.786244</v>
      </c>
      <c r="AK89">
        <f t="shared" si="25"/>
        <v>281786.244</v>
      </c>
    </row>
    <row r="90" spans="1:37" ht="15" customHeight="1">
      <c r="A90" s="452" t="s">
        <v>845</v>
      </c>
      <c r="B90" s="466">
        <v>8900</v>
      </c>
      <c r="C90" s="467">
        <f t="shared" si="13"/>
        <v>26433056.688120484</v>
      </c>
      <c r="D90" s="467">
        <f t="shared" si="14"/>
        <v>1220299.1644498075</v>
      </c>
      <c r="E90" s="467">
        <v>0</v>
      </c>
      <c r="F90" s="467">
        <f t="shared" si="15"/>
        <v>27653355.85257029</v>
      </c>
      <c r="G90" s="468">
        <f t="shared" si="16"/>
        <v>3107.1186351202573</v>
      </c>
      <c r="H90" s="459">
        <f t="shared" si="17"/>
        <v>678.2113648797426</v>
      </c>
      <c r="I90" s="379">
        <f t="shared" si="18"/>
      </c>
      <c r="J90" s="379">
        <f t="shared" si="19"/>
      </c>
      <c r="K90" s="460">
        <f t="shared" si="20"/>
        <v>542.5690919037942</v>
      </c>
      <c r="L90" s="487">
        <f t="shared" si="21"/>
        <v>4828864.917943768</v>
      </c>
      <c r="M90" s="487"/>
      <c r="N90" s="477">
        <v>224</v>
      </c>
      <c r="O90" s="478" t="s">
        <v>846</v>
      </c>
      <c r="P90" s="470">
        <v>0</v>
      </c>
      <c r="Q90" s="471" t="s">
        <v>741</v>
      </c>
      <c r="X90" s="472" t="s">
        <v>129</v>
      </c>
      <c r="Y90" s="473">
        <v>20.75</v>
      </c>
      <c r="Z90" s="474">
        <v>27631532.81</v>
      </c>
      <c r="AA90" s="475">
        <f t="shared" si="22"/>
        <v>133164013.54216868</v>
      </c>
      <c r="AB90" s="474">
        <v>1220299.1644498075</v>
      </c>
      <c r="AE90" s="488">
        <v>224</v>
      </c>
      <c r="AF90">
        <f t="shared" si="23"/>
        <v>0</v>
      </c>
      <c r="AH90" s="476">
        <v>27726.71569770903</v>
      </c>
      <c r="AI90">
        <f t="shared" si="24"/>
        <v>27726715.69770903</v>
      </c>
      <c r="AJ90" s="489">
        <v>1227.0603959999999</v>
      </c>
      <c r="AK90">
        <f t="shared" si="25"/>
        <v>1227060.396</v>
      </c>
    </row>
    <row r="91" spans="1:37" ht="15" customHeight="1">
      <c r="A91" s="452" t="s">
        <v>847</v>
      </c>
      <c r="B91" s="466">
        <v>4146</v>
      </c>
      <c r="C91" s="467">
        <f t="shared" si="13"/>
        <v>9408416.614690477</v>
      </c>
      <c r="D91" s="467">
        <f t="shared" si="14"/>
        <v>1313206.2999770741</v>
      </c>
      <c r="E91" s="467">
        <v>0</v>
      </c>
      <c r="F91" s="467">
        <f t="shared" si="15"/>
        <v>10721622.91466755</v>
      </c>
      <c r="G91" s="468">
        <f t="shared" si="16"/>
        <v>2586.0161395724917</v>
      </c>
      <c r="H91" s="459">
        <f t="shared" si="17"/>
        <v>1199.3138604275082</v>
      </c>
      <c r="I91" s="379">
        <f t="shared" si="18"/>
      </c>
      <c r="J91" s="379">
        <f t="shared" si="19"/>
      </c>
      <c r="K91" s="460">
        <f t="shared" si="20"/>
        <v>959.4510883420066</v>
      </c>
      <c r="L91" s="487">
        <f t="shared" si="21"/>
        <v>3977884.2122659595</v>
      </c>
      <c r="M91" s="487"/>
      <c r="N91" s="477">
        <v>226</v>
      </c>
      <c r="O91" s="388" t="s">
        <v>847</v>
      </c>
      <c r="P91" s="470">
        <v>0</v>
      </c>
      <c r="Q91" s="471" t="s">
        <v>769</v>
      </c>
      <c r="X91" s="472" t="s">
        <v>130</v>
      </c>
      <c r="Y91" s="473">
        <v>21</v>
      </c>
      <c r="Z91" s="474">
        <v>9953488.61</v>
      </c>
      <c r="AA91" s="475">
        <f t="shared" si="22"/>
        <v>47397564.809523806</v>
      </c>
      <c r="AB91" s="474">
        <v>1313206.2999770741</v>
      </c>
      <c r="AE91" s="488">
        <v>226</v>
      </c>
      <c r="AF91">
        <f t="shared" si="23"/>
        <v>0</v>
      </c>
      <c r="AH91" s="476">
        <v>10026.210049085625</v>
      </c>
      <c r="AI91">
        <f t="shared" si="24"/>
        <v>10026210.049085625</v>
      </c>
      <c r="AJ91" s="489">
        <v>1320.482296</v>
      </c>
      <c r="AK91">
        <f t="shared" si="25"/>
        <v>1320482.2959999999</v>
      </c>
    </row>
    <row r="92" spans="1:37" ht="15" customHeight="1">
      <c r="A92" s="452" t="s">
        <v>848</v>
      </c>
      <c r="B92" s="466">
        <v>2403</v>
      </c>
      <c r="C92" s="467">
        <f t="shared" si="13"/>
        <v>5205694.482707318</v>
      </c>
      <c r="D92" s="467">
        <f t="shared" si="14"/>
        <v>609617.575877582</v>
      </c>
      <c r="E92" s="467">
        <v>0</v>
      </c>
      <c r="F92" s="467">
        <f t="shared" si="15"/>
        <v>5815312.0585849</v>
      </c>
      <c r="G92" s="468">
        <f t="shared" si="16"/>
        <v>2420.0216639970454</v>
      </c>
      <c r="H92" s="459">
        <f t="shared" si="17"/>
        <v>1365.3083360029545</v>
      </c>
      <c r="I92" s="379">
        <f t="shared" si="18"/>
      </c>
      <c r="J92" s="379">
        <f t="shared" si="19"/>
      </c>
      <c r="K92" s="460">
        <f t="shared" si="20"/>
        <v>1092.2466688023637</v>
      </c>
      <c r="L92" s="487">
        <f t="shared" si="21"/>
        <v>2624668.74513208</v>
      </c>
      <c r="M92" s="487"/>
      <c r="N92" s="477">
        <v>230</v>
      </c>
      <c r="O92" s="388" t="s">
        <v>848</v>
      </c>
      <c r="P92" s="470">
        <v>0</v>
      </c>
      <c r="Q92" s="471" t="s">
        <v>753</v>
      </c>
      <c r="X92" s="472" t="s">
        <v>131</v>
      </c>
      <c r="Y92" s="473">
        <v>20.5</v>
      </c>
      <c r="Z92" s="474">
        <v>5376158.03</v>
      </c>
      <c r="AA92" s="475">
        <f t="shared" si="22"/>
        <v>26225161.12195122</v>
      </c>
      <c r="AB92" s="474">
        <v>609617.575877582</v>
      </c>
      <c r="AE92" s="488">
        <v>230</v>
      </c>
      <c r="AF92">
        <f t="shared" si="23"/>
        <v>0</v>
      </c>
      <c r="AH92" s="476">
        <v>5308.435448915827</v>
      </c>
      <c r="AI92">
        <f t="shared" si="24"/>
        <v>5308435.448915827</v>
      </c>
      <c r="AJ92" s="489">
        <v>612.995244</v>
      </c>
      <c r="AK92">
        <f t="shared" si="25"/>
        <v>612995.244</v>
      </c>
    </row>
    <row r="93" spans="1:37" ht="15" customHeight="1">
      <c r="A93" s="452" t="s">
        <v>849</v>
      </c>
      <c r="B93" s="466">
        <v>1274</v>
      </c>
      <c r="C93" s="467">
        <f t="shared" si="13"/>
        <v>4346887.213068183</v>
      </c>
      <c r="D93" s="467">
        <f t="shared" si="14"/>
        <v>1079353.0990706577</v>
      </c>
      <c r="E93" s="467">
        <v>0</v>
      </c>
      <c r="F93" s="467">
        <f t="shared" si="15"/>
        <v>5426240.312138841</v>
      </c>
      <c r="G93" s="468">
        <f t="shared" si="16"/>
        <v>4259.215315650581</v>
      </c>
      <c r="H93" s="459">
        <f t="shared" si="17"/>
        <v>-473.8853156505811</v>
      </c>
      <c r="I93" s="379">
        <f t="shared" si="18"/>
        <v>6.160965342316168</v>
      </c>
      <c r="J93" s="379">
        <f t="shared" si="19"/>
        <v>36.16096534231617</v>
      </c>
      <c r="K93" s="460">
        <f t="shared" si="20"/>
        <v>-171.3615047547322</v>
      </c>
      <c r="L93" s="487">
        <f t="shared" si="21"/>
        <v>-218314.55705752884</v>
      </c>
      <c r="M93" s="487"/>
      <c r="N93" s="477">
        <v>231</v>
      </c>
      <c r="O93" s="478" t="s">
        <v>850</v>
      </c>
      <c r="P93" s="470">
        <v>1</v>
      </c>
      <c r="Q93" s="471" t="s">
        <v>814</v>
      </c>
      <c r="S93" s="1"/>
      <c r="T93" s="1"/>
      <c r="U93" s="1"/>
      <c r="X93" s="472" t="s">
        <v>132</v>
      </c>
      <c r="Y93" s="473">
        <v>22</v>
      </c>
      <c r="Z93" s="474">
        <v>4817708.75</v>
      </c>
      <c r="AA93" s="475">
        <f t="shared" si="22"/>
        <v>21898676.136363637</v>
      </c>
      <c r="AB93" s="474">
        <v>1079353.0990706577</v>
      </c>
      <c r="AC93" s="1"/>
      <c r="AE93" s="488">
        <v>231</v>
      </c>
      <c r="AF93">
        <f t="shared" si="23"/>
        <v>0</v>
      </c>
      <c r="AH93" s="476">
        <v>4928.614662518767</v>
      </c>
      <c r="AI93">
        <f t="shared" si="24"/>
        <v>4928614.662518767</v>
      </c>
      <c r="AJ93" s="489">
        <v>1085.3334</v>
      </c>
      <c r="AK93">
        <f t="shared" si="25"/>
        <v>1085333.4</v>
      </c>
    </row>
    <row r="94" spans="1:37" s="1" customFormat="1" ht="15" customHeight="1">
      <c r="A94" s="452" t="s">
        <v>851</v>
      </c>
      <c r="B94" s="466">
        <v>13610</v>
      </c>
      <c r="C94" s="467">
        <f t="shared" si="13"/>
        <v>34016982.507477276</v>
      </c>
      <c r="D94" s="467">
        <f t="shared" si="14"/>
        <v>3903798.074032062</v>
      </c>
      <c r="E94" s="467">
        <v>0</v>
      </c>
      <c r="F94" s="467">
        <f t="shared" si="15"/>
        <v>37920780.58150934</v>
      </c>
      <c r="G94" s="468">
        <f t="shared" si="16"/>
        <v>2786.2439810072988</v>
      </c>
      <c r="H94" s="459">
        <f t="shared" si="17"/>
        <v>999.0860189927012</v>
      </c>
      <c r="I94" s="379">
        <f t="shared" si="18"/>
      </c>
      <c r="J94" s="379">
        <f t="shared" si="19"/>
      </c>
      <c r="K94" s="460">
        <f t="shared" si="20"/>
        <v>799.268815194161</v>
      </c>
      <c r="L94" s="487">
        <f t="shared" si="21"/>
        <v>10878048.57479253</v>
      </c>
      <c r="M94" s="487"/>
      <c r="N94" s="477">
        <v>232</v>
      </c>
      <c r="O94" s="388" t="s">
        <v>851</v>
      </c>
      <c r="P94" s="470">
        <v>0</v>
      </c>
      <c r="Q94" s="471" t="s">
        <v>734</v>
      </c>
      <c r="R94"/>
      <c r="S94"/>
      <c r="T94"/>
      <c r="U94"/>
      <c r="V94"/>
      <c r="W94"/>
      <c r="X94" s="472" t="s">
        <v>133</v>
      </c>
      <c r="Y94" s="473">
        <v>22</v>
      </c>
      <c r="Z94" s="474">
        <v>37701441.57</v>
      </c>
      <c r="AA94" s="475">
        <f t="shared" si="22"/>
        <v>171370188.95454547</v>
      </c>
      <c r="AB94" s="474">
        <v>3903798.074032062</v>
      </c>
      <c r="AC94"/>
      <c r="AE94" s="488">
        <v>232</v>
      </c>
      <c r="AF94">
        <f t="shared" si="23"/>
        <v>0</v>
      </c>
      <c r="AH94" s="476">
        <v>37666.5182460282</v>
      </c>
      <c r="AI94">
        <f t="shared" si="24"/>
        <v>37666518.2460282</v>
      </c>
      <c r="AJ94" s="489">
        <v>3925.4275919999995</v>
      </c>
      <c r="AK94">
        <f t="shared" si="25"/>
        <v>3925427.5919999997</v>
      </c>
    </row>
    <row r="95" spans="1:37" ht="15" customHeight="1">
      <c r="A95" s="465" t="s">
        <v>852</v>
      </c>
      <c r="B95" s="466">
        <v>16278</v>
      </c>
      <c r="C95" s="467">
        <f t="shared" si="13"/>
        <v>42178205.146896556</v>
      </c>
      <c r="D95" s="467">
        <f t="shared" si="14"/>
        <v>3303838.3157180897</v>
      </c>
      <c r="E95" s="467">
        <v>0</v>
      </c>
      <c r="F95" s="467">
        <f t="shared" si="15"/>
        <v>45482043.46261465</v>
      </c>
      <c r="G95" s="468">
        <f t="shared" si="16"/>
        <v>2794.080566569274</v>
      </c>
      <c r="H95" s="459">
        <f t="shared" si="17"/>
        <v>991.2494334307257</v>
      </c>
      <c r="I95" s="379">
        <f t="shared" si="18"/>
      </c>
      <c r="J95" s="379">
        <f t="shared" si="19"/>
      </c>
      <c r="K95" s="460">
        <f t="shared" si="20"/>
        <v>792.9995467445806</v>
      </c>
      <c r="L95" s="487">
        <f t="shared" si="21"/>
        <v>12908446.621908283</v>
      </c>
      <c r="M95" s="487"/>
      <c r="N95" s="469">
        <v>233</v>
      </c>
      <c r="O95" s="388" t="s">
        <v>852</v>
      </c>
      <c r="P95" s="470">
        <v>0</v>
      </c>
      <c r="Q95" s="471" t="s">
        <v>734</v>
      </c>
      <c r="X95" s="472" t="s">
        <v>134</v>
      </c>
      <c r="Y95" s="473">
        <v>21.75</v>
      </c>
      <c r="Z95" s="474">
        <v>46215413.7</v>
      </c>
      <c r="AA95" s="475">
        <f t="shared" si="22"/>
        <v>212484660.68965518</v>
      </c>
      <c r="AB95" s="474">
        <v>3303838.3157180897</v>
      </c>
      <c r="AE95" s="488">
        <v>233</v>
      </c>
      <c r="AF95">
        <f t="shared" si="23"/>
        <v>0</v>
      </c>
      <c r="AH95" s="476">
        <v>45831.98278478316</v>
      </c>
      <c r="AI95">
        <f t="shared" si="24"/>
        <v>45831982.78478316</v>
      </c>
      <c r="AJ95" s="489">
        <v>3322.143676</v>
      </c>
      <c r="AK95">
        <f t="shared" si="25"/>
        <v>3322143.676</v>
      </c>
    </row>
    <row r="96" spans="1:37" ht="15" customHeight="1">
      <c r="A96" s="452" t="s">
        <v>853</v>
      </c>
      <c r="B96" s="466">
        <v>9624</v>
      </c>
      <c r="C96" s="467">
        <f t="shared" si="13"/>
        <v>71785133.05164707</v>
      </c>
      <c r="D96" s="467">
        <f t="shared" si="14"/>
        <v>1866137.66940113</v>
      </c>
      <c r="E96" s="467">
        <v>0</v>
      </c>
      <c r="F96" s="467">
        <f t="shared" si="15"/>
        <v>73651270.72104819</v>
      </c>
      <c r="G96" s="468">
        <f t="shared" si="16"/>
        <v>7652.875178828781</v>
      </c>
      <c r="H96" s="459">
        <f t="shared" si="17"/>
        <v>-3867.545178828781</v>
      </c>
      <c r="I96" s="379">
        <f t="shared" si="18"/>
        <v>8.260375264041249</v>
      </c>
      <c r="J96" s="379">
        <f t="shared" si="19"/>
        <v>38.26037526404125</v>
      </c>
      <c r="K96" s="460">
        <f t="shared" si="20"/>
        <v>-1479.7372989262267</v>
      </c>
      <c r="L96" s="487">
        <f t="shared" si="21"/>
        <v>-14240991.764866006</v>
      </c>
      <c r="M96" s="487"/>
      <c r="N96" s="477">
        <v>235</v>
      </c>
      <c r="O96" s="478" t="s">
        <v>854</v>
      </c>
      <c r="P96" s="470">
        <v>1</v>
      </c>
      <c r="Q96" s="471" t="s">
        <v>741</v>
      </c>
      <c r="X96" s="472" t="s">
        <v>135</v>
      </c>
      <c r="Y96" s="473">
        <v>17</v>
      </c>
      <c r="Z96" s="474">
        <v>61478451.48</v>
      </c>
      <c r="AA96" s="475">
        <f t="shared" si="22"/>
        <v>361637949.88235295</v>
      </c>
      <c r="AB96" s="474">
        <v>1866137.66940113</v>
      </c>
      <c r="AE96" s="488">
        <v>235</v>
      </c>
      <c r="AF96">
        <f t="shared" si="23"/>
        <v>0</v>
      </c>
      <c r="AH96" s="476">
        <v>62209.03592511302</v>
      </c>
      <c r="AI96">
        <f t="shared" si="24"/>
        <v>62209035.92511302</v>
      </c>
      <c r="AJ96" s="489">
        <v>1876.4772560000001</v>
      </c>
      <c r="AK96">
        <f t="shared" si="25"/>
        <v>1876477.256</v>
      </c>
    </row>
    <row r="97" spans="1:37" ht="15" customHeight="1">
      <c r="A97" s="452" t="s">
        <v>855</v>
      </c>
      <c r="B97" s="466">
        <v>4309</v>
      </c>
      <c r="C97" s="467">
        <f t="shared" si="13"/>
        <v>11194680.525209302</v>
      </c>
      <c r="D97" s="467">
        <f t="shared" si="14"/>
        <v>987071.3584587983</v>
      </c>
      <c r="E97" s="467">
        <v>0</v>
      </c>
      <c r="F97" s="467">
        <f t="shared" si="15"/>
        <v>12181751.8836681</v>
      </c>
      <c r="G97" s="468">
        <f t="shared" si="16"/>
        <v>2827.0484761355538</v>
      </c>
      <c r="H97" s="459">
        <f t="shared" si="17"/>
        <v>958.2815238644462</v>
      </c>
      <c r="I97" s="379">
        <f t="shared" si="18"/>
      </c>
      <c r="J97" s="379">
        <f t="shared" si="19"/>
      </c>
      <c r="K97" s="460">
        <f t="shared" si="20"/>
        <v>766.625219091557</v>
      </c>
      <c r="L97" s="487">
        <f t="shared" si="21"/>
        <v>3303388.069065519</v>
      </c>
      <c r="M97" s="487"/>
      <c r="N97" s="477">
        <v>236</v>
      </c>
      <c r="O97" s="478" t="s">
        <v>856</v>
      </c>
      <c r="P97" s="470">
        <v>0</v>
      </c>
      <c r="Q97" s="471" t="s">
        <v>764</v>
      </c>
      <c r="X97" s="472" t="s">
        <v>136</v>
      </c>
      <c r="Y97" s="473">
        <v>21.5</v>
      </c>
      <c r="Z97" s="474">
        <v>12125220.72</v>
      </c>
      <c r="AA97" s="475">
        <f t="shared" si="22"/>
        <v>56396375.44186047</v>
      </c>
      <c r="AB97" s="474">
        <v>987071.3584587983</v>
      </c>
      <c r="AE97" s="488">
        <v>236</v>
      </c>
      <c r="AF97">
        <f t="shared" si="23"/>
        <v>0</v>
      </c>
      <c r="AH97" s="476">
        <v>12158.315130203788</v>
      </c>
      <c r="AI97">
        <f t="shared" si="24"/>
        <v>12158315.130203787</v>
      </c>
      <c r="AJ97" s="489">
        <v>992.5403599999999</v>
      </c>
      <c r="AK97">
        <f t="shared" si="25"/>
        <v>992540.3599999999</v>
      </c>
    </row>
    <row r="98" spans="1:37" ht="15" customHeight="1">
      <c r="A98" s="452" t="s">
        <v>857</v>
      </c>
      <c r="B98" s="466">
        <v>2309</v>
      </c>
      <c r="C98" s="467">
        <f t="shared" si="13"/>
        <v>5663402.396146341</v>
      </c>
      <c r="D98" s="467">
        <f t="shared" si="14"/>
        <v>621061.8354192825</v>
      </c>
      <c r="E98" s="467">
        <v>0</v>
      </c>
      <c r="F98" s="467">
        <f t="shared" si="15"/>
        <v>6284464.231565624</v>
      </c>
      <c r="G98" s="468">
        <f t="shared" si="16"/>
        <v>2721.7255225489926</v>
      </c>
      <c r="H98" s="459">
        <f t="shared" si="17"/>
        <v>1063.6044774510074</v>
      </c>
      <c r="I98" s="379">
        <f t="shared" si="18"/>
      </c>
      <c r="J98" s="379">
        <f t="shared" si="19"/>
      </c>
      <c r="K98" s="460">
        <f t="shared" si="20"/>
        <v>850.8835819608059</v>
      </c>
      <c r="L98" s="487">
        <f t="shared" si="21"/>
        <v>1964690.1907475009</v>
      </c>
      <c r="M98" s="487"/>
      <c r="N98" s="477">
        <v>239</v>
      </c>
      <c r="O98" s="388" t="s">
        <v>857</v>
      </c>
      <c r="P98" s="470">
        <v>0</v>
      </c>
      <c r="Q98" s="471" t="s">
        <v>798</v>
      </c>
      <c r="X98" s="472" t="s">
        <v>137</v>
      </c>
      <c r="Y98" s="473">
        <v>20.5</v>
      </c>
      <c r="Z98" s="474">
        <v>5848853.86</v>
      </c>
      <c r="AA98" s="475">
        <f t="shared" si="22"/>
        <v>28530994.43902439</v>
      </c>
      <c r="AB98" s="474">
        <v>621061.8354192825</v>
      </c>
      <c r="AE98" s="488">
        <v>239</v>
      </c>
      <c r="AF98">
        <f t="shared" si="23"/>
        <v>0</v>
      </c>
      <c r="AH98" s="476">
        <v>5857.792671563691</v>
      </c>
      <c r="AI98">
        <f t="shared" si="24"/>
        <v>5857792.671563691</v>
      </c>
      <c r="AJ98" s="489">
        <v>624.502912</v>
      </c>
      <c r="AK98">
        <f t="shared" si="25"/>
        <v>624502.912</v>
      </c>
    </row>
    <row r="99" spans="1:37" ht="15" customHeight="1">
      <c r="A99" s="452" t="s">
        <v>858</v>
      </c>
      <c r="B99" s="466">
        <v>21256</v>
      </c>
      <c r="C99" s="467">
        <f t="shared" si="13"/>
        <v>67813779.07227586</v>
      </c>
      <c r="D99" s="467">
        <f t="shared" si="14"/>
        <v>7175203.540312006</v>
      </c>
      <c r="E99" s="467">
        <v>0</v>
      </c>
      <c r="F99" s="467">
        <f t="shared" si="15"/>
        <v>74988982.61258787</v>
      </c>
      <c r="G99" s="468">
        <f t="shared" si="16"/>
        <v>3527.8971872689062</v>
      </c>
      <c r="H99" s="459">
        <f t="shared" si="17"/>
        <v>257.4328127310937</v>
      </c>
      <c r="I99" s="379">
        <f t="shared" si="18"/>
      </c>
      <c r="J99" s="379">
        <f t="shared" si="19"/>
      </c>
      <c r="K99" s="460">
        <f t="shared" si="20"/>
        <v>205.94625018487497</v>
      </c>
      <c r="L99" s="487">
        <f t="shared" si="21"/>
        <v>4377593.493929703</v>
      </c>
      <c r="M99" s="487"/>
      <c r="N99" s="477">
        <v>240</v>
      </c>
      <c r="O99" s="388" t="s">
        <v>858</v>
      </c>
      <c r="P99" s="470">
        <v>0</v>
      </c>
      <c r="Q99" s="471" t="s">
        <v>749</v>
      </c>
      <c r="X99" s="472" t="s">
        <v>138</v>
      </c>
      <c r="Y99" s="473">
        <v>21.75</v>
      </c>
      <c r="Z99" s="474">
        <v>74304770.52</v>
      </c>
      <c r="AA99" s="475">
        <f t="shared" si="22"/>
        <v>341631128.82758623</v>
      </c>
      <c r="AB99" s="474">
        <v>7175203.540312006</v>
      </c>
      <c r="AE99" s="488">
        <v>240</v>
      </c>
      <c r="AF99">
        <f t="shared" si="23"/>
        <v>0</v>
      </c>
      <c r="AH99" s="476">
        <v>74634.94154043178</v>
      </c>
      <c r="AI99">
        <f t="shared" si="24"/>
        <v>74634941.54043178</v>
      </c>
      <c r="AJ99" s="489">
        <v>7214.9587200000005</v>
      </c>
      <c r="AK99">
        <f t="shared" si="25"/>
        <v>7214958.720000001</v>
      </c>
    </row>
    <row r="100" spans="1:37" ht="15" customHeight="1">
      <c r="A100" s="452" t="s">
        <v>859</v>
      </c>
      <c r="B100" s="466">
        <v>8296</v>
      </c>
      <c r="C100" s="467">
        <f t="shared" si="13"/>
        <v>28611247.08148236</v>
      </c>
      <c r="D100" s="467">
        <f t="shared" si="14"/>
        <v>1074521.7597555497</v>
      </c>
      <c r="E100" s="467">
        <v>0</v>
      </c>
      <c r="F100" s="467">
        <f t="shared" si="15"/>
        <v>29685768.841237906</v>
      </c>
      <c r="G100" s="468">
        <f t="shared" si="16"/>
        <v>3578.323148654521</v>
      </c>
      <c r="H100" s="459">
        <f t="shared" si="17"/>
        <v>207.00685134547894</v>
      </c>
      <c r="I100" s="379">
        <f t="shared" si="18"/>
      </c>
      <c r="J100" s="379">
        <f t="shared" si="19"/>
      </c>
      <c r="K100" s="460">
        <f t="shared" si="20"/>
        <v>165.60548107638317</v>
      </c>
      <c r="L100" s="487">
        <f t="shared" si="21"/>
        <v>1373863.0710096748</v>
      </c>
      <c r="M100" s="487"/>
      <c r="N100" s="477">
        <v>241</v>
      </c>
      <c r="O100" s="388" t="s">
        <v>859</v>
      </c>
      <c r="P100" s="470">
        <v>0</v>
      </c>
      <c r="Q100" s="471" t="s">
        <v>749</v>
      </c>
      <c r="X100" s="472" t="s">
        <v>140</v>
      </c>
      <c r="Y100" s="473">
        <v>21.25</v>
      </c>
      <c r="Z100" s="474">
        <v>30629168.79</v>
      </c>
      <c r="AA100" s="475">
        <f t="shared" si="22"/>
        <v>144137264.89411765</v>
      </c>
      <c r="AB100" s="474">
        <v>1074521.7597555497</v>
      </c>
      <c r="AE100" s="488">
        <v>241</v>
      </c>
      <c r="AF100">
        <f t="shared" si="23"/>
        <v>0</v>
      </c>
      <c r="AH100" s="476">
        <v>30530.48173878002</v>
      </c>
      <c r="AI100">
        <f t="shared" si="24"/>
        <v>30530481.73878002</v>
      </c>
      <c r="AJ100" s="489">
        <v>1080.475292</v>
      </c>
      <c r="AK100">
        <f t="shared" si="25"/>
        <v>1080475.2920000001</v>
      </c>
    </row>
    <row r="101" spans="1:37" ht="15" customHeight="1">
      <c r="A101" s="452" t="s">
        <v>860</v>
      </c>
      <c r="B101" s="466">
        <v>17535</v>
      </c>
      <c r="C101" s="467">
        <f t="shared" si="13"/>
        <v>59684911.88060976</v>
      </c>
      <c r="D101" s="467">
        <f t="shared" si="14"/>
        <v>3780266.405844473</v>
      </c>
      <c r="E101" s="467">
        <v>0</v>
      </c>
      <c r="F101" s="467">
        <f t="shared" si="15"/>
        <v>63465178.28645423</v>
      </c>
      <c r="G101" s="468">
        <f t="shared" si="16"/>
        <v>3619.3429305077975</v>
      </c>
      <c r="H101" s="459">
        <f t="shared" si="17"/>
        <v>165.9870694922024</v>
      </c>
      <c r="I101" s="379">
        <f t="shared" si="18"/>
      </c>
      <c r="J101" s="379">
        <f t="shared" si="19"/>
      </c>
      <c r="K101" s="460">
        <f t="shared" si="20"/>
        <v>132.78965559376192</v>
      </c>
      <c r="L101" s="487">
        <f t="shared" si="21"/>
        <v>2328466.6108366153</v>
      </c>
      <c r="M101" s="487"/>
      <c r="N101" s="477">
        <v>244</v>
      </c>
      <c r="O101" s="388" t="s">
        <v>860</v>
      </c>
      <c r="P101" s="470">
        <v>0</v>
      </c>
      <c r="Q101" s="471" t="s">
        <v>736</v>
      </c>
      <c r="U101" s="53"/>
      <c r="X101" s="472" t="s">
        <v>142</v>
      </c>
      <c r="Y101" s="473">
        <v>20.5</v>
      </c>
      <c r="Z101" s="474">
        <v>61639329.65</v>
      </c>
      <c r="AA101" s="475">
        <f t="shared" si="22"/>
        <v>300679656.8292683</v>
      </c>
      <c r="AB101" s="474">
        <v>3780266.405844473</v>
      </c>
      <c r="AE101" s="488">
        <v>244</v>
      </c>
      <c r="AF101">
        <f t="shared" si="23"/>
        <v>0</v>
      </c>
      <c r="AH101" s="476">
        <v>61878.84797995724</v>
      </c>
      <c r="AI101">
        <f t="shared" si="24"/>
        <v>61878847.97995724</v>
      </c>
      <c r="AJ101" s="489">
        <v>3801.2114799999995</v>
      </c>
      <c r="AK101">
        <f t="shared" si="25"/>
        <v>3801211.4799999995</v>
      </c>
    </row>
    <row r="102" spans="1:37" ht="15" customHeight="1">
      <c r="A102" s="452" t="s">
        <v>861</v>
      </c>
      <c r="B102" s="466">
        <v>35554</v>
      </c>
      <c r="C102" s="467">
        <f t="shared" si="13"/>
        <v>139321153.41296104</v>
      </c>
      <c r="D102" s="467">
        <f t="shared" si="14"/>
        <v>9281710.296478104</v>
      </c>
      <c r="E102" s="467">
        <v>0</v>
      </c>
      <c r="F102" s="467">
        <f t="shared" si="15"/>
        <v>148602863.70943913</v>
      </c>
      <c r="G102" s="468">
        <f t="shared" si="16"/>
        <v>4179.638401008019</v>
      </c>
      <c r="H102" s="459">
        <f t="shared" si="17"/>
        <v>-394.30840100801925</v>
      </c>
      <c r="I102" s="379">
        <f t="shared" si="18"/>
        <v>5.977133346789044</v>
      </c>
      <c r="J102" s="379">
        <f t="shared" si="19"/>
        <v>35.977133346789046</v>
      </c>
      <c r="K102" s="460">
        <f t="shared" si="20"/>
        <v>-141.86085922824677</v>
      </c>
      <c r="L102" s="487">
        <f t="shared" si="21"/>
        <v>-5043720.989001086</v>
      </c>
      <c r="M102" s="487"/>
      <c r="N102" s="477">
        <v>245</v>
      </c>
      <c r="O102" s="478" t="s">
        <v>862</v>
      </c>
      <c r="P102" s="470">
        <v>0</v>
      </c>
      <c r="Q102" s="471" t="s">
        <v>741</v>
      </c>
      <c r="X102" s="472" t="s">
        <v>143</v>
      </c>
      <c r="Y102" s="473">
        <v>19.25</v>
      </c>
      <c r="Z102" s="474">
        <v>135109934.67</v>
      </c>
      <c r="AA102" s="475">
        <f t="shared" si="22"/>
        <v>701869790.4935064</v>
      </c>
      <c r="AB102" s="474">
        <v>9281710.296478104</v>
      </c>
      <c r="AD102" s="1"/>
      <c r="AE102" s="488">
        <v>245</v>
      </c>
      <c r="AF102">
        <f t="shared" si="23"/>
        <v>0</v>
      </c>
      <c r="AG102" s="1"/>
      <c r="AH102" s="476">
        <v>135147.2117044705</v>
      </c>
      <c r="AI102">
        <f t="shared" si="24"/>
        <v>135147211.70447052</v>
      </c>
      <c r="AJ102" s="489">
        <v>9333.13686</v>
      </c>
      <c r="AK102">
        <f t="shared" si="25"/>
        <v>9333136.860000001</v>
      </c>
    </row>
    <row r="103" spans="1:37" ht="15" customHeight="1">
      <c r="A103" s="452" t="s">
        <v>863</v>
      </c>
      <c r="B103" s="466">
        <v>9919</v>
      </c>
      <c r="C103" s="467">
        <f t="shared" si="13"/>
        <v>27104756.00804652</v>
      </c>
      <c r="D103" s="467">
        <f t="shared" si="14"/>
        <v>2491224.654935151</v>
      </c>
      <c r="E103" s="467">
        <v>0</v>
      </c>
      <c r="F103" s="467">
        <f t="shared" si="15"/>
        <v>29595980.66298167</v>
      </c>
      <c r="G103" s="468">
        <f t="shared" si="16"/>
        <v>2983.7665755602047</v>
      </c>
      <c r="H103" s="459">
        <f t="shared" si="17"/>
        <v>801.5634244397952</v>
      </c>
      <c r="I103" s="379">
        <f t="shared" si="18"/>
      </c>
      <c r="J103" s="379">
        <f t="shared" si="19"/>
      </c>
      <c r="K103" s="460">
        <f t="shared" si="20"/>
        <v>641.2507395518362</v>
      </c>
      <c r="L103" s="487">
        <f t="shared" si="21"/>
        <v>6360566.085614664</v>
      </c>
      <c r="M103" s="487"/>
      <c r="N103" s="477">
        <v>249</v>
      </c>
      <c r="O103" s="388" t="s">
        <v>863</v>
      </c>
      <c r="P103" s="470">
        <v>0</v>
      </c>
      <c r="Q103" s="471" t="s">
        <v>769</v>
      </c>
      <c r="X103" s="472" t="s">
        <v>144</v>
      </c>
      <c r="Y103" s="473">
        <v>21.5</v>
      </c>
      <c r="Z103" s="474">
        <v>29357796.18</v>
      </c>
      <c r="AA103" s="475">
        <f t="shared" si="22"/>
        <v>136547889.20930234</v>
      </c>
      <c r="AB103" s="474">
        <v>2491224.654935151</v>
      </c>
      <c r="AE103" s="488">
        <v>249</v>
      </c>
      <c r="AF103">
        <f t="shared" si="23"/>
        <v>0</v>
      </c>
      <c r="AH103" s="476">
        <v>29965.578662921136</v>
      </c>
      <c r="AI103">
        <f t="shared" si="24"/>
        <v>29965578.662921134</v>
      </c>
      <c r="AJ103" s="489">
        <v>2505.02762</v>
      </c>
      <c r="AK103">
        <f t="shared" si="25"/>
        <v>2505027.6199999996</v>
      </c>
    </row>
    <row r="104" spans="1:37" s="1" customFormat="1" ht="15" customHeight="1">
      <c r="A104" s="452" t="s">
        <v>864</v>
      </c>
      <c r="B104" s="466">
        <v>1967</v>
      </c>
      <c r="C104" s="467">
        <f t="shared" si="13"/>
        <v>4266500.179372094</v>
      </c>
      <c r="D104" s="467">
        <f t="shared" si="14"/>
        <v>665219.0166213348</v>
      </c>
      <c r="E104" s="467">
        <v>0</v>
      </c>
      <c r="F104" s="467">
        <f t="shared" si="15"/>
        <v>4931719.195993428</v>
      </c>
      <c r="G104" s="468">
        <f t="shared" si="16"/>
        <v>2507.228874424722</v>
      </c>
      <c r="H104" s="459">
        <f t="shared" si="17"/>
        <v>1278.1011255752778</v>
      </c>
      <c r="I104" s="379">
        <f t="shared" si="18"/>
      </c>
      <c r="J104" s="379">
        <f t="shared" si="19"/>
      </c>
      <c r="K104" s="460">
        <f t="shared" si="20"/>
        <v>1022.4809004602223</v>
      </c>
      <c r="L104" s="487">
        <f t="shared" si="21"/>
        <v>2011219.9312052573</v>
      </c>
      <c r="M104" s="487"/>
      <c r="N104" s="477">
        <v>250</v>
      </c>
      <c r="O104" s="388" t="s">
        <v>864</v>
      </c>
      <c r="P104" s="470">
        <v>0</v>
      </c>
      <c r="Q104" s="471" t="s">
        <v>744</v>
      </c>
      <c r="R104"/>
      <c r="S104"/>
      <c r="T104"/>
      <c r="U104"/>
      <c r="V104"/>
      <c r="W104"/>
      <c r="X104" s="472" t="s">
        <v>145</v>
      </c>
      <c r="Y104" s="473">
        <v>21.5</v>
      </c>
      <c r="Z104" s="474">
        <v>4621146.29</v>
      </c>
      <c r="AA104" s="475">
        <f t="shared" si="22"/>
        <v>21493703.674418606</v>
      </c>
      <c r="AB104" s="474">
        <v>665219.0166213348</v>
      </c>
      <c r="AC104"/>
      <c r="AD104"/>
      <c r="AE104" s="488">
        <v>250</v>
      </c>
      <c r="AF104">
        <f t="shared" si="23"/>
        <v>0</v>
      </c>
      <c r="AG104"/>
      <c r="AH104" s="476">
        <v>4636.183833698667</v>
      </c>
      <c r="AI104">
        <f t="shared" si="24"/>
        <v>4636183.833698667</v>
      </c>
      <c r="AJ104" s="489">
        <v>668.904752</v>
      </c>
      <c r="AK104">
        <f t="shared" si="25"/>
        <v>668904.752</v>
      </c>
    </row>
    <row r="105" spans="1:37" ht="15" customHeight="1">
      <c r="A105" s="452" t="s">
        <v>865</v>
      </c>
      <c r="B105" s="466">
        <v>1656</v>
      </c>
      <c r="C105" s="467">
        <f t="shared" si="13"/>
        <v>3432995.6551463413</v>
      </c>
      <c r="D105" s="467">
        <f t="shared" si="14"/>
        <v>576094.3518066548</v>
      </c>
      <c r="E105" s="467">
        <v>0</v>
      </c>
      <c r="F105" s="467">
        <f t="shared" si="15"/>
        <v>4009090.0069529964</v>
      </c>
      <c r="G105" s="468">
        <f t="shared" si="16"/>
        <v>2420.9480718315194</v>
      </c>
      <c r="H105" s="459">
        <f t="shared" si="17"/>
        <v>1364.3819281684805</v>
      </c>
      <c r="I105" s="379">
        <f t="shared" si="18"/>
      </c>
      <c r="J105" s="379">
        <f t="shared" si="19"/>
      </c>
      <c r="K105" s="460">
        <f t="shared" si="20"/>
        <v>1091.5055425347844</v>
      </c>
      <c r="L105" s="487">
        <f t="shared" si="21"/>
        <v>1807533.178437603</v>
      </c>
      <c r="M105" s="487"/>
      <c r="N105" s="477">
        <v>256</v>
      </c>
      <c r="O105" s="388" t="s">
        <v>865</v>
      </c>
      <c r="P105" s="470">
        <v>0</v>
      </c>
      <c r="Q105" s="471" t="s">
        <v>769</v>
      </c>
      <c r="X105" s="472" t="s">
        <v>146</v>
      </c>
      <c r="Y105" s="473">
        <v>20.5</v>
      </c>
      <c r="Z105" s="474">
        <v>3545411.13</v>
      </c>
      <c r="AA105" s="475">
        <f t="shared" si="22"/>
        <v>17294688.43902439</v>
      </c>
      <c r="AB105" s="474">
        <v>576094.3518066548</v>
      </c>
      <c r="AD105" s="1"/>
      <c r="AE105" s="488">
        <v>256</v>
      </c>
      <c r="AF105">
        <f t="shared" si="23"/>
        <v>0</v>
      </c>
      <c r="AG105" s="1"/>
      <c r="AH105" s="476">
        <v>3644.303944589309</v>
      </c>
      <c r="AI105">
        <f t="shared" si="24"/>
        <v>3644303.944589309</v>
      </c>
      <c r="AJ105" s="489">
        <v>579.28628</v>
      </c>
      <c r="AK105">
        <f t="shared" si="25"/>
        <v>579286.28</v>
      </c>
    </row>
    <row r="106" spans="1:37" ht="15" customHeight="1">
      <c r="A106" s="452" t="s">
        <v>866</v>
      </c>
      <c r="B106" s="466">
        <v>39170</v>
      </c>
      <c r="C106" s="467">
        <f t="shared" si="13"/>
        <v>172659294.20682052</v>
      </c>
      <c r="D106" s="467">
        <f t="shared" si="14"/>
        <v>6611254.750387169</v>
      </c>
      <c r="E106" s="467">
        <v>0</v>
      </c>
      <c r="F106" s="467">
        <f t="shared" si="15"/>
        <v>179270548.95720768</v>
      </c>
      <c r="G106" s="468">
        <f t="shared" si="16"/>
        <v>4576.730889895524</v>
      </c>
      <c r="H106" s="459">
        <f t="shared" si="17"/>
        <v>-791.4008898955244</v>
      </c>
      <c r="I106" s="379">
        <f t="shared" si="18"/>
        <v>6.6738046534080135</v>
      </c>
      <c r="J106" s="379">
        <f t="shared" si="19"/>
        <v>36.67380465340801</v>
      </c>
      <c r="K106" s="460">
        <f t="shared" si="20"/>
        <v>-290.23681638561726</v>
      </c>
      <c r="L106" s="487">
        <f t="shared" si="21"/>
        <v>-11368576.097824628</v>
      </c>
      <c r="M106" s="487"/>
      <c r="N106" s="477">
        <v>257</v>
      </c>
      <c r="O106" s="478" t="s">
        <v>867</v>
      </c>
      <c r="P106" s="470">
        <v>1</v>
      </c>
      <c r="Q106" s="471" t="s">
        <v>741</v>
      </c>
      <c r="X106" s="472" t="s">
        <v>147</v>
      </c>
      <c r="Y106" s="473">
        <v>19.5</v>
      </c>
      <c r="Z106" s="474">
        <v>169614923.78</v>
      </c>
      <c r="AA106" s="475">
        <f t="shared" si="22"/>
        <v>869820121.948718</v>
      </c>
      <c r="AB106" s="474">
        <v>6611254.750387169</v>
      </c>
      <c r="AE106" s="488">
        <v>257</v>
      </c>
      <c r="AF106">
        <f t="shared" si="23"/>
        <v>0</v>
      </c>
      <c r="AH106" s="476">
        <v>170960.4503749958</v>
      </c>
      <c r="AI106">
        <f t="shared" si="24"/>
        <v>170960450.3749958</v>
      </c>
      <c r="AJ106" s="489">
        <v>6647.885296</v>
      </c>
      <c r="AK106">
        <f t="shared" si="25"/>
        <v>6647885.296</v>
      </c>
    </row>
    <row r="107" spans="1:37" s="1" customFormat="1" ht="15" customHeight="1">
      <c r="A107" s="452" t="s">
        <v>868</v>
      </c>
      <c r="B107" s="466">
        <v>10486</v>
      </c>
      <c r="C107" s="467">
        <f t="shared" si="13"/>
        <v>25603341.551093027</v>
      </c>
      <c r="D107" s="467">
        <f t="shared" si="14"/>
        <v>2135482.826354329</v>
      </c>
      <c r="E107" s="467">
        <v>0</v>
      </c>
      <c r="F107" s="467">
        <f t="shared" si="15"/>
        <v>27738824.377447356</v>
      </c>
      <c r="G107" s="468">
        <f t="shared" si="16"/>
        <v>2645.3198910401825</v>
      </c>
      <c r="H107" s="459">
        <f t="shared" si="17"/>
        <v>1140.0101089598174</v>
      </c>
      <c r="I107" s="379">
        <f t="shared" si="18"/>
      </c>
      <c r="J107" s="379">
        <f t="shared" si="19"/>
      </c>
      <c r="K107" s="460">
        <f t="shared" si="20"/>
        <v>912.008087167854</v>
      </c>
      <c r="L107" s="487">
        <f t="shared" si="21"/>
        <v>9563316.802042117</v>
      </c>
      <c r="M107" s="487"/>
      <c r="N107" s="477">
        <v>260</v>
      </c>
      <c r="O107" s="388" t="s">
        <v>868</v>
      </c>
      <c r="P107" s="470">
        <v>0</v>
      </c>
      <c r="Q107" s="471" t="s">
        <v>805</v>
      </c>
      <c r="R107"/>
      <c r="S107"/>
      <c r="T107"/>
      <c r="U107"/>
      <c r="V107"/>
      <c r="W107"/>
      <c r="X107" s="472" t="s">
        <v>148</v>
      </c>
      <c r="Y107" s="473">
        <v>21.5</v>
      </c>
      <c r="Z107" s="474">
        <v>27731579.01</v>
      </c>
      <c r="AA107" s="475">
        <f t="shared" si="22"/>
        <v>128984088.41860466</v>
      </c>
      <c r="AB107" s="474">
        <v>2135482.826354329</v>
      </c>
      <c r="AC107"/>
      <c r="AD107"/>
      <c r="AE107" s="488">
        <v>260</v>
      </c>
      <c r="AF107">
        <f t="shared" si="23"/>
        <v>0</v>
      </c>
      <c r="AG107"/>
      <c r="AH107" s="476">
        <v>27934.96082916807</v>
      </c>
      <c r="AI107">
        <f t="shared" si="24"/>
        <v>27934960.82916807</v>
      </c>
      <c r="AJ107" s="489">
        <v>2147.314756</v>
      </c>
      <c r="AK107">
        <f t="shared" si="25"/>
        <v>2147314.756</v>
      </c>
    </row>
    <row r="108" spans="1:37" ht="15" customHeight="1">
      <c r="A108" s="452" t="s">
        <v>869</v>
      </c>
      <c r="B108" s="466">
        <v>6421</v>
      </c>
      <c r="C108" s="467">
        <f t="shared" si="13"/>
        <v>19750908.69217284</v>
      </c>
      <c r="D108" s="467">
        <f t="shared" si="14"/>
        <v>2145236.5565013774</v>
      </c>
      <c r="E108" s="467">
        <v>0</v>
      </c>
      <c r="F108" s="467">
        <f t="shared" si="15"/>
        <v>21896145.248674218</v>
      </c>
      <c r="G108" s="468">
        <f t="shared" si="16"/>
        <v>3410.083359083354</v>
      </c>
      <c r="H108" s="459">
        <f t="shared" si="17"/>
        <v>375.2466409166459</v>
      </c>
      <c r="I108" s="379">
        <f t="shared" si="18"/>
      </c>
      <c r="J108" s="379">
        <f t="shared" si="19"/>
      </c>
      <c r="K108" s="460">
        <f t="shared" si="20"/>
        <v>300.1973127333167</v>
      </c>
      <c r="L108" s="487">
        <f t="shared" si="21"/>
        <v>1927566.9450606266</v>
      </c>
      <c r="M108" s="487"/>
      <c r="N108" s="477">
        <v>261</v>
      </c>
      <c r="O108" s="388" t="s">
        <v>869</v>
      </c>
      <c r="P108" s="470">
        <v>0</v>
      </c>
      <c r="Q108" s="471" t="s">
        <v>749</v>
      </c>
      <c r="S108" s="1"/>
      <c r="T108" s="1"/>
      <c r="U108" s="1"/>
      <c r="X108" s="472" t="s">
        <v>149</v>
      </c>
      <c r="Y108" s="473">
        <v>20.25</v>
      </c>
      <c r="Z108" s="474">
        <v>20148911.89</v>
      </c>
      <c r="AA108" s="475">
        <f t="shared" si="22"/>
        <v>99500799.45679012</v>
      </c>
      <c r="AB108" s="474">
        <v>2145236.5565013774</v>
      </c>
      <c r="AC108" s="1"/>
      <c r="AE108" s="488">
        <v>261</v>
      </c>
      <c r="AF108">
        <f t="shared" si="23"/>
        <v>0</v>
      </c>
      <c r="AH108" s="476">
        <v>20066.611017950658</v>
      </c>
      <c r="AI108">
        <f t="shared" si="24"/>
        <v>20066611.017950658</v>
      </c>
      <c r="AJ108" s="489">
        <v>2157.122528</v>
      </c>
      <c r="AK108">
        <f t="shared" si="25"/>
        <v>2157122.528</v>
      </c>
    </row>
    <row r="109" spans="1:37" ht="15" customHeight="1">
      <c r="A109" s="452" t="s">
        <v>870</v>
      </c>
      <c r="B109" s="466">
        <v>8283</v>
      </c>
      <c r="C109" s="467">
        <f t="shared" si="13"/>
        <v>19110169.033301204</v>
      </c>
      <c r="D109" s="467">
        <f t="shared" si="14"/>
        <v>1813646.750393589</v>
      </c>
      <c r="E109" s="467">
        <v>0</v>
      </c>
      <c r="F109" s="467">
        <f t="shared" si="15"/>
        <v>20923815.783694793</v>
      </c>
      <c r="G109" s="468">
        <f t="shared" si="16"/>
        <v>2526.1156324634544</v>
      </c>
      <c r="H109" s="459">
        <f t="shared" si="17"/>
        <v>1259.2143675365455</v>
      </c>
      <c r="I109" s="379">
        <f t="shared" si="18"/>
      </c>
      <c r="J109" s="379">
        <f t="shared" si="19"/>
      </c>
      <c r="K109" s="460">
        <f t="shared" si="20"/>
        <v>1007.3714940292365</v>
      </c>
      <c r="L109" s="487">
        <f t="shared" si="21"/>
        <v>8344058.085044166</v>
      </c>
      <c r="M109" s="487"/>
      <c r="N109" s="477">
        <v>263</v>
      </c>
      <c r="O109" s="388" t="s">
        <v>870</v>
      </c>
      <c r="P109" s="470">
        <v>0</v>
      </c>
      <c r="Q109" s="471" t="s">
        <v>798</v>
      </c>
      <c r="X109" s="472" t="s">
        <v>150</v>
      </c>
      <c r="Y109" s="473">
        <v>20.75</v>
      </c>
      <c r="Z109" s="474">
        <v>19976625.06</v>
      </c>
      <c r="AA109" s="475">
        <f t="shared" si="22"/>
        <v>96272891.85542168</v>
      </c>
      <c r="AB109" s="474">
        <v>1813646.750393589</v>
      </c>
      <c r="AD109" s="479"/>
      <c r="AE109" s="488">
        <v>263</v>
      </c>
      <c r="AF109">
        <f t="shared" si="23"/>
        <v>0</v>
      </c>
      <c r="AG109" s="479"/>
      <c r="AH109" s="476">
        <v>19807.75424920467</v>
      </c>
      <c r="AI109">
        <f t="shared" si="24"/>
        <v>19807754.24920467</v>
      </c>
      <c r="AJ109" s="489">
        <v>1823.695504</v>
      </c>
      <c r="AK109">
        <f t="shared" si="25"/>
        <v>1823695.504</v>
      </c>
    </row>
    <row r="110" spans="1:37" ht="15" customHeight="1">
      <c r="A110" s="452" t="s">
        <v>871</v>
      </c>
      <c r="B110" s="466">
        <v>1132</v>
      </c>
      <c r="C110" s="467">
        <f t="shared" si="13"/>
        <v>2293682.752186047</v>
      </c>
      <c r="D110" s="467">
        <f t="shared" si="14"/>
        <v>617522.4180370484</v>
      </c>
      <c r="E110" s="467">
        <v>0</v>
      </c>
      <c r="F110" s="467">
        <f t="shared" si="15"/>
        <v>2911205.1702230955</v>
      </c>
      <c r="G110" s="468">
        <f t="shared" si="16"/>
        <v>2571.7360160981407</v>
      </c>
      <c r="H110" s="459">
        <f t="shared" si="17"/>
        <v>1213.5939839018592</v>
      </c>
      <c r="I110" s="379">
        <f t="shared" si="18"/>
      </c>
      <c r="J110" s="379">
        <f t="shared" si="19"/>
      </c>
      <c r="K110" s="460">
        <f t="shared" si="20"/>
        <v>970.8751871214874</v>
      </c>
      <c r="L110" s="487">
        <f t="shared" si="21"/>
        <v>1099030.7118215237</v>
      </c>
      <c r="M110" s="487"/>
      <c r="N110" s="477">
        <v>265</v>
      </c>
      <c r="O110" s="388" t="s">
        <v>871</v>
      </c>
      <c r="P110" s="470">
        <v>0</v>
      </c>
      <c r="Q110" s="471" t="s">
        <v>769</v>
      </c>
      <c r="X110" s="472" t="s">
        <v>151</v>
      </c>
      <c r="Y110" s="473">
        <v>21.5</v>
      </c>
      <c r="Z110" s="474">
        <v>2484341.52</v>
      </c>
      <c r="AA110" s="475">
        <f t="shared" si="22"/>
        <v>11555076.837209303</v>
      </c>
      <c r="AB110" s="474">
        <v>617522.4180370484</v>
      </c>
      <c r="AE110" s="488">
        <v>265</v>
      </c>
      <c r="AF110">
        <f t="shared" si="23"/>
        <v>0</v>
      </c>
      <c r="AH110" s="476">
        <v>2501.0475589256985</v>
      </c>
      <c r="AI110">
        <f t="shared" si="24"/>
        <v>2501047.5589256985</v>
      </c>
      <c r="AJ110" s="489">
        <v>620.943884</v>
      </c>
      <c r="AK110">
        <f t="shared" si="25"/>
        <v>620943.8840000001</v>
      </c>
    </row>
    <row r="111" spans="1:37" s="479" customFormat="1" ht="15" customHeight="1">
      <c r="A111" s="452" t="s">
        <v>872</v>
      </c>
      <c r="B111" s="466">
        <v>7381</v>
      </c>
      <c r="C111" s="467">
        <f t="shared" si="13"/>
        <v>20436642.291149426</v>
      </c>
      <c r="D111" s="467">
        <f t="shared" si="14"/>
        <v>1208367.1155704993</v>
      </c>
      <c r="E111" s="467">
        <v>0</v>
      </c>
      <c r="F111" s="467">
        <f t="shared" si="15"/>
        <v>21645009.406719927</v>
      </c>
      <c r="G111" s="468">
        <f t="shared" si="16"/>
        <v>2932.5307420024287</v>
      </c>
      <c r="H111" s="459">
        <f t="shared" si="17"/>
        <v>852.7992579975712</v>
      </c>
      <c r="I111" s="379">
        <f t="shared" si="18"/>
      </c>
      <c r="J111" s="379">
        <f t="shared" si="19"/>
      </c>
      <c r="K111" s="460">
        <f t="shared" si="20"/>
        <v>682.239406398057</v>
      </c>
      <c r="L111" s="487">
        <f t="shared" si="21"/>
        <v>5035609.058624059</v>
      </c>
      <c r="M111" s="487"/>
      <c r="N111" s="477">
        <v>271</v>
      </c>
      <c r="O111" s="478" t="s">
        <v>873</v>
      </c>
      <c r="P111" s="470">
        <v>0</v>
      </c>
      <c r="Q111" s="471" t="s">
        <v>753</v>
      </c>
      <c r="R111"/>
      <c r="S111" s="1"/>
      <c r="T111" s="1"/>
      <c r="U111" s="1"/>
      <c r="V111"/>
      <c r="W111"/>
      <c r="X111" s="472" t="s">
        <v>152</v>
      </c>
      <c r="Y111" s="473">
        <v>21.75</v>
      </c>
      <c r="Z111" s="474">
        <v>22392794.45</v>
      </c>
      <c r="AA111" s="475">
        <f t="shared" si="22"/>
        <v>102955376.78160919</v>
      </c>
      <c r="AB111" s="474">
        <v>1208367.1155704993</v>
      </c>
      <c r="AC111" s="1"/>
      <c r="AD111" s="1"/>
      <c r="AE111" s="488">
        <v>271</v>
      </c>
      <c r="AF111">
        <f t="shared" si="23"/>
        <v>0</v>
      </c>
      <c r="AG111" s="1"/>
      <c r="AH111" s="476">
        <v>22354.034269046733</v>
      </c>
      <c r="AI111">
        <f t="shared" si="24"/>
        <v>22354034.269046735</v>
      </c>
      <c r="AJ111" s="489">
        <v>1215.062236</v>
      </c>
      <c r="AK111">
        <f t="shared" si="25"/>
        <v>1215062.236</v>
      </c>
    </row>
    <row r="112" spans="1:37" ht="15" customHeight="1">
      <c r="A112" s="465" t="s">
        <v>874</v>
      </c>
      <c r="B112" s="466">
        <v>47723</v>
      </c>
      <c r="C112" s="467">
        <f t="shared" si="13"/>
        <v>146271403.24273565</v>
      </c>
      <c r="D112" s="467">
        <f t="shared" si="14"/>
        <v>15762585.070648849</v>
      </c>
      <c r="E112" s="467">
        <v>0</v>
      </c>
      <c r="F112" s="467">
        <f t="shared" si="15"/>
        <v>162033988.3133845</v>
      </c>
      <c r="G112" s="468">
        <f t="shared" si="16"/>
        <v>3395.3018107282546</v>
      </c>
      <c r="H112" s="459">
        <f t="shared" si="17"/>
        <v>390.0281892717453</v>
      </c>
      <c r="I112" s="379">
        <f t="shared" si="18"/>
      </c>
      <c r="J112" s="379">
        <f t="shared" si="19"/>
      </c>
      <c r="K112" s="460">
        <f t="shared" si="20"/>
        <v>312.02255141739624</v>
      </c>
      <c r="L112" s="487">
        <f t="shared" si="21"/>
        <v>14890652.2212924</v>
      </c>
      <c r="M112" s="487"/>
      <c r="N112" s="469">
        <v>272</v>
      </c>
      <c r="O112" s="478" t="s">
        <v>875</v>
      </c>
      <c r="P112" s="470">
        <v>1</v>
      </c>
      <c r="Q112" s="471" t="s">
        <v>764</v>
      </c>
      <c r="X112" s="472" t="s">
        <v>153</v>
      </c>
      <c r="Y112" s="473">
        <v>21.75</v>
      </c>
      <c r="Z112" s="474">
        <v>160272192.47</v>
      </c>
      <c r="AA112" s="475">
        <f t="shared" si="22"/>
        <v>736883643.5402299</v>
      </c>
      <c r="AB112" s="474">
        <v>15762585.070648849</v>
      </c>
      <c r="AE112" s="488">
        <v>272</v>
      </c>
      <c r="AF112">
        <f t="shared" si="23"/>
        <v>0</v>
      </c>
      <c r="AH112" s="476">
        <v>159794.29234909033</v>
      </c>
      <c r="AI112">
        <f t="shared" si="24"/>
        <v>159794292.34909034</v>
      </c>
      <c r="AJ112" s="489">
        <v>15849.919791999999</v>
      </c>
      <c r="AK112">
        <f t="shared" si="25"/>
        <v>15849919.792</v>
      </c>
    </row>
    <row r="113" spans="1:37" s="1" customFormat="1" ht="15" customHeight="1">
      <c r="A113" s="452" t="s">
        <v>876</v>
      </c>
      <c r="B113" s="466">
        <v>3854</v>
      </c>
      <c r="C113" s="467">
        <f t="shared" si="13"/>
        <v>10332212.9044</v>
      </c>
      <c r="D113" s="467">
        <f t="shared" si="14"/>
        <v>782101.8674750795</v>
      </c>
      <c r="E113" s="467">
        <v>0</v>
      </c>
      <c r="F113" s="467">
        <f t="shared" si="15"/>
        <v>11114314.77187508</v>
      </c>
      <c r="G113" s="468">
        <f t="shared" si="16"/>
        <v>2883.838809516108</v>
      </c>
      <c r="H113" s="459">
        <f t="shared" si="17"/>
        <v>901.4911904838918</v>
      </c>
      <c r="I113" s="379">
        <f t="shared" si="18"/>
      </c>
      <c r="J113" s="379">
        <f t="shared" si="19"/>
      </c>
      <c r="K113" s="460">
        <f t="shared" si="20"/>
        <v>721.1929523871136</v>
      </c>
      <c r="L113" s="487">
        <f t="shared" si="21"/>
        <v>2779477.6384999356</v>
      </c>
      <c r="M113" s="487"/>
      <c r="N113" s="477">
        <v>273</v>
      </c>
      <c r="O113" s="388" t="s">
        <v>876</v>
      </c>
      <c r="P113" s="470">
        <v>0</v>
      </c>
      <c r="Q113" s="471" t="s">
        <v>749</v>
      </c>
      <c r="R113"/>
      <c r="S113"/>
      <c r="T113"/>
      <c r="U113"/>
      <c r="V113"/>
      <c r="W113"/>
      <c r="X113" s="472" t="s">
        <v>154</v>
      </c>
      <c r="Y113" s="473">
        <v>20</v>
      </c>
      <c r="Z113" s="474">
        <v>10410290.08</v>
      </c>
      <c r="AA113" s="475">
        <f t="shared" si="22"/>
        <v>52051450.4</v>
      </c>
      <c r="AB113" s="474">
        <v>782101.8674750795</v>
      </c>
      <c r="AC113"/>
      <c r="AD113"/>
      <c r="AE113" s="488">
        <v>273</v>
      </c>
      <c r="AF113">
        <f t="shared" si="23"/>
        <v>0</v>
      </c>
      <c r="AG113"/>
      <c r="AH113" s="476">
        <v>10527.38314143612</v>
      </c>
      <c r="AI113">
        <f t="shared" si="24"/>
        <v>10527383.141436119</v>
      </c>
      <c r="AJ113" s="489">
        <v>786.435208</v>
      </c>
      <c r="AK113">
        <f t="shared" si="25"/>
        <v>786435.208</v>
      </c>
    </row>
    <row r="114" spans="1:37" ht="15" customHeight="1">
      <c r="A114" s="452" t="s">
        <v>877</v>
      </c>
      <c r="B114" s="466">
        <v>2748</v>
      </c>
      <c r="C114" s="467">
        <f t="shared" si="13"/>
        <v>6574190.153931818</v>
      </c>
      <c r="D114" s="467">
        <f t="shared" si="14"/>
        <v>817556.2437377078</v>
      </c>
      <c r="E114" s="467">
        <v>0</v>
      </c>
      <c r="F114" s="467">
        <f t="shared" si="15"/>
        <v>7391746.397669526</v>
      </c>
      <c r="G114" s="468">
        <f t="shared" si="16"/>
        <v>2689.8640457312686</v>
      </c>
      <c r="H114" s="459">
        <f t="shared" si="17"/>
        <v>1095.4659542687314</v>
      </c>
      <c r="I114" s="379">
        <f t="shared" si="18"/>
      </c>
      <c r="J114" s="379">
        <f t="shared" si="19"/>
      </c>
      <c r="K114" s="460">
        <f t="shared" si="20"/>
        <v>876.3727634149851</v>
      </c>
      <c r="L114" s="487">
        <f t="shared" si="21"/>
        <v>2408272.353864379</v>
      </c>
      <c r="M114" s="487"/>
      <c r="N114" s="477">
        <v>275</v>
      </c>
      <c r="O114" s="388" t="s">
        <v>877</v>
      </c>
      <c r="P114" s="470">
        <v>0</v>
      </c>
      <c r="Q114" s="471" t="s">
        <v>769</v>
      </c>
      <c r="X114" s="472" t="s">
        <v>155</v>
      </c>
      <c r="Y114" s="473">
        <v>22</v>
      </c>
      <c r="Z114" s="474">
        <v>7286256.09</v>
      </c>
      <c r="AA114" s="475">
        <f t="shared" si="22"/>
        <v>33119345.863636363</v>
      </c>
      <c r="AB114" s="474">
        <v>817556.2437377078</v>
      </c>
      <c r="AE114" s="488">
        <v>275</v>
      </c>
      <c r="AF114">
        <f t="shared" si="23"/>
        <v>0</v>
      </c>
      <c r="AH114" s="476">
        <v>7375.42443305662</v>
      </c>
      <c r="AI114">
        <f t="shared" si="24"/>
        <v>7375424.43305662</v>
      </c>
      <c r="AJ114" s="489">
        <v>822.086024</v>
      </c>
      <c r="AK114">
        <f t="shared" si="25"/>
        <v>822086.024</v>
      </c>
    </row>
    <row r="115" spans="1:37" ht="15" customHeight="1">
      <c r="A115" s="452" t="s">
        <v>878</v>
      </c>
      <c r="B115" s="466">
        <v>14830</v>
      </c>
      <c r="C115" s="467">
        <f t="shared" si="13"/>
        <v>45151686.83743902</v>
      </c>
      <c r="D115" s="467">
        <f t="shared" si="14"/>
        <v>1413651.8280272756</v>
      </c>
      <c r="E115" s="467">
        <v>0</v>
      </c>
      <c r="F115" s="467">
        <f t="shared" si="15"/>
        <v>46565338.6654663</v>
      </c>
      <c r="G115" s="468">
        <f t="shared" si="16"/>
        <v>3139.9419194515376</v>
      </c>
      <c r="H115" s="459">
        <f t="shared" si="17"/>
        <v>645.3880805484623</v>
      </c>
      <c r="I115" s="379">
        <f t="shared" si="18"/>
      </c>
      <c r="J115" s="379">
        <f t="shared" si="19"/>
      </c>
      <c r="K115" s="460">
        <f t="shared" si="20"/>
        <v>516.3104644387698</v>
      </c>
      <c r="L115" s="487">
        <f t="shared" si="21"/>
        <v>7656884.187626957</v>
      </c>
      <c r="M115" s="487"/>
      <c r="N115" s="477">
        <v>276</v>
      </c>
      <c r="O115" s="388" t="s">
        <v>878</v>
      </c>
      <c r="P115" s="470">
        <v>0</v>
      </c>
      <c r="Q115" s="471" t="s">
        <v>805</v>
      </c>
      <c r="S115" s="479"/>
      <c r="T115" s="479"/>
      <c r="U115" s="479"/>
      <c r="X115" s="472" t="s">
        <v>156</v>
      </c>
      <c r="Y115" s="473">
        <v>20.5</v>
      </c>
      <c r="Z115" s="474">
        <v>46630205.55</v>
      </c>
      <c r="AA115" s="475">
        <f t="shared" si="22"/>
        <v>227464417.31707317</v>
      </c>
      <c r="AB115" s="474">
        <v>1413651.8280272756</v>
      </c>
      <c r="AC115" s="479"/>
      <c r="AE115" s="488">
        <v>276</v>
      </c>
      <c r="AF115">
        <f t="shared" si="23"/>
        <v>0</v>
      </c>
      <c r="AH115" s="476">
        <v>46563.43621440355</v>
      </c>
      <c r="AI115">
        <f t="shared" si="24"/>
        <v>46563436.21440355</v>
      </c>
      <c r="AJ115" s="489">
        <v>1421.4843560000002</v>
      </c>
      <c r="AK115">
        <f t="shared" si="25"/>
        <v>1421484.3560000001</v>
      </c>
    </row>
    <row r="116" spans="1:37" ht="15" customHeight="1">
      <c r="A116" s="452" t="s">
        <v>879</v>
      </c>
      <c r="B116" s="466">
        <v>2154</v>
      </c>
      <c r="C116" s="467">
        <f t="shared" si="13"/>
        <v>5030563.655547618</v>
      </c>
      <c r="D116" s="467">
        <f t="shared" si="14"/>
        <v>850382.8395710245</v>
      </c>
      <c r="E116" s="467">
        <v>0</v>
      </c>
      <c r="F116" s="467">
        <f t="shared" si="15"/>
        <v>5880946.495118642</v>
      </c>
      <c r="G116" s="468">
        <f t="shared" si="16"/>
        <v>2730.2444267031765</v>
      </c>
      <c r="H116" s="459">
        <f t="shared" si="17"/>
        <v>1055.0855732968234</v>
      </c>
      <c r="I116" s="379">
        <f t="shared" si="18"/>
      </c>
      <c r="J116" s="379">
        <f t="shared" si="19"/>
      </c>
      <c r="K116" s="460">
        <f t="shared" si="20"/>
        <v>844.0684586374588</v>
      </c>
      <c r="L116" s="487">
        <f t="shared" si="21"/>
        <v>1818123.4599050863</v>
      </c>
      <c r="M116" s="487"/>
      <c r="N116" s="477">
        <v>280</v>
      </c>
      <c r="O116" s="388" t="s">
        <v>879</v>
      </c>
      <c r="P116" s="470">
        <v>3</v>
      </c>
      <c r="Q116" s="471" t="s">
        <v>814</v>
      </c>
      <c r="X116" s="472" t="s">
        <v>157</v>
      </c>
      <c r="Y116" s="473">
        <v>21</v>
      </c>
      <c r="Z116" s="474">
        <v>5322006.89</v>
      </c>
      <c r="AA116" s="475">
        <f t="shared" si="22"/>
        <v>25342889.952380948</v>
      </c>
      <c r="AB116" s="474">
        <v>850382.8395710245</v>
      </c>
      <c r="AE116" s="488">
        <v>280</v>
      </c>
      <c r="AF116">
        <f t="shared" si="23"/>
        <v>0</v>
      </c>
      <c r="AH116" s="476">
        <v>5378.285632789141</v>
      </c>
      <c r="AI116">
        <f t="shared" si="24"/>
        <v>5378285.6327891415</v>
      </c>
      <c r="AJ116" s="489">
        <v>855.0944999999999</v>
      </c>
      <c r="AK116">
        <f t="shared" si="25"/>
        <v>855094.4999999999</v>
      </c>
    </row>
    <row r="117" spans="1:37" ht="15" customHeight="1">
      <c r="A117" s="452" t="s">
        <v>880</v>
      </c>
      <c r="B117" s="466">
        <v>2359</v>
      </c>
      <c r="C117" s="467">
        <f t="shared" si="13"/>
        <v>5942131.733615385</v>
      </c>
      <c r="D117" s="467">
        <f t="shared" si="14"/>
        <v>610511.0773127781</v>
      </c>
      <c r="E117" s="467">
        <v>0</v>
      </c>
      <c r="F117" s="467">
        <f t="shared" si="15"/>
        <v>6552642.810928163</v>
      </c>
      <c r="G117" s="468">
        <f t="shared" si="16"/>
        <v>2777.7205641916757</v>
      </c>
      <c r="H117" s="459">
        <f t="shared" si="17"/>
        <v>1007.6094358083242</v>
      </c>
      <c r="I117" s="379">
        <f t="shared" si="18"/>
      </c>
      <c r="J117" s="379">
        <f t="shared" si="19"/>
      </c>
      <c r="K117" s="460">
        <f t="shared" si="20"/>
        <v>806.0875486466593</v>
      </c>
      <c r="L117" s="487">
        <f t="shared" si="21"/>
        <v>1901560.5272574695</v>
      </c>
      <c r="M117" s="487"/>
      <c r="N117" s="477">
        <v>284</v>
      </c>
      <c r="O117" s="388" t="s">
        <v>880</v>
      </c>
      <c r="P117" s="470">
        <v>0</v>
      </c>
      <c r="Q117" s="471" t="s">
        <v>743</v>
      </c>
      <c r="S117" s="1"/>
      <c r="T117" s="1"/>
      <c r="U117" s="1"/>
      <c r="X117" s="472" t="s">
        <v>158</v>
      </c>
      <c r="Y117" s="473">
        <v>19.5</v>
      </c>
      <c r="Z117" s="474">
        <v>5837358.63</v>
      </c>
      <c r="AA117" s="475">
        <f t="shared" si="22"/>
        <v>29935172.46153846</v>
      </c>
      <c r="AB117" s="474">
        <v>610511.0773127781</v>
      </c>
      <c r="AC117" s="1"/>
      <c r="AE117" s="488">
        <v>284</v>
      </c>
      <c r="AF117">
        <f t="shared" si="23"/>
        <v>0</v>
      </c>
      <c r="AH117" s="476">
        <v>5826.595951893457</v>
      </c>
      <c r="AI117">
        <f t="shared" si="24"/>
        <v>5826595.951893457</v>
      </c>
      <c r="AJ117" s="489">
        <v>613.893696</v>
      </c>
      <c r="AK117">
        <f t="shared" si="25"/>
        <v>613893.696</v>
      </c>
    </row>
    <row r="118" spans="1:37" ht="15" customHeight="1">
      <c r="A118" s="452" t="s">
        <v>881</v>
      </c>
      <c r="B118" s="466">
        <v>53539</v>
      </c>
      <c r="C118" s="467">
        <f t="shared" si="13"/>
        <v>177180615.47534886</v>
      </c>
      <c r="D118" s="467">
        <f t="shared" si="14"/>
        <v>9644794.579204777</v>
      </c>
      <c r="E118" s="467">
        <v>0</v>
      </c>
      <c r="F118" s="467">
        <f t="shared" si="15"/>
        <v>186825410.05455363</v>
      </c>
      <c r="G118" s="468">
        <f t="shared" si="16"/>
        <v>3489.5199771111456</v>
      </c>
      <c r="H118" s="459">
        <f t="shared" si="17"/>
        <v>295.8100228888543</v>
      </c>
      <c r="I118" s="379">
        <f t="shared" si="18"/>
      </c>
      <c r="J118" s="379">
        <f t="shared" si="19"/>
      </c>
      <c r="K118" s="460">
        <f t="shared" si="20"/>
        <v>236.64801831108343</v>
      </c>
      <c r="L118" s="487">
        <f t="shared" si="21"/>
        <v>12669898.252357095</v>
      </c>
      <c r="M118" s="487"/>
      <c r="N118" s="477">
        <v>285</v>
      </c>
      <c r="O118" s="388" t="s">
        <v>881</v>
      </c>
      <c r="P118" s="470">
        <v>0</v>
      </c>
      <c r="Q118" s="471" t="s">
        <v>767</v>
      </c>
      <c r="X118" s="472" t="s">
        <v>159</v>
      </c>
      <c r="Y118" s="473">
        <v>21.5</v>
      </c>
      <c r="Z118" s="474">
        <v>191908475.2</v>
      </c>
      <c r="AA118" s="475">
        <f t="shared" si="22"/>
        <v>892597559.0697675</v>
      </c>
      <c r="AB118" s="474">
        <v>9644794.579204777</v>
      </c>
      <c r="AE118" s="488">
        <v>285</v>
      </c>
      <c r="AF118">
        <f t="shared" si="23"/>
        <v>0</v>
      </c>
      <c r="AH118" s="476">
        <v>192633.1620321079</v>
      </c>
      <c r="AI118">
        <f t="shared" si="24"/>
        <v>192633162.03210792</v>
      </c>
      <c r="AJ118" s="489">
        <v>9698.23286</v>
      </c>
      <c r="AK118">
        <f t="shared" si="25"/>
        <v>9698232.86</v>
      </c>
    </row>
    <row r="119" spans="1:37" ht="15" customHeight="1">
      <c r="A119" s="465" t="s">
        <v>882</v>
      </c>
      <c r="B119" s="466">
        <v>84196</v>
      </c>
      <c r="C119" s="467">
        <f t="shared" si="13"/>
        <v>274091413.2740241</v>
      </c>
      <c r="D119" s="467">
        <f t="shared" si="14"/>
        <v>20442899.64662449</v>
      </c>
      <c r="E119" s="467">
        <v>0</v>
      </c>
      <c r="F119" s="467">
        <f t="shared" si="15"/>
        <v>294534312.92064863</v>
      </c>
      <c r="G119" s="468">
        <f t="shared" si="16"/>
        <v>3498.1984051575923</v>
      </c>
      <c r="H119" s="459">
        <f t="shared" si="17"/>
        <v>287.1315948424076</v>
      </c>
      <c r="I119" s="379">
        <f t="shared" si="18"/>
      </c>
      <c r="J119" s="379">
        <f t="shared" si="19"/>
      </c>
      <c r="K119" s="460">
        <f t="shared" si="20"/>
        <v>229.7052758739261</v>
      </c>
      <c r="L119" s="487">
        <f t="shared" si="21"/>
        <v>19340265.40748108</v>
      </c>
      <c r="M119" s="487"/>
      <c r="N119" s="469">
        <v>286</v>
      </c>
      <c r="O119" s="388" t="s">
        <v>882</v>
      </c>
      <c r="P119" s="470">
        <v>0</v>
      </c>
      <c r="Q119" s="471" t="s">
        <v>767</v>
      </c>
      <c r="X119" s="472" t="s">
        <v>160</v>
      </c>
      <c r="Y119" s="473">
        <v>20.75</v>
      </c>
      <c r="Z119" s="474">
        <v>286518731.76</v>
      </c>
      <c r="AA119" s="475">
        <f t="shared" si="22"/>
        <v>1380813165.1084337</v>
      </c>
      <c r="AB119" s="474">
        <v>20442899.64662449</v>
      </c>
      <c r="AE119" s="488">
        <v>286</v>
      </c>
      <c r="AF119">
        <f t="shared" si="23"/>
        <v>0</v>
      </c>
      <c r="AH119" s="476">
        <v>287745.1544610491</v>
      </c>
      <c r="AI119">
        <f t="shared" si="24"/>
        <v>287745154.46104914</v>
      </c>
      <c r="AJ119" s="489">
        <v>20556.166279999998</v>
      </c>
      <c r="AK119">
        <f t="shared" si="25"/>
        <v>20556166.279999997</v>
      </c>
    </row>
    <row r="120" spans="1:37" ht="15" customHeight="1">
      <c r="A120" s="452" t="s">
        <v>883</v>
      </c>
      <c r="B120" s="466">
        <v>6638</v>
      </c>
      <c r="C120" s="467">
        <f t="shared" si="13"/>
        <v>18543752.46030233</v>
      </c>
      <c r="D120" s="467">
        <f t="shared" si="14"/>
        <v>1412434.130842209</v>
      </c>
      <c r="E120" s="467">
        <v>0</v>
      </c>
      <c r="F120" s="467">
        <f t="shared" si="15"/>
        <v>19956186.59114454</v>
      </c>
      <c r="G120" s="468">
        <f t="shared" si="16"/>
        <v>3006.3553165327717</v>
      </c>
      <c r="H120" s="459">
        <f t="shared" si="17"/>
        <v>778.9746834672283</v>
      </c>
      <c r="I120" s="379">
        <f t="shared" si="18"/>
      </c>
      <c r="J120" s="379">
        <f t="shared" si="19"/>
      </c>
      <c r="K120" s="460">
        <f t="shared" si="20"/>
        <v>623.1797467737827</v>
      </c>
      <c r="L120" s="487">
        <f t="shared" si="21"/>
        <v>4136667.1590843694</v>
      </c>
      <c r="M120" s="487"/>
      <c r="N120" s="477">
        <v>287</v>
      </c>
      <c r="O120" s="478" t="s">
        <v>884</v>
      </c>
      <c r="P120" s="470">
        <v>3</v>
      </c>
      <c r="Q120" s="471" t="s">
        <v>814</v>
      </c>
      <c r="X120" s="472" t="s">
        <v>161</v>
      </c>
      <c r="Y120" s="473">
        <v>21.5</v>
      </c>
      <c r="Z120" s="474">
        <v>20085172.69</v>
      </c>
      <c r="AA120" s="475">
        <f t="shared" si="22"/>
        <v>93419407.86046512</v>
      </c>
      <c r="AB120" s="474">
        <v>1412434.130842209</v>
      </c>
      <c r="AE120" s="488">
        <v>287</v>
      </c>
      <c r="AF120">
        <f t="shared" si="23"/>
        <v>0</v>
      </c>
      <c r="AH120" s="476">
        <v>19948.98785234351</v>
      </c>
      <c r="AI120">
        <f t="shared" si="24"/>
        <v>19948987.85234351</v>
      </c>
      <c r="AJ120" s="489">
        <v>1420.259912</v>
      </c>
      <c r="AK120">
        <f t="shared" si="25"/>
        <v>1420259.912</v>
      </c>
    </row>
    <row r="121" spans="1:37" ht="15" customHeight="1">
      <c r="A121" s="452" t="s">
        <v>885</v>
      </c>
      <c r="B121" s="466">
        <v>6531</v>
      </c>
      <c r="C121" s="467">
        <f t="shared" si="13"/>
        <v>17820470.82884091</v>
      </c>
      <c r="D121" s="467">
        <f t="shared" si="14"/>
        <v>2331643.5037537706</v>
      </c>
      <c r="E121" s="467">
        <v>0</v>
      </c>
      <c r="F121" s="467">
        <f t="shared" si="15"/>
        <v>20152114.33259468</v>
      </c>
      <c r="G121" s="468">
        <f t="shared" si="16"/>
        <v>3085.609299126425</v>
      </c>
      <c r="H121" s="459">
        <f t="shared" si="17"/>
        <v>699.720700873575</v>
      </c>
      <c r="I121" s="379">
        <f t="shared" si="18"/>
      </c>
      <c r="J121" s="379">
        <f t="shared" si="19"/>
      </c>
      <c r="K121" s="460">
        <f t="shared" si="20"/>
        <v>559.77656069886</v>
      </c>
      <c r="L121" s="487">
        <f t="shared" si="21"/>
        <v>3655900.7179242545</v>
      </c>
      <c r="M121" s="487"/>
      <c r="N121" s="477">
        <v>288</v>
      </c>
      <c r="O121" s="478" t="s">
        <v>886</v>
      </c>
      <c r="P121" s="470">
        <v>3</v>
      </c>
      <c r="Q121" s="471" t="s">
        <v>814</v>
      </c>
      <c r="X121" s="472" t="s">
        <v>162</v>
      </c>
      <c r="Y121" s="473">
        <v>22</v>
      </c>
      <c r="Z121" s="474">
        <v>19750647.77</v>
      </c>
      <c r="AA121" s="475">
        <f t="shared" si="22"/>
        <v>89775671.68181819</v>
      </c>
      <c r="AB121" s="474">
        <v>2331643.5037537706</v>
      </c>
      <c r="AE121" s="488">
        <v>288</v>
      </c>
      <c r="AF121">
        <f t="shared" si="23"/>
        <v>0</v>
      </c>
      <c r="AH121" s="476">
        <v>19756.514796861076</v>
      </c>
      <c r="AI121">
        <f t="shared" si="24"/>
        <v>19756514.796861075</v>
      </c>
      <c r="AJ121" s="489">
        <v>2344.562288</v>
      </c>
      <c r="AK121">
        <f t="shared" si="25"/>
        <v>2344562.288</v>
      </c>
    </row>
    <row r="122" spans="1:37" ht="15" customHeight="1">
      <c r="A122" s="452" t="s">
        <v>887</v>
      </c>
      <c r="B122" s="466">
        <v>8499</v>
      </c>
      <c r="C122" s="467">
        <f t="shared" si="13"/>
        <v>21456516.874</v>
      </c>
      <c r="D122" s="467">
        <f t="shared" si="14"/>
        <v>2874315.405139544</v>
      </c>
      <c r="E122" s="467">
        <v>0</v>
      </c>
      <c r="F122" s="467">
        <f t="shared" si="15"/>
        <v>24330832.279139545</v>
      </c>
      <c r="G122" s="468">
        <f t="shared" si="16"/>
        <v>2862.7876549169955</v>
      </c>
      <c r="H122" s="459">
        <f t="shared" si="17"/>
        <v>922.5423450830044</v>
      </c>
      <c r="I122" s="379">
        <f t="shared" si="18"/>
      </c>
      <c r="J122" s="379">
        <f t="shared" si="19"/>
      </c>
      <c r="K122" s="460">
        <f t="shared" si="20"/>
        <v>738.0338760664035</v>
      </c>
      <c r="L122" s="487">
        <f t="shared" si="21"/>
        <v>6272549.912688363</v>
      </c>
      <c r="M122" s="487"/>
      <c r="N122" s="477">
        <v>290</v>
      </c>
      <c r="O122" s="388" t="s">
        <v>887</v>
      </c>
      <c r="P122" s="470">
        <v>0</v>
      </c>
      <c r="Q122" s="471" t="s">
        <v>787</v>
      </c>
      <c r="X122" s="472" t="s">
        <v>163</v>
      </c>
      <c r="Y122" s="473">
        <v>21.5</v>
      </c>
      <c r="Z122" s="474">
        <v>23240056.06</v>
      </c>
      <c r="AA122" s="475">
        <f t="shared" si="22"/>
        <v>108093284</v>
      </c>
      <c r="AB122" s="474">
        <v>2874315.405139544</v>
      </c>
      <c r="AE122" s="488">
        <v>290</v>
      </c>
      <c r="AF122">
        <f t="shared" si="23"/>
        <v>0</v>
      </c>
      <c r="AH122" s="476">
        <v>23267.276109886476</v>
      </c>
      <c r="AI122">
        <f t="shared" si="24"/>
        <v>23267276.109886475</v>
      </c>
      <c r="AJ122" s="489">
        <v>2890.240936</v>
      </c>
      <c r="AK122">
        <f t="shared" si="25"/>
        <v>2890240.936</v>
      </c>
    </row>
    <row r="123" spans="1:37" ht="15" customHeight="1">
      <c r="A123" s="452" t="s">
        <v>888</v>
      </c>
      <c r="B123" s="466">
        <v>2252</v>
      </c>
      <c r="C123" s="467">
        <f t="shared" si="13"/>
        <v>5423969.576168675</v>
      </c>
      <c r="D123" s="467">
        <f t="shared" si="14"/>
        <v>1024711.9059458979</v>
      </c>
      <c r="E123" s="467">
        <v>0</v>
      </c>
      <c r="F123" s="467">
        <f t="shared" si="15"/>
        <v>6448681.482114573</v>
      </c>
      <c r="G123" s="468">
        <f t="shared" si="16"/>
        <v>2863.5352940117996</v>
      </c>
      <c r="H123" s="459">
        <f t="shared" si="17"/>
        <v>921.7947059882003</v>
      </c>
      <c r="I123" s="379">
        <f t="shared" si="18"/>
      </c>
      <c r="J123" s="379">
        <f t="shared" si="19"/>
      </c>
      <c r="K123" s="460">
        <f t="shared" si="20"/>
        <v>737.4357647905604</v>
      </c>
      <c r="L123" s="487">
        <f t="shared" si="21"/>
        <v>1660705.342308342</v>
      </c>
      <c r="M123" s="487"/>
      <c r="N123" s="477">
        <v>291</v>
      </c>
      <c r="O123" s="388" t="s">
        <v>888</v>
      </c>
      <c r="P123" s="470">
        <v>0</v>
      </c>
      <c r="Q123" s="471" t="s">
        <v>769</v>
      </c>
      <c r="X123" s="472" t="s">
        <v>164</v>
      </c>
      <c r="Y123" s="473">
        <v>20.75</v>
      </c>
      <c r="Z123" s="474">
        <v>5669892.63</v>
      </c>
      <c r="AA123" s="475">
        <f t="shared" si="22"/>
        <v>27324783.759036146</v>
      </c>
      <c r="AB123" s="474">
        <v>1024711.9059458979</v>
      </c>
      <c r="AE123" s="488">
        <v>291</v>
      </c>
      <c r="AF123">
        <f t="shared" si="23"/>
        <v>0</v>
      </c>
      <c r="AH123" s="476">
        <v>5748.2565852482085</v>
      </c>
      <c r="AI123">
        <f t="shared" si="24"/>
        <v>5748256.585248209</v>
      </c>
      <c r="AJ123" s="489">
        <v>1030.38946</v>
      </c>
      <c r="AK123">
        <f t="shared" si="25"/>
        <v>1030389.4600000001</v>
      </c>
    </row>
    <row r="124" spans="1:37" ht="15" customHeight="1">
      <c r="A124" s="452" t="s">
        <v>889</v>
      </c>
      <c r="B124" s="466">
        <v>118209</v>
      </c>
      <c r="C124" s="467">
        <f t="shared" si="13"/>
        <v>378101848.9719756</v>
      </c>
      <c r="D124" s="467">
        <f t="shared" si="14"/>
        <v>24250601.72543506</v>
      </c>
      <c r="E124" s="467">
        <v>0</v>
      </c>
      <c r="F124" s="467">
        <f t="shared" si="15"/>
        <v>402352450.6974107</v>
      </c>
      <c r="G124" s="468">
        <f t="shared" si="16"/>
        <v>3403.7378769586976</v>
      </c>
      <c r="H124" s="459">
        <f t="shared" si="17"/>
        <v>381.59212304130233</v>
      </c>
      <c r="I124" s="379">
        <f t="shared" si="18"/>
      </c>
      <c r="J124" s="379">
        <f t="shared" si="19"/>
      </c>
      <c r="K124" s="460">
        <f t="shared" si="20"/>
        <v>305.2736984330419</v>
      </c>
      <c r="L124" s="487">
        <f t="shared" si="21"/>
        <v>36086098.61807145</v>
      </c>
      <c r="M124" s="487"/>
      <c r="N124" s="477">
        <v>297</v>
      </c>
      <c r="O124" s="388" t="s">
        <v>889</v>
      </c>
      <c r="P124" s="470">
        <v>0</v>
      </c>
      <c r="Q124" s="471" t="s">
        <v>798</v>
      </c>
      <c r="X124" s="472" t="s">
        <v>165</v>
      </c>
      <c r="Y124" s="473">
        <v>20.5</v>
      </c>
      <c r="Z124" s="474">
        <v>390483017.83</v>
      </c>
      <c r="AA124" s="475">
        <f t="shared" si="22"/>
        <v>1904795208.9268293</v>
      </c>
      <c r="AB124" s="474">
        <v>24250601.72543506</v>
      </c>
      <c r="AC124" s="474"/>
      <c r="AE124" s="488">
        <v>297</v>
      </c>
      <c r="AF124">
        <f t="shared" si="23"/>
        <v>0</v>
      </c>
      <c r="AH124" s="476">
        <v>389427.70678785647</v>
      </c>
      <c r="AI124">
        <f t="shared" si="24"/>
        <v>389427706.78785646</v>
      </c>
      <c r="AJ124" s="489">
        <v>24384.965444</v>
      </c>
      <c r="AK124">
        <f t="shared" si="25"/>
        <v>24384965.444000002</v>
      </c>
    </row>
    <row r="125" spans="1:37" ht="15" customHeight="1">
      <c r="A125" s="452" t="s">
        <v>890</v>
      </c>
      <c r="B125" s="466">
        <v>3637</v>
      </c>
      <c r="C125" s="467">
        <f t="shared" si="13"/>
        <v>8997840.197738096</v>
      </c>
      <c r="D125" s="467">
        <f t="shared" si="14"/>
        <v>717641.8806963769</v>
      </c>
      <c r="E125" s="467">
        <v>0</v>
      </c>
      <c r="F125" s="467">
        <f t="shared" si="15"/>
        <v>9715482.078434473</v>
      </c>
      <c r="G125" s="468">
        <f t="shared" si="16"/>
        <v>2671.2900958027144</v>
      </c>
      <c r="H125" s="459">
        <f t="shared" si="17"/>
        <v>1114.0399041972855</v>
      </c>
      <c r="I125" s="379">
        <f t="shared" si="18"/>
      </c>
      <c r="J125" s="379">
        <f t="shared" si="19"/>
      </c>
      <c r="K125" s="460">
        <f t="shared" si="20"/>
        <v>891.2319233578285</v>
      </c>
      <c r="L125" s="487">
        <f t="shared" si="21"/>
        <v>3241410.5052524223</v>
      </c>
      <c r="M125" s="487"/>
      <c r="N125" s="477">
        <v>300</v>
      </c>
      <c r="O125" s="388" t="s">
        <v>890</v>
      </c>
      <c r="P125" s="470">
        <v>0</v>
      </c>
      <c r="Q125" s="471" t="s">
        <v>734</v>
      </c>
      <c r="X125" s="472" t="s">
        <v>166</v>
      </c>
      <c r="Y125" s="473">
        <v>21</v>
      </c>
      <c r="Z125" s="474">
        <v>9519125.65</v>
      </c>
      <c r="AA125" s="475">
        <f t="shared" si="22"/>
        <v>45329169.76190476</v>
      </c>
      <c r="AB125" s="474">
        <v>717641.8806963769</v>
      </c>
      <c r="AE125" s="488">
        <v>300</v>
      </c>
      <c r="AF125">
        <f t="shared" si="23"/>
        <v>0</v>
      </c>
      <c r="AH125" s="476">
        <v>9450.571501810762</v>
      </c>
      <c r="AI125">
        <f t="shared" si="24"/>
        <v>9450571.501810763</v>
      </c>
      <c r="AJ125" s="489">
        <v>721.618072</v>
      </c>
      <c r="AK125">
        <f t="shared" si="25"/>
        <v>721618.0719999999</v>
      </c>
    </row>
    <row r="126" spans="1:37" ht="15" customHeight="1">
      <c r="A126" s="465" t="s">
        <v>891</v>
      </c>
      <c r="B126" s="466">
        <v>21203</v>
      </c>
      <c r="C126" s="467">
        <f t="shared" si="13"/>
        <v>53715784.91526191</v>
      </c>
      <c r="D126" s="467">
        <f t="shared" si="14"/>
        <v>4028349.6313866307</v>
      </c>
      <c r="E126" s="467">
        <v>0</v>
      </c>
      <c r="F126" s="467">
        <f t="shared" si="15"/>
        <v>57744134.54664854</v>
      </c>
      <c r="G126" s="468">
        <f t="shared" si="16"/>
        <v>2723.394545425107</v>
      </c>
      <c r="H126" s="459">
        <f t="shared" si="17"/>
        <v>1061.935454574893</v>
      </c>
      <c r="I126" s="379">
        <f t="shared" si="18"/>
      </c>
      <c r="J126" s="379">
        <f t="shared" si="19"/>
      </c>
      <c r="K126" s="460">
        <f t="shared" si="20"/>
        <v>849.5483636599143</v>
      </c>
      <c r="L126" s="487">
        <f t="shared" si="21"/>
        <v>18012973.954681166</v>
      </c>
      <c r="M126" s="487"/>
      <c r="N126" s="469">
        <v>301</v>
      </c>
      <c r="O126" s="388" t="s">
        <v>891</v>
      </c>
      <c r="P126" s="470">
        <v>0</v>
      </c>
      <c r="Q126" s="471" t="s">
        <v>734</v>
      </c>
      <c r="U126" s="53"/>
      <c r="X126" s="472" t="s">
        <v>167</v>
      </c>
      <c r="Y126" s="473">
        <v>21</v>
      </c>
      <c r="Z126" s="474">
        <v>56827782.53</v>
      </c>
      <c r="AA126" s="475">
        <f t="shared" si="22"/>
        <v>270608488.2380952</v>
      </c>
      <c r="AB126" s="474">
        <v>4028349.6313866307</v>
      </c>
      <c r="AD126" s="1"/>
      <c r="AE126" s="488">
        <v>301</v>
      </c>
      <c r="AF126">
        <f t="shared" si="23"/>
        <v>0</v>
      </c>
      <c r="AG126" s="1"/>
      <c r="AH126" s="476">
        <v>56423.92944760065</v>
      </c>
      <c r="AI126">
        <f t="shared" si="24"/>
        <v>56423929.44760065</v>
      </c>
      <c r="AJ126" s="489">
        <v>4050.6692439999997</v>
      </c>
      <c r="AK126">
        <f t="shared" si="25"/>
        <v>4050669.2439999995</v>
      </c>
    </row>
    <row r="127" spans="1:37" ht="15" customHeight="1">
      <c r="A127" s="452" t="s">
        <v>892</v>
      </c>
      <c r="B127" s="466">
        <v>923</v>
      </c>
      <c r="C127" s="467">
        <f t="shared" si="13"/>
        <v>2980567.7195733334</v>
      </c>
      <c r="D127" s="467">
        <f t="shared" si="14"/>
        <v>229090.66438020795</v>
      </c>
      <c r="E127" s="467">
        <v>0</v>
      </c>
      <c r="F127" s="467">
        <f t="shared" si="15"/>
        <v>3209658.3839535415</v>
      </c>
      <c r="G127" s="468">
        <f t="shared" si="16"/>
        <v>3477.419700924747</v>
      </c>
      <c r="H127" s="459">
        <f t="shared" si="17"/>
        <v>307.9102990752531</v>
      </c>
      <c r="I127" s="379">
        <f t="shared" si="18"/>
      </c>
      <c r="J127" s="379">
        <f t="shared" si="19"/>
      </c>
      <c r="K127" s="460">
        <f t="shared" si="20"/>
        <v>246.32823926020248</v>
      </c>
      <c r="L127" s="487">
        <f t="shared" si="21"/>
        <v>227360.9648371669</v>
      </c>
      <c r="M127" s="487"/>
      <c r="N127" s="477">
        <v>304</v>
      </c>
      <c r="O127" s="478" t="s">
        <v>893</v>
      </c>
      <c r="P127" s="470">
        <v>0</v>
      </c>
      <c r="Q127" s="471" t="s">
        <v>743</v>
      </c>
      <c r="X127" s="472" t="s">
        <v>168</v>
      </c>
      <c r="Y127" s="473">
        <v>18.75</v>
      </c>
      <c r="Z127" s="474">
        <v>2815397.72</v>
      </c>
      <c r="AA127" s="475">
        <f t="shared" si="22"/>
        <v>15015454.506666666</v>
      </c>
      <c r="AB127" s="474">
        <v>229090.66438020795</v>
      </c>
      <c r="AE127" s="488">
        <v>304</v>
      </c>
      <c r="AF127">
        <f t="shared" si="23"/>
        <v>0</v>
      </c>
      <c r="AH127" s="476">
        <v>2742.227508263502</v>
      </c>
      <c r="AI127">
        <f t="shared" si="24"/>
        <v>2742227.508263502</v>
      </c>
      <c r="AJ127" s="489">
        <v>230.359972</v>
      </c>
      <c r="AK127">
        <f t="shared" si="25"/>
        <v>230359.972</v>
      </c>
    </row>
    <row r="128" spans="1:37" s="1" customFormat="1" ht="15" customHeight="1">
      <c r="A128" s="452" t="s">
        <v>894</v>
      </c>
      <c r="B128" s="466">
        <v>15386</v>
      </c>
      <c r="C128" s="467">
        <f t="shared" si="13"/>
        <v>40928804.563200004</v>
      </c>
      <c r="D128" s="467">
        <f t="shared" si="14"/>
        <v>3877113.0619285544</v>
      </c>
      <c r="E128" s="467">
        <v>0</v>
      </c>
      <c r="F128" s="467">
        <f t="shared" si="15"/>
        <v>44805917.62512856</v>
      </c>
      <c r="G128" s="468">
        <f t="shared" si="16"/>
        <v>2912.122554603442</v>
      </c>
      <c r="H128" s="459">
        <f t="shared" si="17"/>
        <v>873.2074453965579</v>
      </c>
      <c r="I128" s="379">
        <f t="shared" si="18"/>
      </c>
      <c r="J128" s="379">
        <f t="shared" si="19"/>
      </c>
      <c r="K128" s="460">
        <f t="shared" si="20"/>
        <v>698.5659563172463</v>
      </c>
      <c r="L128" s="487">
        <f t="shared" si="21"/>
        <v>10748135.803897152</v>
      </c>
      <c r="M128" s="487"/>
      <c r="N128" s="477">
        <v>305</v>
      </c>
      <c r="O128" s="388" t="s">
        <v>894</v>
      </c>
      <c r="P128" s="470">
        <v>0</v>
      </c>
      <c r="Q128" s="471" t="s">
        <v>736</v>
      </c>
      <c r="R128"/>
      <c r="S128"/>
      <c r="T128"/>
      <c r="U128"/>
      <c r="V128"/>
      <c r="W128"/>
      <c r="X128" s="472" t="s">
        <v>169</v>
      </c>
      <c r="Y128" s="473">
        <v>20</v>
      </c>
      <c r="Z128" s="474">
        <v>41238090.24</v>
      </c>
      <c r="AA128" s="475">
        <f t="shared" si="22"/>
        <v>206190451.2</v>
      </c>
      <c r="AB128" s="474">
        <v>3877113.0619285544</v>
      </c>
      <c r="AC128"/>
      <c r="AD128"/>
      <c r="AE128" s="488">
        <v>305</v>
      </c>
      <c r="AF128">
        <f t="shared" si="23"/>
        <v>0</v>
      </c>
      <c r="AG128"/>
      <c r="AH128" s="476">
        <v>41245.13279548378</v>
      </c>
      <c r="AI128">
        <f t="shared" si="24"/>
        <v>41245132.79548378</v>
      </c>
      <c r="AJ128" s="489">
        <v>3898.594728</v>
      </c>
      <c r="AK128">
        <f t="shared" si="25"/>
        <v>3898594.728</v>
      </c>
    </row>
    <row r="129" spans="1:37" ht="15" customHeight="1">
      <c r="A129" s="452" t="s">
        <v>895</v>
      </c>
      <c r="B129" s="466">
        <v>7003</v>
      </c>
      <c r="C129" s="467">
        <f t="shared" si="13"/>
        <v>16995098.236229885</v>
      </c>
      <c r="D129" s="467">
        <f t="shared" si="14"/>
        <v>1243430.736863561</v>
      </c>
      <c r="E129" s="467">
        <v>0</v>
      </c>
      <c r="F129" s="467">
        <f t="shared" si="15"/>
        <v>18238528.973093446</v>
      </c>
      <c r="G129" s="468">
        <f t="shared" si="16"/>
        <v>2604.3879727393182</v>
      </c>
      <c r="H129" s="459">
        <f t="shared" si="17"/>
        <v>1180.9420272606817</v>
      </c>
      <c r="I129" s="379">
        <f t="shared" si="18"/>
      </c>
      <c r="J129" s="379">
        <f t="shared" si="19"/>
      </c>
      <c r="K129" s="460">
        <f t="shared" si="20"/>
        <v>944.7536218085454</v>
      </c>
      <c r="L129" s="487">
        <f t="shared" si="21"/>
        <v>6616109.6135252435</v>
      </c>
      <c r="M129" s="487"/>
      <c r="N129" s="477">
        <v>309</v>
      </c>
      <c r="O129" s="388" t="s">
        <v>895</v>
      </c>
      <c r="P129" s="470">
        <v>0</v>
      </c>
      <c r="Q129" s="471" t="s">
        <v>805</v>
      </c>
      <c r="X129" s="472" t="s">
        <v>228</v>
      </c>
      <c r="Y129" s="473">
        <v>21.75</v>
      </c>
      <c r="Z129" s="474">
        <v>18621833.08</v>
      </c>
      <c r="AA129" s="475">
        <f t="shared" si="22"/>
        <v>85617623.35632183</v>
      </c>
      <c r="AB129" s="474">
        <v>1243430.736863561</v>
      </c>
      <c r="AD129" s="1"/>
      <c r="AE129" s="488">
        <v>309</v>
      </c>
      <c r="AF129">
        <f t="shared" si="23"/>
        <v>0</v>
      </c>
      <c r="AG129" s="1"/>
      <c r="AH129" s="476">
        <v>18792.024426094333</v>
      </c>
      <c r="AI129">
        <f t="shared" si="24"/>
        <v>18792024.426094335</v>
      </c>
      <c r="AJ129" s="489">
        <v>1250.3201319999998</v>
      </c>
      <c r="AK129">
        <f t="shared" si="25"/>
        <v>1250320.1319999998</v>
      </c>
    </row>
    <row r="130" spans="1:37" ht="15" customHeight="1">
      <c r="A130" s="452" t="s">
        <v>896</v>
      </c>
      <c r="B130" s="466">
        <v>1352</v>
      </c>
      <c r="C130" s="467">
        <f t="shared" si="13"/>
        <v>3068644.765862069</v>
      </c>
      <c r="D130" s="467">
        <f t="shared" si="14"/>
        <v>613973.6524498007</v>
      </c>
      <c r="E130" s="467">
        <v>0</v>
      </c>
      <c r="F130" s="467">
        <f t="shared" si="15"/>
        <v>3682618.4183118697</v>
      </c>
      <c r="G130" s="468">
        <f t="shared" si="16"/>
        <v>2723.8301910590753</v>
      </c>
      <c r="H130" s="459">
        <f t="shared" si="17"/>
        <v>1061.4998089409246</v>
      </c>
      <c r="I130" s="379">
        <f t="shared" si="18"/>
      </c>
      <c r="J130" s="379">
        <f t="shared" si="19"/>
      </c>
      <c r="K130" s="460">
        <f t="shared" si="20"/>
        <v>849.1998471527397</v>
      </c>
      <c r="L130" s="487">
        <f t="shared" si="21"/>
        <v>1148118.1933505042</v>
      </c>
      <c r="M130" s="487"/>
      <c r="N130" s="477">
        <v>312</v>
      </c>
      <c r="O130" s="388" t="s">
        <v>896</v>
      </c>
      <c r="P130" s="470">
        <v>0</v>
      </c>
      <c r="Q130" s="471" t="s">
        <v>769</v>
      </c>
      <c r="X130" s="472" t="s">
        <v>170</v>
      </c>
      <c r="Y130" s="473">
        <v>21.75</v>
      </c>
      <c r="Z130" s="474">
        <v>3362368.95</v>
      </c>
      <c r="AA130" s="475">
        <f t="shared" si="22"/>
        <v>15459167.586206896</v>
      </c>
      <c r="AB130" s="474">
        <v>613973.6524498007</v>
      </c>
      <c r="AD130" s="1"/>
      <c r="AE130" s="488">
        <v>312</v>
      </c>
      <c r="AF130">
        <f t="shared" si="23"/>
        <v>0</v>
      </c>
      <c r="AG130" s="1"/>
      <c r="AH130" s="476">
        <v>3427.8704458927573</v>
      </c>
      <c r="AI130">
        <f t="shared" si="24"/>
        <v>3427870.4458927573</v>
      </c>
      <c r="AJ130" s="489">
        <v>617.375456</v>
      </c>
      <c r="AK130">
        <f t="shared" si="25"/>
        <v>617375.456</v>
      </c>
    </row>
    <row r="131" spans="1:37" s="1" customFormat="1" ht="15" customHeight="1">
      <c r="A131" s="452" t="s">
        <v>897</v>
      </c>
      <c r="B131" s="466">
        <v>4508</v>
      </c>
      <c r="C131" s="467">
        <f t="shared" si="13"/>
        <v>12919814.730620692</v>
      </c>
      <c r="D131" s="467">
        <f t="shared" si="14"/>
        <v>604460.5450998015</v>
      </c>
      <c r="E131" s="467">
        <v>0</v>
      </c>
      <c r="F131" s="467">
        <f t="shared" si="15"/>
        <v>13524275.275720494</v>
      </c>
      <c r="G131" s="468">
        <f t="shared" si="16"/>
        <v>3000.061063824422</v>
      </c>
      <c r="H131" s="459">
        <f t="shared" si="17"/>
        <v>785.2689361755779</v>
      </c>
      <c r="I131" s="379">
        <f t="shared" si="18"/>
      </c>
      <c r="J131" s="379">
        <f t="shared" si="19"/>
      </c>
      <c r="K131" s="460">
        <f t="shared" si="20"/>
        <v>628.2151489404623</v>
      </c>
      <c r="L131" s="487">
        <f t="shared" si="21"/>
        <v>2831993.891423604</v>
      </c>
      <c r="M131" s="487"/>
      <c r="N131" s="477">
        <v>316</v>
      </c>
      <c r="O131" s="388" t="s">
        <v>897</v>
      </c>
      <c r="P131" s="470">
        <v>0</v>
      </c>
      <c r="Q131" s="471" t="s">
        <v>739</v>
      </c>
      <c r="R131"/>
      <c r="S131"/>
      <c r="T131"/>
      <c r="U131"/>
      <c r="V131"/>
      <c r="W131"/>
      <c r="X131" s="472" t="s">
        <v>171</v>
      </c>
      <c r="Y131" s="473">
        <v>21.75</v>
      </c>
      <c r="Z131" s="474">
        <v>14156472.06</v>
      </c>
      <c r="AA131" s="475">
        <f t="shared" si="22"/>
        <v>65087227.862068966</v>
      </c>
      <c r="AB131" s="474">
        <v>604460.5450998015</v>
      </c>
      <c r="AC131"/>
      <c r="AD131"/>
      <c r="AE131" s="488">
        <v>316</v>
      </c>
      <c r="AF131">
        <f t="shared" si="23"/>
        <v>0</v>
      </c>
      <c r="AG131"/>
      <c r="AH131" s="476">
        <v>14163.62464323792</v>
      </c>
      <c r="AI131">
        <f t="shared" si="24"/>
        <v>14163624.643237919</v>
      </c>
      <c r="AJ131" s="489">
        <v>607.80964</v>
      </c>
      <c r="AK131">
        <f t="shared" si="25"/>
        <v>607809.6399999999</v>
      </c>
    </row>
    <row r="132" spans="1:37" ht="15" customHeight="1">
      <c r="A132" s="452" t="s">
        <v>898</v>
      </c>
      <c r="B132" s="466">
        <v>2611</v>
      </c>
      <c r="C132" s="467">
        <f t="shared" si="13"/>
        <v>5587916.396627907</v>
      </c>
      <c r="D132" s="467">
        <f t="shared" si="14"/>
        <v>588786.7836817659</v>
      </c>
      <c r="E132" s="467">
        <v>0</v>
      </c>
      <c r="F132" s="467">
        <f t="shared" si="15"/>
        <v>6176703.180309673</v>
      </c>
      <c r="G132" s="468">
        <f t="shared" si="16"/>
        <v>2365.6465646532642</v>
      </c>
      <c r="H132" s="459">
        <f t="shared" si="17"/>
        <v>1419.6834353467357</v>
      </c>
      <c r="I132" s="379">
        <f t="shared" si="18"/>
      </c>
      <c r="J132" s="379">
        <f t="shared" si="19"/>
      </c>
      <c r="K132" s="460">
        <f t="shared" si="20"/>
        <v>1135.7467482773886</v>
      </c>
      <c r="L132" s="487">
        <f t="shared" si="21"/>
        <v>2965434.759752262</v>
      </c>
      <c r="M132" s="487"/>
      <c r="N132" s="477">
        <v>317</v>
      </c>
      <c r="O132" s="388" t="s">
        <v>898</v>
      </c>
      <c r="P132" s="470">
        <v>0</v>
      </c>
      <c r="Q132" s="471" t="s">
        <v>736</v>
      </c>
      <c r="X132" s="472" t="s">
        <v>172</v>
      </c>
      <c r="Y132" s="473">
        <v>21.5</v>
      </c>
      <c r="Z132" s="474">
        <v>6052403.15</v>
      </c>
      <c r="AA132" s="475">
        <f t="shared" si="22"/>
        <v>28150712.325581394</v>
      </c>
      <c r="AB132" s="474">
        <v>588786.7836817659</v>
      </c>
      <c r="AE132" s="488">
        <v>317</v>
      </c>
      <c r="AF132">
        <f t="shared" si="23"/>
        <v>0</v>
      </c>
      <c r="AH132" s="476">
        <v>5930.87063427962</v>
      </c>
      <c r="AI132">
        <f t="shared" si="24"/>
        <v>5930870.634279621</v>
      </c>
      <c r="AJ132" s="489">
        <v>592.049036</v>
      </c>
      <c r="AK132">
        <f t="shared" si="25"/>
        <v>592049.036</v>
      </c>
    </row>
    <row r="133" spans="1:37" ht="15" customHeight="1">
      <c r="A133" s="452" t="s">
        <v>899</v>
      </c>
      <c r="B133" s="466">
        <v>7534</v>
      </c>
      <c r="C133" s="467">
        <f t="shared" si="13"/>
        <v>21608017.25346512</v>
      </c>
      <c r="D133" s="467">
        <f t="shared" si="14"/>
        <v>1254930.337778942</v>
      </c>
      <c r="E133" s="467">
        <v>0</v>
      </c>
      <c r="F133" s="467">
        <f t="shared" si="15"/>
        <v>22862947.59124406</v>
      </c>
      <c r="G133" s="468">
        <f t="shared" si="16"/>
        <v>3034.635995652251</v>
      </c>
      <c r="H133" s="459">
        <f t="shared" si="17"/>
        <v>750.6940043477489</v>
      </c>
      <c r="I133" s="379">
        <f t="shared" si="18"/>
      </c>
      <c r="J133" s="379">
        <f t="shared" si="19"/>
      </c>
      <c r="K133" s="460">
        <f t="shared" si="20"/>
        <v>600.5552034781991</v>
      </c>
      <c r="L133" s="487">
        <f t="shared" si="21"/>
        <v>4524582.9030047525</v>
      </c>
      <c r="M133" s="487"/>
      <c r="N133" s="477">
        <v>320</v>
      </c>
      <c r="O133" s="388" t="s">
        <v>899</v>
      </c>
      <c r="P133" s="470">
        <v>0</v>
      </c>
      <c r="Q133" s="471" t="s">
        <v>749</v>
      </c>
      <c r="S133" s="1"/>
      <c r="T133" s="1"/>
      <c r="U133" s="1"/>
      <c r="X133" s="472" t="s">
        <v>139</v>
      </c>
      <c r="Y133" s="473">
        <v>21.5</v>
      </c>
      <c r="Z133" s="474">
        <v>23404149.67</v>
      </c>
      <c r="AA133" s="475">
        <f t="shared" si="22"/>
        <v>108856510.09302326</v>
      </c>
      <c r="AB133" s="474">
        <v>1254930.337778942</v>
      </c>
      <c r="AC133" s="1"/>
      <c r="AE133" s="488">
        <v>320</v>
      </c>
      <c r="AF133">
        <f t="shared" si="23"/>
        <v>0</v>
      </c>
      <c r="AH133" s="476">
        <v>23718.129143905273</v>
      </c>
      <c r="AI133">
        <f t="shared" si="24"/>
        <v>23718129.143905275</v>
      </c>
      <c r="AJ133" s="489">
        <v>1261.883448</v>
      </c>
      <c r="AK133">
        <f t="shared" si="25"/>
        <v>1261883.448</v>
      </c>
    </row>
    <row r="134" spans="1:37" ht="15" customHeight="1">
      <c r="A134" s="465" t="s">
        <v>141</v>
      </c>
      <c r="B134" s="466">
        <v>6793</v>
      </c>
      <c r="C134" s="467">
        <f t="shared" si="13"/>
        <v>18337772.294405065</v>
      </c>
      <c r="D134" s="467">
        <f t="shared" si="14"/>
        <v>1094919.3561310375</v>
      </c>
      <c r="E134" s="467">
        <v>0</v>
      </c>
      <c r="F134" s="467">
        <f t="shared" si="15"/>
        <v>19432691.6505361</v>
      </c>
      <c r="G134" s="468">
        <f t="shared" si="16"/>
        <v>2860.6936037886207</v>
      </c>
      <c r="H134" s="459">
        <f t="shared" si="17"/>
        <v>924.6363962113792</v>
      </c>
      <c r="I134" s="379">
        <f t="shared" si="18"/>
      </c>
      <c r="J134" s="379">
        <f t="shared" si="19"/>
      </c>
      <c r="K134" s="460">
        <f t="shared" si="20"/>
        <v>739.7091169691034</v>
      </c>
      <c r="L134" s="487">
        <f t="shared" si="21"/>
        <v>5024844.03157112</v>
      </c>
      <c r="M134" s="487"/>
      <c r="N134" s="469">
        <v>322</v>
      </c>
      <c r="O134" s="388" t="s">
        <v>900</v>
      </c>
      <c r="P134" s="470">
        <v>3</v>
      </c>
      <c r="Q134" s="471" t="s">
        <v>743</v>
      </c>
      <c r="X134" s="472" t="s">
        <v>141</v>
      </c>
      <c r="Y134" s="473">
        <v>19.75</v>
      </c>
      <c r="Z134" s="474">
        <v>18245390.57</v>
      </c>
      <c r="AA134" s="475">
        <f t="shared" si="22"/>
        <v>92381724.40506329</v>
      </c>
      <c r="AB134" s="474">
        <v>1094919.3561310375</v>
      </c>
      <c r="AE134" s="488">
        <v>322</v>
      </c>
      <c r="AF134">
        <f t="shared" si="23"/>
        <v>0</v>
      </c>
      <c r="AH134" s="476">
        <v>18205.380034454625</v>
      </c>
      <c r="AI134">
        <f t="shared" si="24"/>
        <v>18205380.034454625</v>
      </c>
      <c r="AJ134" s="489">
        <v>1100.9859040000001</v>
      </c>
      <c r="AK134">
        <f t="shared" si="25"/>
        <v>1100985.904</v>
      </c>
    </row>
    <row r="135" spans="1:37" ht="15" customHeight="1">
      <c r="A135" s="452" t="s">
        <v>901</v>
      </c>
      <c r="B135" s="466">
        <v>119573</v>
      </c>
      <c r="C135" s="467">
        <f t="shared" si="13"/>
        <v>382800459.23368675</v>
      </c>
      <c r="D135" s="467">
        <f t="shared" si="14"/>
        <v>27815069.679608107</v>
      </c>
      <c r="E135" s="467">
        <v>0</v>
      </c>
      <c r="F135" s="467">
        <f t="shared" si="15"/>
        <v>410615528.91329485</v>
      </c>
      <c r="G135" s="468">
        <f t="shared" si="16"/>
        <v>3434.0154459058053</v>
      </c>
      <c r="H135" s="459">
        <f t="shared" si="17"/>
        <v>351.3145540941946</v>
      </c>
      <c r="I135" s="379">
        <f t="shared" si="18"/>
      </c>
      <c r="J135" s="379">
        <f t="shared" si="19"/>
      </c>
      <c r="K135" s="460">
        <f t="shared" si="20"/>
        <v>281.0516432753557</v>
      </c>
      <c r="L135" s="487">
        <f t="shared" si="21"/>
        <v>33606188.141364105</v>
      </c>
      <c r="M135" s="487"/>
      <c r="N135" s="477">
        <v>398</v>
      </c>
      <c r="O135" s="478" t="s">
        <v>902</v>
      </c>
      <c r="P135" s="470">
        <v>0</v>
      </c>
      <c r="Q135" s="471" t="s">
        <v>739</v>
      </c>
      <c r="X135" s="472" t="s">
        <v>173</v>
      </c>
      <c r="Y135" s="473">
        <v>20.75</v>
      </c>
      <c r="Z135" s="474">
        <v>400156651.34</v>
      </c>
      <c r="AA135" s="475">
        <f t="shared" si="22"/>
        <v>1928465789.5903614</v>
      </c>
      <c r="AB135" s="474">
        <v>27815069.679608107</v>
      </c>
      <c r="AE135" s="488">
        <v>398</v>
      </c>
      <c r="AF135">
        <f t="shared" si="23"/>
        <v>0</v>
      </c>
      <c r="AH135" s="476">
        <v>401640.5881775681</v>
      </c>
      <c r="AI135">
        <f t="shared" si="24"/>
        <v>401640588.1775681</v>
      </c>
      <c r="AJ135" s="489">
        <v>27969.182812</v>
      </c>
      <c r="AK135">
        <f t="shared" si="25"/>
        <v>27969182.812</v>
      </c>
    </row>
    <row r="136" spans="1:37" ht="15" customHeight="1">
      <c r="A136" s="452" t="s">
        <v>903</v>
      </c>
      <c r="B136" s="466">
        <v>8051</v>
      </c>
      <c r="C136" s="467">
        <f t="shared" si="13"/>
        <v>25370052.52227586</v>
      </c>
      <c r="D136" s="467">
        <f t="shared" si="14"/>
        <v>1015132.2393762022</v>
      </c>
      <c r="E136" s="467">
        <v>0</v>
      </c>
      <c r="F136" s="467">
        <f t="shared" si="15"/>
        <v>26385184.761652064</v>
      </c>
      <c r="G136" s="468">
        <f t="shared" si="16"/>
        <v>3277.255590815062</v>
      </c>
      <c r="H136" s="459">
        <f t="shared" si="17"/>
        <v>508.07440918493785</v>
      </c>
      <c r="I136" s="379">
        <f t="shared" si="18"/>
      </c>
      <c r="J136" s="379">
        <f t="shared" si="19"/>
      </c>
      <c r="K136" s="460">
        <f t="shared" si="20"/>
        <v>406.4595273479503</v>
      </c>
      <c r="L136" s="487">
        <f t="shared" si="21"/>
        <v>3272405.654678348</v>
      </c>
      <c r="M136" s="487"/>
      <c r="N136" s="477">
        <v>399</v>
      </c>
      <c r="O136" s="478" t="s">
        <v>904</v>
      </c>
      <c r="P136" s="470">
        <v>0</v>
      </c>
      <c r="Q136" s="471" t="s">
        <v>814</v>
      </c>
      <c r="X136" s="472" t="s">
        <v>174</v>
      </c>
      <c r="Y136" s="473">
        <v>21.75</v>
      </c>
      <c r="Z136" s="474">
        <v>27798420.27</v>
      </c>
      <c r="AA136" s="475">
        <f t="shared" si="22"/>
        <v>127808828.8275862</v>
      </c>
      <c r="AB136" s="474">
        <v>1015132.2393762022</v>
      </c>
      <c r="AE136" s="488">
        <v>399</v>
      </c>
      <c r="AF136">
        <f t="shared" si="23"/>
        <v>0</v>
      </c>
      <c r="AH136" s="476">
        <v>27576.424330995946</v>
      </c>
      <c r="AI136">
        <f t="shared" si="24"/>
        <v>27576424.330995947</v>
      </c>
      <c r="AJ136" s="489">
        <v>1020.7567160000002</v>
      </c>
      <c r="AK136">
        <f t="shared" si="25"/>
        <v>1020756.7160000002</v>
      </c>
    </row>
    <row r="137" spans="1:37" ht="15" customHeight="1">
      <c r="A137" s="452" t="s">
        <v>905</v>
      </c>
      <c r="B137" s="466">
        <v>8610</v>
      </c>
      <c r="C137" s="467">
        <f t="shared" si="13"/>
        <v>24638038.50492683</v>
      </c>
      <c r="D137" s="467">
        <f t="shared" si="14"/>
        <v>1973394.112660111</v>
      </c>
      <c r="E137" s="467">
        <v>0</v>
      </c>
      <c r="F137" s="467">
        <f t="shared" si="15"/>
        <v>26611432.61758694</v>
      </c>
      <c r="G137" s="468">
        <f t="shared" si="16"/>
        <v>3090.7587244584133</v>
      </c>
      <c r="H137" s="459">
        <f t="shared" si="17"/>
        <v>694.5712755415866</v>
      </c>
      <c r="I137" s="379">
        <f t="shared" si="18"/>
      </c>
      <c r="J137" s="379">
        <f t="shared" si="19"/>
      </c>
      <c r="K137" s="460">
        <f t="shared" si="20"/>
        <v>555.6570204332693</v>
      </c>
      <c r="L137" s="487">
        <f t="shared" si="21"/>
        <v>4784206.945930448</v>
      </c>
      <c r="M137" s="487"/>
      <c r="N137" s="477">
        <v>400</v>
      </c>
      <c r="O137" s="388" t="s">
        <v>905</v>
      </c>
      <c r="P137" s="470">
        <v>0</v>
      </c>
      <c r="Q137" s="471" t="s">
        <v>743</v>
      </c>
      <c r="S137" s="1"/>
      <c r="T137" s="1"/>
      <c r="U137" s="1"/>
      <c r="X137" s="472" t="s">
        <v>175</v>
      </c>
      <c r="Y137" s="473">
        <v>20.5</v>
      </c>
      <c r="Z137" s="474">
        <v>25444825.66</v>
      </c>
      <c r="AA137" s="475">
        <f t="shared" si="22"/>
        <v>124121100.7804878</v>
      </c>
      <c r="AB137" s="474">
        <v>1973394.112660111</v>
      </c>
      <c r="AC137" s="1"/>
      <c r="AE137" s="488">
        <v>400</v>
      </c>
      <c r="AF137">
        <f t="shared" si="23"/>
        <v>0</v>
      </c>
      <c r="AH137" s="476">
        <v>25292.696813482842</v>
      </c>
      <c r="AI137">
        <f t="shared" si="24"/>
        <v>25292696.813482843</v>
      </c>
      <c r="AJ137" s="489">
        <v>1984.327968</v>
      </c>
      <c r="AK137">
        <f t="shared" si="25"/>
        <v>1984327.968</v>
      </c>
    </row>
    <row r="138" spans="1:37" ht="15" customHeight="1">
      <c r="A138" s="452" t="s">
        <v>906</v>
      </c>
      <c r="B138" s="466">
        <v>9692</v>
      </c>
      <c r="C138" s="467">
        <f t="shared" si="13"/>
        <v>24374219.164682355</v>
      </c>
      <c r="D138" s="467">
        <f t="shared" si="14"/>
        <v>1564263.189534045</v>
      </c>
      <c r="E138" s="467">
        <v>0</v>
      </c>
      <c r="F138" s="467">
        <f t="shared" si="15"/>
        <v>25938482.3542164</v>
      </c>
      <c r="G138" s="468">
        <f t="shared" si="16"/>
        <v>2676.2775850409</v>
      </c>
      <c r="H138" s="459">
        <f t="shared" si="17"/>
        <v>1109.0524149591001</v>
      </c>
      <c r="I138" s="379">
        <f t="shared" si="18"/>
      </c>
      <c r="J138" s="379">
        <f t="shared" si="19"/>
      </c>
      <c r="K138" s="460">
        <f t="shared" si="20"/>
        <v>887.2419319672802</v>
      </c>
      <c r="L138" s="487">
        <f t="shared" si="21"/>
        <v>8599148.804626878</v>
      </c>
      <c r="M138" s="487"/>
      <c r="N138" s="477">
        <v>402</v>
      </c>
      <c r="O138" s="388" t="s">
        <v>906</v>
      </c>
      <c r="P138" s="470">
        <v>0</v>
      </c>
      <c r="Q138" s="471" t="s">
        <v>798</v>
      </c>
      <c r="X138" s="472" t="s">
        <v>177</v>
      </c>
      <c r="Y138" s="473">
        <v>21.25</v>
      </c>
      <c r="Z138" s="474">
        <v>26093307.67</v>
      </c>
      <c r="AA138" s="475">
        <f t="shared" si="22"/>
        <v>122792036.09411764</v>
      </c>
      <c r="AB138" s="474">
        <v>1564263.189534045</v>
      </c>
      <c r="AE138" s="488">
        <v>402</v>
      </c>
      <c r="AF138">
        <f t="shared" si="23"/>
        <v>0</v>
      </c>
      <c r="AH138" s="476">
        <v>26226.845569140052</v>
      </c>
      <c r="AI138">
        <f t="shared" si="24"/>
        <v>26226845.56914005</v>
      </c>
      <c r="AJ138" s="489">
        <v>1572.9302</v>
      </c>
      <c r="AK138">
        <f t="shared" si="25"/>
        <v>1572930.2</v>
      </c>
    </row>
    <row r="139" spans="1:37" ht="15" customHeight="1">
      <c r="A139" s="452" t="s">
        <v>907</v>
      </c>
      <c r="B139" s="466">
        <v>3140</v>
      </c>
      <c r="C139" s="467">
        <f t="shared" si="13"/>
        <v>7455548.726571429</v>
      </c>
      <c r="D139" s="467">
        <f t="shared" si="14"/>
        <v>741167.1995053017</v>
      </c>
      <c r="E139" s="467">
        <v>0</v>
      </c>
      <c r="F139" s="467">
        <f t="shared" si="15"/>
        <v>8196715.926076731</v>
      </c>
      <c r="G139" s="468">
        <f t="shared" si="16"/>
        <v>2610.419084737812</v>
      </c>
      <c r="H139" s="459">
        <f t="shared" si="17"/>
        <v>1174.9109152621877</v>
      </c>
      <c r="I139" s="379">
        <f t="shared" si="18"/>
      </c>
      <c r="J139" s="379">
        <f t="shared" si="19"/>
      </c>
      <c r="K139" s="460">
        <f t="shared" si="20"/>
        <v>939.9287322097503</v>
      </c>
      <c r="L139" s="487">
        <f t="shared" si="21"/>
        <v>2951376.2191386158</v>
      </c>
      <c r="M139" s="487"/>
      <c r="N139" s="477">
        <v>403</v>
      </c>
      <c r="O139" s="388" t="s">
        <v>907</v>
      </c>
      <c r="P139" s="470">
        <v>0</v>
      </c>
      <c r="Q139" s="471" t="s">
        <v>734</v>
      </c>
      <c r="X139" s="472" t="s">
        <v>178</v>
      </c>
      <c r="Y139" s="473">
        <v>21</v>
      </c>
      <c r="Z139" s="474">
        <v>7887482.28</v>
      </c>
      <c r="AA139" s="475">
        <f t="shared" si="22"/>
        <v>37559439.428571425</v>
      </c>
      <c r="AB139" s="474">
        <v>741167.1995053017</v>
      </c>
      <c r="AE139" s="488">
        <v>403</v>
      </c>
      <c r="AF139">
        <f t="shared" si="23"/>
        <v>0</v>
      </c>
      <c r="AH139" s="476">
        <v>7754.79301166836</v>
      </c>
      <c r="AI139">
        <f t="shared" si="24"/>
        <v>7754793.01166836</v>
      </c>
      <c r="AJ139" s="489">
        <v>745.273736</v>
      </c>
      <c r="AK139">
        <f t="shared" si="25"/>
        <v>745273.736</v>
      </c>
    </row>
    <row r="140" spans="1:37" ht="15" customHeight="1">
      <c r="A140" s="465" t="s">
        <v>908</v>
      </c>
      <c r="B140" s="466">
        <v>72909</v>
      </c>
      <c r="C140" s="467">
        <f t="shared" si="13"/>
        <v>232976284.9647619</v>
      </c>
      <c r="D140" s="467">
        <f t="shared" si="14"/>
        <v>22095991.723766584</v>
      </c>
      <c r="E140" s="467">
        <v>0</v>
      </c>
      <c r="F140" s="467">
        <f t="shared" si="15"/>
        <v>255072276.6885285</v>
      </c>
      <c r="G140" s="468">
        <f t="shared" si="16"/>
        <v>3498.501922787701</v>
      </c>
      <c r="H140" s="459">
        <f t="shared" si="17"/>
        <v>286.8280772122989</v>
      </c>
      <c r="I140" s="379">
        <f t="shared" si="18"/>
      </c>
      <c r="J140" s="379">
        <f t="shared" si="19"/>
      </c>
      <c r="K140" s="460">
        <f t="shared" si="20"/>
        <v>229.46246176983914</v>
      </c>
      <c r="L140" s="487">
        <f t="shared" si="21"/>
        <v>16729878.6251772</v>
      </c>
      <c r="M140" s="487"/>
      <c r="N140" s="469">
        <v>405</v>
      </c>
      <c r="O140" s="478" t="s">
        <v>909</v>
      </c>
      <c r="P140" s="470">
        <v>0</v>
      </c>
      <c r="Q140" s="471" t="s">
        <v>816</v>
      </c>
      <c r="X140" s="472" t="s">
        <v>179</v>
      </c>
      <c r="Y140" s="473">
        <v>21</v>
      </c>
      <c r="Z140" s="474">
        <v>246473651.6</v>
      </c>
      <c r="AA140" s="475">
        <f t="shared" si="22"/>
        <v>1173684055.2380953</v>
      </c>
      <c r="AB140" s="474">
        <v>22095991.723766584</v>
      </c>
      <c r="AE140" s="488">
        <v>405</v>
      </c>
      <c r="AF140">
        <f t="shared" si="23"/>
        <v>0</v>
      </c>
      <c r="AH140" s="476">
        <v>247370.43039598738</v>
      </c>
      <c r="AI140">
        <f t="shared" si="24"/>
        <v>247370430.3959874</v>
      </c>
      <c r="AJ140" s="489">
        <v>22218.417536</v>
      </c>
      <c r="AK140">
        <f t="shared" si="25"/>
        <v>22218417.536000002</v>
      </c>
    </row>
    <row r="141" spans="1:37" ht="15" customHeight="1">
      <c r="A141" s="452" t="s">
        <v>910</v>
      </c>
      <c r="B141" s="466">
        <v>2706</v>
      </c>
      <c r="C141" s="467">
        <f t="shared" si="13"/>
        <v>7348742.68090244</v>
      </c>
      <c r="D141" s="467">
        <f t="shared" si="14"/>
        <v>561277.6338242624</v>
      </c>
      <c r="E141" s="467">
        <v>0</v>
      </c>
      <c r="F141" s="467">
        <f t="shared" si="15"/>
        <v>7910020.314726703</v>
      </c>
      <c r="G141" s="468">
        <f t="shared" si="16"/>
        <v>2923.1412840822995</v>
      </c>
      <c r="H141" s="459">
        <f t="shared" si="17"/>
        <v>862.1887159177004</v>
      </c>
      <c r="I141" s="379">
        <f t="shared" si="18"/>
      </c>
      <c r="J141" s="379">
        <f t="shared" si="19"/>
      </c>
      <c r="K141" s="460">
        <f t="shared" si="20"/>
        <v>689.7509727341603</v>
      </c>
      <c r="L141" s="487">
        <f t="shared" si="21"/>
        <v>1866466.1322186377</v>
      </c>
      <c r="M141" s="487"/>
      <c r="N141" s="477">
        <v>407</v>
      </c>
      <c r="O141" s="478" t="s">
        <v>911</v>
      </c>
      <c r="P141" s="470">
        <v>1</v>
      </c>
      <c r="Q141" s="471" t="s">
        <v>741</v>
      </c>
      <c r="X141" s="472" t="s">
        <v>176</v>
      </c>
      <c r="Y141" s="473">
        <v>20.5</v>
      </c>
      <c r="Z141" s="474">
        <v>7589381.61</v>
      </c>
      <c r="AA141" s="475">
        <f t="shared" si="22"/>
        <v>37021373.70731708</v>
      </c>
      <c r="AB141" s="474">
        <v>561277.6338242624</v>
      </c>
      <c r="AE141" s="488">
        <v>407</v>
      </c>
      <c r="AF141">
        <f t="shared" si="23"/>
        <v>0</v>
      </c>
      <c r="AH141" s="476">
        <v>7440.104918970971</v>
      </c>
      <c r="AI141">
        <f t="shared" si="24"/>
        <v>7440104.918970971</v>
      </c>
      <c r="AJ141" s="489">
        <v>564.3874679999999</v>
      </c>
      <c r="AK141">
        <f t="shared" si="25"/>
        <v>564387.4679999999</v>
      </c>
    </row>
    <row r="142" spans="1:37" ht="15" customHeight="1">
      <c r="A142" s="452" t="s">
        <v>912</v>
      </c>
      <c r="B142" s="466">
        <v>14494</v>
      </c>
      <c r="C142" s="467">
        <f t="shared" si="13"/>
        <v>40555768.85146512</v>
      </c>
      <c r="D142" s="467">
        <f t="shared" si="14"/>
        <v>2373094.566568497</v>
      </c>
      <c r="E142" s="467">
        <v>0</v>
      </c>
      <c r="F142" s="467">
        <f t="shared" si="15"/>
        <v>42928863.418033615</v>
      </c>
      <c r="G142" s="468">
        <f t="shared" si="16"/>
        <v>2961.836857874542</v>
      </c>
      <c r="H142" s="459">
        <f t="shared" si="17"/>
        <v>823.4931421254578</v>
      </c>
      <c r="I142" s="379">
        <f t="shared" si="18"/>
      </c>
      <c r="J142" s="379">
        <f t="shared" si="19"/>
      </c>
      <c r="K142" s="460">
        <f t="shared" si="20"/>
        <v>658.7945137003662</v>
      </c>
      <c r="L142" s="487">
        <f t="shared" si="21"/>
        <v>9548567.681573108</v>
      </c>
      <c r="M142" s="487"/>
      <c r="N142" s="477">
        <v>408</v>
      </c>
      <c r="O142" s="478" t="s">
        <v>913</v>
      </c>
      <c r="P142" s="470">
        <v>0</v>
      </c>
      <c r="Q142" s="471" t="s">
        <v>734</v>
      </c>
      <c r="X142" s="472" t="s">
        <v>180</v>
      </c>
      <c r="Y142" s="473">
        <v>21.5</v>
      </c>
      <c r="Z142" s="474">
        <v>43926903.29</v>
      </c>
      <c r="AA142" s="475">
        <f t="shared" si="22"/>
        <v>204311178.09302327</v>
      </c>
      <c r="AB142" s="474">
        <v>2373094.566568497</v>
      </c>
      <c r="AE142" s="488">
        <v>408</v>
      </c>
      <c r="AF142">
        <f t="shared" si="23"/>
        <v>0</v>
      </c>
      <c r="AH142" s="476">
        <v>43704.63949227772</v>
      </c>
      <c r="AI142">
        <f t="shared" si="24"/>
        <v>43704639.49227772</v>
      </c>
      <c r="AJ142" s="489">
        <v>2386.243016</v>
      </c>
      <c r="AK142">
        <f t="shared" si="25"/>
        <v>2386243.016</v>
      </c>
    </row>
    <row r="143" spans="1:37" ht="15" customHeight="1">
      <c r="A143" s="452" t="s">
        <v>914</v>
      </c>
      <c r="B143" s="466">
        <v>18978</v>
      </c>
      <c r="C143" s="467">
        <f t="shared" si="13"/>
        <v>55197741.56095349</v>
      </c>
      <c r="D143" s="467">
        <f t="shared" si="14"/>
        <v>2576275.745933122</v>
      </c>
      <c r="E143" s="467">
        <v>0</v>
      </c>
      <c r="F143" s="467">
        <f t="shared" si="15"/>
        <v>57774017.30688661</v>
      </c>
      <c r="G143" s="468">
        <f t="shared" si="16"/>
        <v>3044.262688738888</v>
      </c>
      <c r="H143" s="459">
        <f t="shared" si="17"/>
        <v>741.0673112611121</v>
      </c>
      <c r="I143" s="379">
        <f t="shared" si="18"/>
      </c>
      <c r="J143" s="379">
        <f t="shared" si="19"/>
      </c>
      <c r="K143" s="460">
        <f t="shared" si="20"/>
        <v>592.8538490088897</v>
      </c>
      <c r="L143" s="487">
        <f t="shared" si="21"/>
        <v>11251180.34649071</v>
      </c>
      <c r="M143" s="487"/>
      <c r="N143" s="477">
        <v>410</v>
      </c>
      <c r="O143" s="388" t="s">
        <v>914</v>
      </c>
      <c r="P143" s="470">
        <v>0</v>
      </c>
      <c r="Q143" s="471" t="s">
        <v>769</v>
      </c>
      <c r="X143" s="472" t="s">
        <v>181</v>
      </c>
      <c r="Y143" s="473">
        <v>21.5</v>
      </c>
      <c r="Z143" s="474">
        <v>59785966.93</v>
      </c>
      <c r="AA143" s="475">
        <f t="shared" si="22"/>
        <v>278074264.7906977</v>
      </c>
      <c r="AB143" s="474">
        <v>2576275.745933122</v>
      </c>
      <c r="AE143" s="488">
        <v>410</v>
      </c>
      <c r="AF143">
        <f t="shared" si="23"/>
        <v>0</v>
      </c>
      <c r="AH143" s="476">
        <v>59900.761950071086</v>
      </c>
      <c r="AI143">
        <f t="shared" si="24"/>
        <v>59900761.95007109</v>
      </c>
      <c r="AJ143" s="489">
        <v>2590.549948</v>
      </c>
      <c r="AK143">
        <f t="shared" si="25"/>
        <v>2590549.948</v>
      </c>
    </row>
    <row r="144" spans="1:37" ht="15" customHeight="1">
      <c r="A144" s="452" t="s">
        <v>915</v>
      </c>
      <c r="B144" s="466">
        <v>3063</v>
      </c>
      <c r="C144" s="467">
        <f t="shared" si="13"/>
        <v>8603350.409833334</v>
      </c>
      <c r="D144" s="467">
        <f t="shared" si="14"/>
        <v>415912.67193520296</v>
      </c>
      <c r="E144" s="467">
        <v>0</v>
      </c>
      <c r="F144" s="467">
        <f t="shared" si="15"/>
        <v>9019263.081768537</v>
      </c>
      <c r="G144" s="468">
        <f t="shared" si="16"/>
        <v>2944.584747557472</v>
      </c>
      <c r="H144" s="459">
        <f t="shared" si="17"/>
        <v>840.745252442528</v>
      </c>
      <c r="I144" s="379">
        <f t="shared" si="18"/>
      </c>
      <c r="J144" s="379">
        <f t="shared" si="19"/>
      </c>
      <c r="K144" s="460">
        <f t="shared" si="20"/>
        <v>672.5962019540225</v>
      </c>
      <c r="L144" s="487">
        <f t="shared" si="21"/>
        <v>2060162.166585171</v>
      </c>
      <c r="M144" s="487"/>
      <c r="N144" s="477">
        <v>416</v>
      </c>
      <c r="O144" s="388" t="s">
        <v>915</v>
      </c>
      <c r="P144" s="470">
        <v>0</v>
      </c>
      <c r="Q144" s="471" t="s">
        <v>816</v>
      </c>
      <c r="X144" s="472" t="s">
        <v>182</v>
      </c>
      <c r="Y144" s="473">
        <v>21</v>
      </c>
      <c r="Z144" s="474">
        <v>9101781.29</v>
      </c>
      <c r="AA144" s="475">
        <f t="shared" si="22"/>
        <v>43341815.666666664</v>
      </c>
      <c r="AB144" s="474">
        <v>415912.67193520296</v>
      </c>
      <c r="AE144" s="488">
        <v>416</v>
      </c>
      <c r="AF144">
        <f t="shared" si="23"/>
        <v>0</v>
      </c>
      <c r="AH144" s="476">
        <v>9172.76723851065</v>
      </c>
      <c r="AI144">
        <f t="shared" si="24"/>
        <v>9172767.238510652</v>
      </c>
      <c r="AJ144" s="489">
        <v>418.21709200000004</v>
      </c>
      <c r="AK144">
        <f t="shared" si="25"/>
        <v>418217.09200000006</v>
      </c>
    </row>
    <row r="145" spans="1:37" ht="15" customHeight="1">
      <c r="A145" s="452" t="s">
        <v>916</v>
      </c>
      <c r="B145" s="466">
        <v>22829</v>
      </c>
      <c r="C145" s="467">
        <f t="shared" si="13"/>
        <v>81641109.97719511</v>
      </c>
      <c r="D145" s="467">
        <f t="shared" si="14"/>
        <v>4192239.744186962</v>
      </c>
      <c r="E145" s="467">
        <v>0</v>
      </c>
      <c r="F145" s="467">
        <f t="shared" si="15"/>
        <v>85833349.72138208</v>
      </c>
      <c r="G145" s="468">
        <f t="shared" si="16"/>
        <v>3759.8383512804803</v>
      </c>
      <c r="H145" s="459">
        <f t="shared" si="17"/>
        <v>25.491648719519617</v>
      </c>
      <c r="I145" s="379">
        <f t="shared" si="18"/>
      </c>
      <c r="J145" s="379">
        <f t="shared" si="19"/>
      </c>
      <c r="K145" s="460">
        <f t="shared" si="20"/>
        <v>20.393318975615696</v>
      </c>
      <c r="L145" s="487">
        <f t="shared" si="21"/>
        <v>465559.0788943307</v>
      </c>
      <c r="M145" s="487"/>
      <c r="N145" s="477">
        <v>418</v>
      </c>
      <c r="O145" s="388" t="s">
        <v>916</v>
      </c>
      <c r="P145" s="470">
        <v>0</v>
      </c>
      <c r="Q145" s="471" t="s">
        <v>744</v>
      </c>
      <c r="X145" s="472" t="s">
        <v>183</v>
      </c>
      <c r="Y145" s="473">
        <v>20.5</v>
      </c>
      <c r="Z145" s="474">
        <v>84314496.45</v>
      </c>
      <c r="AA145" s="475">
        <f t="shared" si="22"/>
        <v>411290226.58536583</v>
      </c>
      <c r="AB145" s="474">
        <v>4192239.744186962</v>
      </c>
      <c r="AE145" s="488">
        <v>418</v>
      </c>
      <c r="AF145">
        <f t="shared" si="23"/>
        <v>0</v>
      </c>
      <c r="AH145" s="476">
        <v>84074.57090217178</v>
      </c>
      <c r="AI145">
        <f t="shared" si="24"/>
        <v>84074570.90217178</v>
      </c>
      <c r="AJ145" s="489">
        <v>4215.467412000001</v>
      </c>
      <c r="AK145">
        <f t="shared" si="25"/>
        <v>4215467.4120000005</v>
      </c>
    </row>
    <row r="146" spans="1:37" ht="15" customHeight="1">
      <c r="A146" s="452" t="s">
        <v>917</v>
      </c>
      <c r="B146" s="466">
        <v>9782</v>
      </c>
      <c r="C146" s="467">
        <f t="shared" si="13"/>
        <v>28062739.28357143</v>
      </c>
      <c r="D146" s="467">
        <f t="shared" si="14"/>
        <v>2590350.5903656385</v>
      </c>
      <c r="E146" s="467">
        <v>0</v>
      </c>
      <c r="F146" s="467">
        <f t="shared" si="15"/>
        <v>30653089.873937067</v>
      </c>
      <c r="G146" s="468">
        <f t="shared" si="16"/>
        <v>3133.6219458124174</v>
      </c>
      <c r="H146" s="459">
        <f t="shared" si="17"/>
        <v>651.7080541875825</v>
      </c>
      <c r="I146" s="379">
        <f t="shared" si="18"/>
      </c>
      <c r="J146" s="379">
        <f t="shared" si="19"/>
      </c>
      <c r="K146" s="460">
        <f t="shared" si="20"/>
        <v>521.3664433500661</v>
      </c>
      <c r="L146" s="487">
        <f t="shared" si="21"/>
        <v>5100006.548850346</v>
      </c>
      <c r="M146" s="487"/>
      <c r="N146" s="477">
        <v>420</v>
      </c>
      <c r="O146" s="388" t="s">
        <v>917</v>
      </c>
      <c r="P146" s="470">
        <v>0</v>
      </c>
      <c r="Q146" s="471" t="s">
        <v>798</v>
      </c>
      <c r="X146" s="472" t="s">
        <v>184</v>
      </c>
      <c r="Y146" s="473">
        <v>21</v>
      </c>
      <c r="Z146" s="474">
        <v>29688540.3</v>
      </c>
      <c r="AA146" s="475">
        <f t="shared" si="22"/>
        <v>141374001.42857143</v>
      </c>
      <c r="AB146" s="474">
        <v>2590350.5903656385</v>
      </c>
      <c r="AE146" s="488">
        <v>420</v>
      </c>
      <c r="AF146">
        <f t="shared" si="23"/>
        <v>0</v>
      </c>
      <c r="AH146" s="476">
        <v>29938.7274708232</v>
      </c>
      <c r="AI146">
        <f t="shared" si="24"/>
        <v>29938727.4708232</v>
      </c>
      <c r="AJ146" s="489">
        <v>2604.702776</v>
      </c>
      <c r="AK146">
        <f t="shared" si="25"/>
        <v>2604702.776</v>
      </c>
    </row>
    <row r="147" spans="1:37" s="1" customFormat="1" ht="15" customHeight="1">
      <c r="A147" s="452" t="s">
        <v>918</v>
      </c>
      <c r="B147" s="466">
        <v>789</v>
      </c>
      <c r="C147" s="467">
        <f aca="true" t="shared" si="26" ref="C147:C210">19.85*AA147/100</f>
        <v>1725068.22</v>
      </c>
      <c r="D147" s="467">
        <f aca="true" t="shared" si="27" ref="D147:D210">AB147</f>
        <v>381486.4112599659</v>
      </c>
      <c r="E147" s="467">
        <v>0</v>
      </c>
      <c r="F147" s="467">
        <f aca="true" t="shared" si="28" ref="F147:F210">C147+D147+E147</f>
        <v>2106554.6312599657</v>
      </c>
      <c r="G147" s="468">
        <f aca="true" t="shared" si="29" ref="G147:G210">F147/B147</f>
        <v>2669.9044756146586</v>
      </c>
      <c r="H147" s="459">
        <f aca="true" t="shared" si="30" ref="H147:H210">$G$15-G147</f>
        <v>1115.4255243853413</v>
      </c>
      <c r="I147" s="379">
        <f aca="true" t="shared" si="31" ref="I147:I210">IF(H147&lt;0,LN(-H147),"")</f>
      </c>
      <c r="J147" s="379">
        <f aca="true" t="shared" si="32" ref="J147:J210">IF(H147&lt;0,30+I147,"")</f>
      </c>
      <c r="K147" s="460">
        <f aca="true" t="shared" si="33" ref="K147:K210">IF(H147&gt;0,H147*0.8,J147*H147/100)</f>
        <v>892.340419508273</v>
      </c>
      <c r="L147" s="487">
        <f aca="true" t="shared" si="34" ref="L147:L210">K147*B147</f>
        <v>704056.5909920274</v>
      </c>
      <c r="M147" s="487"/>
      <c r="N147" s="477">
        <v>421</v>
      </c>
      <c r="O147" s="388" t="s">
        <v>918</v>
      </c>
      <c r="P147" s="470">
        <v>0</v>
      </c>
      <c r="Q147" s="471" t="s">
        <v>764</v>
      </c>
      <c r="R147"/>
      <c r="S147"/>
      <c r="T147"/>
      <c r="U147"/>
      <c r="V147"/>
      <c r="W147"/>
      <c r="X147" s="472" t="s">
        <v>185</v>
      </c>
      <c r="Y147" s="473">
        <v>21</v>
      </c>
      <c r="Z147" s="474">
        <v>1825009.2</v>
      </c>
      <c r="AA147" s="475">
        <f aca="true" t="shared" si="35" ref="AA147:AA210">100*Z147/Y147</f>
        <v>8690520</v>
      </c>
      <c r="AB147" s="474">
        <v>381486.4112599659</v>
      </c>
      <c r="AC147"/>
      <c r="AD147"/>
      <c r="AE147" s="488">
        <v>421</v>
      </c>
      <c r="AF147">
        <f aca="true" t="shared" si="36" ref="AF147:AF210">N147-AE147</f>
        <v>0</v>
      </c>
      <c r="AG147"/>
      <c r="AH147" s="476">
        <v>1768.8748530815637</v>
      </c>
      <c r="AI147">
        <f aca="true" t="shared" si="37" ref="AI147:AI210">AH147*1000</f>
        <v>1768874.8530815637</v>
      </c>
      <c r="AJ147" s="489">
        <v>383.600088</v>
      </c>
      <c r="AK147">
        <f aca="true" t="shared" si="38" ref="AK147:AK210">AJ147*1000</f>
        <v>383600.08800000005</v>
      </c>
    </row>
    <row r="148" spans="1:37" ht="15" customHeight="1">
      <c r="A148" s="452" t="s">
        <v>919</v>
      </c>
      <c r="B148" s="466">
        <v>11297</v>
      </c>
      <c r="C148" s="467">
        <f t="shared" si="26"/>
        <v>29495165.91997619</v>
      </c>
      <c r="D148" s="467">
        <f t="shared" si="27"/>
        <v>4453425.600840226</v>
      </c>
      <c r="E148" s="467">
        <v>0</v>
      </c>
      <c r="F148" s="467">
        <f t="shared" si="28"/>
        <v>33948591.520816416</v>
      </c>
      <c r="G148" s="468">
        <f t="shared" si="29"/>
        <v>3005.09794820009</v>
      </c>
      <c r="H148" s="459">
        <f t="shared" si="30"/>
        <v>780.2320517999101</v>
      </c>
      <c r="I148" s="379">
        <f t="shared" si="31"/>
      </c>
      <c r="J148" s="379">
        <f t="shared" si="32"/>
      </c>
      <c r="K148" s="460">
        <f t="shared" si="33"/>
        <v>624.1856414399281</v>
      </c>
      <c r="L148" s="487">
        <f t="shared" si="34"/>
        <v>7051425.191346868</v>
      </c>
      <c r="M148" s="487"/>
      <c r="N148" s="477">
        <v>422</v>
      </c>
      <c r="O148" s="388" t="s">
        <v>919</v>
      </c>
      <c r="P148" s="470">
        <v>0</v>
      </c>
      <c r="Q148" s="471" t="s">
        <v>805</v>
      </c>
      <c r="X148" s="472" t="s">
        <v>186</v>
      </c>
      <c r="Y148" s="473">
        <v>21</v>
      </c>
      <c r="Z148" s="474">
        <v>31203953.87</v>
      </c>
      <c r="AA148" s="475">
        <f t="shared" si="35"/>
        <v>148590256.52380952</v>
      </c>
      <c r="AB148" s="474">
        <v>4453425.600840226</v>
      </c>
      <c r="AD148" s="1"/>
      <c r="AE148" s="488">
        <v>422</v>
      </c>
      <c r="AF148">
        <f t="shared" si="36"/>
        <v>0</v>
      </c>
      <c r="AG148" s="1"/>
      <c r="AH148" s="476">
        <v>31462.04235137956</v>
      </c>
      <c r="AI148">
        <f t="shared" si="37"/>
        <v>31462042.351379562</v>
      </c>
      <c r="AJ148" s="489">
        <v>4478.100404</v>
      </c>
      <c r="AK148">
        <f t="shared" si="38"/>
        <v>4478100.404</v>
      </c>
    </row>
    <row r="149" spans="1:37" ht="15" customHeight="1">
      <c r="A149" s="452" t="s">
        <v>920</v>
      </c>
      <c r="B149" s="466">
        <v>19596</v>
      </c>
      <c r="C149" s="467">
        <f t="shared" si="26"/>
        <v>70989822.84266667</v>
      </c>
      <c r="D149" s="467">
        <f t="shared" si="27"/>
        <v>3721297.928618936</v>
      </c>
      <c r="E149" s="467">
        <v>0</v>
      </c>
      <c r="F149" s="467">
        <f t="shared" si="28"/>
        <v>74711120.77128561</v>
      </c>
      <c r="G149" s="468">
        <f t="shared" si="29"/>
        <v>3812.5699515863244</v>
      </c>
      <c r="H149" s="459">
        <f t="shared" si="30"/>
        <v>-27.239951586324423</v>
      </c>
      <c r="I149" s="379">
        <f t="shared" si="31"/>
        <v>3.3046847039788667</v>
      </c>
      <c r="J149" s="379">
        <f t="shared" si="32"/>
        <v>33.304684703978864</v>
      </c>
      <c r="K149" s="460">
        <f t="shared" si="33"/>
        <v>-9.072179989341839</v>
      </c>
      <c r="L149" s="487">
        <f t="shared" si="34"/>
        <v>-177778.43907114267</v>
      </c>
      <c r="M149" s="487"/>
      <c r="N149" s="477">
        <v>423</v>
      </c>
      <c r="O149" s="478" t="s">
        <v>921</v>
      </c>
      <c r="P149" s="470">
        <v>0</v>
      </c>
      <c r="Q149" s="471" t="s">
        <v>743</v>
      </c>
      <c r="X149" s="472" t="s">
        <v>187</v>
      </c>
      <c r="Y149" s="473">
        <v>19.5</v>
      </c>
      <c r="Z149" s="474">
        <v>69738113.12</v>
      </c>
      <c r="AA149" s="475">
        <f t="shared" si="35"/>
        <v>357631349.3333333</v>
      </c>
      <c r="AB149" s="474">
        <v>3721297.928618936</v>
      </c>
      <c r="AE149" s="488">
        <v>423</v>
      </c>
      <c r="AF149">
        <f t="shared" si="36"/>
        <v>0</v>
      </c>
      <c r="AH149" s="476">
        <v>69417.12222716695</v>
      </c>
      <c r="AI149">
        <f t="shared" si="37"/>
        <v>69417122.22716695</v>
      </c>
      <c r="AJ149" s="489">
        <v>3741.91628</v>
      </c>
      <c r="AK149">
        <f t="shared" si="38"/>
        <v>3741916.28</v>
      </c>
    </row>
    <row r="150" spans="1:37" ht="15" customHeight="1">
      <c r="A150" s="452" t="s">
        <v>922</v>
      </c>
      <c r="B150" s="466">
        <v>10133</v>
      </c>
      <c r="C150" s="467">
        <f t="shared" si="26"/>
        <v>28614704.90325582</v>
      </c>
      <c r="D150" s="467">
        <f t="shared" si="27"/>
        <v>680957.4676180643</v>
      </c>
      <c r="E150" s="467">
        <v>0</v>
      </c>
      <c r="F150" s="467">
        <f t="shared" si="28"/>
        <v>29295662.370873883</v>
      </c>
      <c r="G150" s="468">
        <f t="shared" si="29"/>
        <v>2891.11441536306</v>
      </c>
      <c r="H150" s="459">
        <f t="shared" si="30"/>
        <v>894.2155846369401</v>
      </c>
      <c r="I150" s="379">
        <f t="shared" si="31"/>
      </c>
      <c r="J150" s="379">
        <f t="shared" si="32"/>
      </c>
      <c r="K150" s="460">
        <f t="shared" si="33"/>
        <v>715.3724677095521</v>
      </c>
      <c r="L150" s="487">
        <f t="shared" si="34"/>
        <v>7248869.215300892</v>
      </c>
      <c r="M150" s="487"/>
      <c r="N150" s="477">
        <v>425</v>
      </c>
      <c r="O150" s="478" t="s">
        <v>923</v>
      </c>
      <c r="P150" s="470">
        <v>0</v>
      </c>
      <c r="Q150" s="471" t="s">
        <v>736</v>
      </c>
      <c r="X150" s="472" t="s">
        <v>188</v>
      </c>
      <c r="Y150" s="473">
        <v>21.5</v>
      </c>
      <c r="Z150" s="474">
        <v>30993257.2</v>
      </c>
      <c r="AA150" s="475">
        <f t="shared" si="35"/>
        <v>144154684.6511628</v>
      </c>
      <c r="AB150" s="474">
        <v>680957.4676180643</v>
      </c>
      <c r="AE150" s="488">
        <v>425</v>
      </c>
      <c r="AF150">
        <f t="shared" si="36"/>
        <v>0</v>
      </c>
      <c r="AH150" s="476">
        <v>30892.463110594632</v>
      </c>
      <c r="AI150">
        <f t="shared" si="37"/>
        <v>30892463.11059463</v>
      </c>
      <c r="AJ150" s="489">
        <v>684.730404</v>
      </c>
      <c r="AK150">
        <f t="shared" si="38"/>
        <v>684730.404</v>
      </c>
    </row>
    <row r="151" spans="1:37" ht="15" customHeight="1">
      <c r="A151" s="452" t="s">
        <v>924</v>
      </c>
      <c r="B151" s="466">
        <v>12150</v>
      </c>
      <c r="C151" s="467">
        <f t="shared" si="26"/>
        <v>33523895.9463721</v>
      </c>
      <c r="D151" s="467">
        <f t="shared" si="27"/>
        <v>1318588.435531581</v>
      </c>
      <c r="E151" s="467">
        <v>0</v>
      </c>
      <c r="F151" s="467">
        <f t="shared" si="28"/>
        <v>34842484.38190368</v>
      </c>
      <c r="G151" s="468">
        <f t="shared" si="29"/>
        <v>2867.6941878110024</v>
      </c>
      <c r="H151" s="459">
        <f t="shared" si="30"/>
        <v>917.6358121889975</v>
      </c>
      <c r="I151" s="379">
        <f t="shared" si="31"/>
      </c>
      <c r="J151" s="379">
        <f t="shared" si="32"/>
      </c>
      <c r="K151" s="460">
        <f t="shared" si="33"/>
        <v>734.1086497511981</v>
      </c>
      <c r="L151" s="487">
        <f t="shared" si="34"/>
        <v>8919420.094477057</v>
      </c>
      <c r="M151" s="487"/>
      <c r="N151" s="477">
        <v>426</v>
      </c>
      <c r="O151" s="388" t="s">
        <v>924</v>
      </c>
      <c r="P151" s="470">
        <v>0</v>
      </c>
      <c r="Q151" s="471" t="s">
        <v>805</v>
      </c>
      <c r="X151" s="472" t="s">
        <v>189</v>
      </c>
      <c r="Y151" s="473">
        <v>21.5</v>
      </c>
      <c r="Z151" s="474">
        <v>36310517.02</v>
      </c>
      <c r="AA151" s="475">
        <f t="shared" si="35"/>
        <v>168886125.67441863</v>
      </c>
      <c r="AB151" s="474">
        <v>1318588.435531581</v>
      </c>
      <c r="AE151" s="488">
        <v>426</v>
      </c>
      <c r="AF151">
        <f t="shared" si="36"/>
        <v>0</v>
      </c>
      <c r="AH151" s="476">
        <v>36282.38997250048</v>
      </c>
      <c r="AI151">
        <f t="shared" si="37"/>
        <v>36282389.97250048</v>
      </c>
      <c r="AJ151" s="489">
        <v>1325.8942519999998</v>
      </c>
      <c r="AK151">
        <f t="shared" si="38"/>
        <v>1325894.2519999999</v>
      </c>
    </row>
    <row r="152" spans="1:37" ht="15" customHeight="1">
      <c r="A152" s="465" t="s">
        <v>925</v>
      </c>
      <c r="B152" s="466">
        <v>16150</v>
      </c>
      <c r="C152" s="467">
        <f t="shared" si="26"/>
        <v>44365082.879658535</v>
      </c>
      <c r="D152" s="467">
        <f t="shared" si="27"/>
        <v>3294743.8209885973</v>
      </c>
      <c r="E152" s="467">
        <v>0</v>
      </c>
      <c r="F152" s="467">
        <f t="shared" si="28"/>
        <v>47659826.70064713</v>
      </c>
      <c r="G152" s="468">
        <f t="shared" si="29"/>
        <v>2951.0728607211845</v>
      </c>
      <c r="H152" s="459">
        <f t="shared" si="30"/>
        <v>834.2571392788154</v>
      </c>
      <c r="I152" s="379">
        <f t="shared" si="31"/>
      </c>
      <c r="J152" s="379">
        <f t="shared" si="32"/>
      </c>
      <c r="K152" s="460">
        <f t="shared" si="33"/>
        <v>667.4057114230524</v>
      </c>
      <c r="L152" s="487">
        <f t="shared" si="34"/>
        <v>10778602.239482297</v>
      </c>
      <c r="M152" s="487"/>
      <c r="N152" s="469">
        <v>430</v>
      </c>
      <c r="O152" s="388" t="s">
        <v>925</v>
      </c>
      <c r="P152" s="470">
        <v>0</v>
      </c>
      <c r="Q152" s="471" t="s">
        <v>743</v>
      </c>
      <c r="X152" s="472" t="s">
        <v>191</v>
      </c>
      <c r="Y152" s="473">
        <v>20.5</v>
      </c>
      <c r="Z152" s="474">
        <v>45817843.78</v>
      </c>
      <c r="AA152" s="475">
        <f t="shared" si="35"/>
        <v>223501676.97560975</v>
      </c>
      <c r="AB152" s="474">
        <v>3294743.8209885973</v>
      </c>
      <c r="AE152" s="488">
        <v>430</v>
      </c>
      <c r="AF152">
        <f t="shared" si="36"/>
        <v>0</v>
      </c>
      <c r="AH152" s="476">
        <v>45717.01983315413</v>
      </c>
      <c r="AI152">
        <f t="shared" si="37"/>
        <v>45717019.833154134</v>
      </c>
      <c r="AJ152" s="489">
        <v>3312.998792</v>
      </c>
      <c r="AK152">
        <f t="shared" si="38"/>
        <v>3312998.792</v>
      </c>
    </row>
    <row r="153" spans="1:37" ht="15" customHeight="1">
      <c r="A153" s="452" t="s">
        <v>926</v>
      </c>
      <c r="B153" s="466">
        <v>8028</v>
      </c>
      <c r="C153" s="467">
        <f t="shared" si="26"/>
        <v>23437094.34016279</v>
      </c>
      <c r="D153" s="467">
        <f t="shared" si="27"/>
        <v>1470822.6454287048</v>
      </c>
      <c r="E153" s="467">
        <v>0</v>
      </c>
      <c r="F153" s="467">
        <f t="shared" si="28"/>
        <v>24907916.985591497</v>
      </c>
      <c r="G153" s="468">
        <f t="shared" si="29"/>
        <v>3102.630416740346</v>
      </c>
      <c r="H153" s="459">
        <f t="shared" si="30"/>
        <v>682.699583259654</v>
      </c>
      <c r="I153" s="379">
        <f t="shared" si="31"/>
      </c>
      <c r="J153" s="379">
        <f t="shared" si="32"/>
      </c>
      <c r="K153" s="460">
        <f t="shared" si="33"/>
        <v>546.1596666077232</v>
      </c>
      <c r="L153" s="487">
        <f t="shared" si="34"/>
        <v>4384569.803526802</v>
      </c>
      <c r="M153" s="487"/>
      <c r="N153" s="477">
        <v>433</v>
      </c>
      <c r="O153" s="388" t="s">
        <v>926</v>
      </c>
      <c r="P153" s="470">
        <v>0</v>
      </c>
      <c r="Q153" s="471" t="s">
        <v>758</v>
      </c>
      <c r="U153" s="491"/>
      <c r="X153" s="472" t="s">
        <v>192</v>
      </c>
      <c r="Y153" s="473">
        <v>21.5</v>
      </c>
      <c r="Z153" s="474">
        <v>25385265.91</v>
      </c>
      <c r="AA153" s="475">
        <f t="shared" si="35"/>
        <v>118071004.23255815</v>
      </c>
      <c r="AB153" s="474">
        <v>1470822.6454287048</v>
      </c>
      <c r="AE153" s="488">
        <v>433</v>
      </c>
      <c r="AF153">
        <f t="shared" si="36"/>
        <v>0</v>
      </c>
      <c r="AH153" s="476">
        <v>25192.074174710837</v>
      </c>
      <c r="AI153">
        <f t="shared" si="37"/>
        <v>25192074.174710836</v>
      </c>
      <c r="AJ153" s="489">
        <v>1478.971936</v>
      </c>
      <c r="AK153">
        <f t="shared" si="38"/>
        <v>1478971.936</v>
      </c>
    </row>
    <row r="154" spans="1:37" ht="15" customHeight="1">
      <c r="A154" s="452" t="s">
        <v>927</v>
      </c>
      <c r="B154" s="466">
        <v>15085</v>
      </c>
      <c r="C154" s="467">
        <f t="shared" si="26"/>
        <v>47467812.17503797</v>
      </c>
      <c r="D154" s="467">
        <f t="shared" si="27"/>
        <v>6295977.1880998425</v>
      </c>
      <c r="E154" s="467">
        <f>3.1*T154/100/2</f>
        <v>1795143.784</v>
      </c>
      <c r="F154" s="467">
        <f t="shared" si="28"/>
        <v>55558933.14713781</v>
      </c>
      <c r="G154" s="468">
        <f t="shared" si="29"/>
        <v>3683.0582132673394</v>
      </c>
      <c r="H154" s="459">
        <f t="shared" si="30"/>
        <v>102.27178673266053</v>
      </c>
      <c r="I154" s="379">
        <f t="shared" si="31"/>
      </c>
      <c r="J154" s="379">
        <f t="shared" si="32"/>
      </c>
      <c r="K154" s="460">
        <f t="shared" si="33"/>
        <v>81.81742938612842</v>
      </c>
      <c r="L154" s="487">
        <f t="shared" si="34"/>
        <v>1234215.9222897473</v>
      </c>
      <c r="M154" s="487"/>
      <c r="N154" s="477">
        <v>434</v>
      </c>
      <c r="O154" s="478" t="s">
        <v>928</v>
      </c>
      <c r="P154" s="470">
        <v>1</v>
      </c>
      <c r="Q154" s="471" t="s">
        <v>741</v>
      </c>
      <c r="T154" s="492">
        <v>115815728</v>
      </c>
      <c r="U154" s="493"/>
      <c r="X154" s="472" t="s">
        <v>193</v>
      </c>
      <c r="Y154" s="473">
        <v>19.75</v>
      </c>
      <c r="Z154" s="474">
        <v>47228679.62</v>
      </c>
      <c r="AA154" s="475">
        <f t="shared" si="35"/>
        <v>239132555.0379747</v>
      </c>
      <c r="AB154" s="474">
        <v>6295977.1880998425</v>
      </c>
      <c r="AE154" s="488">
        <v>434</v>
      </c>
      <c r="AF154">
        <f t="shared" si="36"/>
        <v>0</v>
      </c>
      <c r="AH154" s="476">
        <v>47200.957525948324</v>
      </c>
      <c r="AI154">
        <f t="shared" si="37"/>
        <v>47200957.52594832</v>
      </c>
      <c r="AJ154" s="489">
        <v>6330.860896</v>
      </c>
      <c r="AK154">
        <f t="shared" si="38"/>
        <v>6330860.896</v>
      </c>
    </row>
    <row r="155" spans="1:37" ht="15" customHeight="1">
      <c r="A155" s="452" t="s">
        <v>929</v>
      </c>
      <c r="B155" s="466">
        <v>734</v>
      </c>
      <c r="C155" s="467">
        <f t="shared" si="26"/>
        <v>1835001.5651081083</v>
      </c>
      <c r="D155" s="467">
        <f t="shared" si="27"/>
        <v>287787.669732151</v>
      </c>
      <c r="E155" s="467">
        <v>0</v>
      </c>
      <c r="F155" s="467">
        <f t="shared" si="28"/>
        <v>2122789.2348402594</v>
      </c>
      <c r="G155" s="468">
        <f t="shared" si="29"/>
        <v>2892.0834262128874</v>
      </c>
      <c r="H155" s="459">
        <f t="shared" si="30"/>
        <v>893.2465737871125</v>
      </c>
      <c r="I155" s="379">
        <f t="shared" si="31"/>
      </c>
      <c r="J155" s="379">
        <f t="shared" si="32"/>
      </c>
      <c r="K155" s="460">
        <f t="shared" si="33"/>
        <v>714.5972590296901</v>
      </c>
      <c r="L155" s="487">
        <f t="shared" si="34"/>
        <v>524514.3881277925</v>
      </c>
      <c r="M155" s="487"/>
      <c r="N155" s="477">
        <v>435</v>
      </c>
      <c r="O155" s="388" t="s">
        <v>929</v>
      </c>
      <c r="P155" s="470">
        <v>0</v>
      </c>
      <c r="Q155" s="471" t="s">
        <v>769</v>
      </c>
      <c r="X155" s="472" t="s">
        <v>194</v>
      </c>
      <c r="Y155" s="473">
        <v>18.5</v>
      </c>
      <c r="Z155" s="474">
        <v>1710202.97</v>
      </c>
      <c r="AA155" s="475">
        <f t="shared" si="35"/>
        <v>9244340.378378378</v>
      </c>
      <c r="AB155" s="474">
        <v>287787.669732151</v>
      </c>
      <c r="AE155" s="488">
        <v>435</v>
      </c>
      <c r="AF155">
        <f t="shared" si="36"/>
        <v>0</v>
      </c>
      <c r="AH155" s="476">
        <v>1669.3270080168863</v>
      </c>
      <c r="AI155">
        <f t="shared" si="37"/>
        <v>1669327.0080168864</v>
      </c>
      <c r="AJ155" s="489">
        <v>289.38219599999996</v>
      </c>
      <c r="AK155">
        <f t="shared" si="38"/>
        <v>289382.19599999994</v>
      </c>
    </row>
    <row r="156" spans="1:37" ht="15" customHeight="1">
      <c r="A156" s="452" t="s">
        <v>930</v>
      </c>
      <c r="B156" s="466">
        <v>2081</v>
      </c>
      <c r="C156" s="467">
        <f t="shared" si="26"/>
        <v>5083672.840976191</v>
      </c>
      <c r="D156" s="467">
        <f t="shared" si="27"/>
        <v>159102.71004878677</v>
      </c>
      <c r="E156" s="467">
        <v>0</v>
      </c>
      <c r="F156" s="467">
        <f t="shared" si="28"/>
        <v>5242775.551024977</v>
      </c>
      <c r="G156" s="468">
        <f t="shared" si="29"/>
        <v>2519.3539409058035</v>
      </c>
      <c r="H156" s="459">
        <f t="shared" si="30"/>
        <v>1265.9760590941964</v>
      </c>
      <c r="I156" s="379">
        <f t="shared" si="31"/>
      </c>
      <c r="J156" s="379">
        <f t="shared" si="32"/>
      </c>
      <c r="K156" s="460">
        <f t="shared" si="33"/>
        <v>1012.7808472753572</v>
      </c>
      <c r="L156" s="487">
        <f t="shared" si="34"/>
        <v>2107596.9431800186</v>
      </c>
      <c r="M156" s="487"/>
      <c r="N156" s="477">
        <v>436</v>
      </c>
      <c r="O156" s="388" t="s">
        <v>930</v>
      </c>
      <c r="P156" s="470">
        <v>0</v>
      </c>
      <c r="Q156" s="471" t="s">
        <v>736</v>
      </c>
      <c r="X156" s="472" t="s">
        <v>195</v>
      </c>
      <c r="Y156" s="473">
        <v>21</v>
      </c>
      <c r="Z156" s="474">
        <v>5378192.93</v>
      </c>
      <c r="AA156" s="475">
        <f t="shared" si="35"/>
        <v>25610442.523809522</v>
      </c>
      <c r="AB156" s="474">
        <v>159102.71004878677</v>
      </c>
      <c r="AE156" s="488">
        <v>436</v>
      </c>
      <c r="AF156">
        <f t="shared" si="36"/>
        <v>0</v>
      </c>
      <c r="AH156" s="476">
        <v>5282.71714165863</v>
      </c>
      <c r="AI156">
        <f t="shared" si="37"/>
        <v>5282717.14165863</v>
      </c>
      <c r="AJ156" s="489">
        <v>159.98424</v>
      </c>
      <c r="AK156">
        <f t="shared" si="38"/>
        <v>159984.24</v>
      </c>
    </row>
    <row r="157" spans="1:37" ht="15" customHeight="1">
      <c r="A157" s="452" t="s">
        <v>931</v>
      </c>
      <c r="B157" s="466">
        <v>5264</v>
      </c>
      <c r="C157" s="467">
        <f t="shared" si="26"/>
        <v>14145521.770435901</v>
      </c>
      <c r="D157" s="467">
        <f t="shared" si="27"/>
        <v>352879.59516977024</v>
      </c>
      <c r="E157" s="467">
        <v>0</v>
      </c>
      <c r="F157" s="467">
        <f t="shared" si="28"/>
        <v>14498401.365605671</v>
      </c>
      <c r="G157" s="468">
        <f t="shared" si="29"/>
        <v>2754.255578572506</v>
      </c>
      <c r="H157" s="459">
        <f t="shared" si="30"/>
        <v>1031.0744214274941</v>
      </c>
      <c r="I157" s="379">
        <f t="shared" si="31"/>
      </c>
      <c r="J157" s="379">
        <f t="shared" si="32"/>
      </c>
      <c r="K157" s="460">
        <f t="shared" si="33"/>
        <v>824.8595371419954</v>
      </c>
      <c r="L157" s="487">
        <f t="shared" si="34"/>
        <v>4342060.603515464</v>
      </c>
      <c r="M157" s="487"/>
      <c r="N157" s="477">
        <v>440</v>
      </c>
      <c r="O157" s="478" t="s">
        <v>932</v>
      </c>
      <c r="P157" s="470">
        <v>3</v>
      </c>
      <c r="Q157" s="471" t="s">
        <v>814</v>
      </c>
      <c r="X157" s="472" t="s">
        <v>196</v>
      </c>
      <c r="Y157" s="473">
        <v>19.5</v>
      </c>
      <c r="Z157" s="474">
        <v>13896104.51</v>
      </c>
      <c r="AA157" s="475">
        <f t="shared" si="35"/>
        <v>71262074.41025642</v>
      </c>
      <c r="AB157" s="474">
        <v>352879.59516977024</v>
      </c>
      <c r="AE157" s="488">
        <v>440</v>
      </c>
      <c r="AF157">
        <f t="shared" si="36"/>
        <v>0</v>
      </c>
      <c r="AH157" s="476">
        <v>13735.20331269654</v>
      </c>
      <c r="AI157">
        <f t="shared" si="37"/>
        <v>13735203.312696539</v>
      </c>
      <c r="AJ157" s="489">
        <v>354.83477200000004</v>
      </c>
      <c r="AK157">
        <f t="shared" si="38"/>
        <v>354834.77200000006</v>
      </c>
    </row>
    <row r="158" spans="1:37" ht="15" customHeight="1">
      <c r="A158" s="452" t="s">
        <v>933</v>
      </c>
      <c r="B158" s="466">
        <v>4747</v>
      </c>
      <c r="C158" s="467">
        <f t="shared" si="26"/>
        <v>12823892.63470732</v>
      </c>
      <c r="D158" s="467">
        <f t="shared" si="27"/>
        <v>1961826.830740432</v>
      </c>
      <c r="E158" s="467">
        <v>0</v>
      </c>
      <c r="F158" s="467">
        <f t="shared" si="28"/>
        <v>14785719.465447752</v>
      </c>
      <c r="G158" s="468">
        <f t="shared" si="29"/>
        <v>3114.75025604545</v>
      </c>
      <c r="H158" s="459">
        <f t="shared" si="30"/>
        <v>670.5797439545499</v>
      </c>
      <c r="I158" s="379">
        <f t="shared" si="31"/>
      </c>
      <c r="J158" s="379">
        <f t="shared" si="32"/>
      </c>
      <c r="K158" s="460">
        <f t="shared" si="33"/>
        <v>536.4637951636399</v>
      </c>
      <c r="L158" s="487">
        <f t="shared" si="34"/>
        <v>2546593.635641799</v>
      </c>
      <c r="M158" s="487"/>
      <c r="N158" s="477">
        <v>441</v>
      </c>
      <c r="O158" s="388" t="s">
        <v>933</v>
      </c>
      <c r="P158" s="470">
        <v>0</v>
      </c>
      <c r="Q158" s="471" t="s">
        <v>816</v>
      </c>
      <c r="X158" s="472" t="s">
        <v>197</v>
      </c>
      <c r="Y158" s="473">
        <v>20.5</v>
      </c>
      <c r="Z158" s="474">
        <v>13243818.59</v>
      </c>
      <c r="AA158" s="475">
        <f t="shared" si="35"/>
        <v>64603993.12195122</v>
      </c>
      <c r="AB158" s="474">
        <v>1961826.830740432</v>
      </c>
      <c r="AE158" s="488">
        <v>441</v>
      </c>
      <c r="AF158">
        <f t="shared" si="36"/>
        <v>0</v>
      </c>
      <c r="AH158" s="476">
        <v>13324.86357615223</v>
      </c>
      <c r="AI158">
        <f t="shared" si="37"/>
        <v>13324863.57615223</v>
      </c>
      <c r="AJ158" s="489">
        <v>1972.6965960000002</v>
      </c>
      <c r="AK158">
        <f t="shared" si="38"/>
        <v>1972696.5960000001</v>
      </c>
    </row>
    <row r="159" spans="1:37" s="479" customFormat="1" ht="15" customHeight="1">
      <c r="A159" s="465" t="s">
        <v>934</v>
      </c>
      <c r="B159" s="466">
        <v>46785</v>
      </c>
      <c r="C159" s="467">
        <f t="shared" si="26"/>
        <v>163952295.0487805</v>
      </c>
      <c r="D159" s="467">
        <f t="shared" si="27"/>
        <v>6908479.807008709</v>
      </c>
      <c r="E159" s="467">
        <v>0</v>
      </c>
      <c r="F159" s="467">
        <f t="shared" si="28"/>
        <v>170860774.8557892</v>
      </c>
      <c r="G159" s="468">
        <f t="shared" si="29"/>
        <v>3652.0417838150947</v>
      </c>
      <c r="H159" s="459">
        <f t="shared" si="30"/>
        <v>133.2882161849052</v>
      </c>
      <c r="I159" s="379">
        <f t="shared" si="31"/>
      </c>
      <c r="J159" s="379">
        <f t="shared" si="32"/>
      </c>
      <c r="K159" s="460">
        <f t="shared" si="33"/>
        <v>106.63057294792416</v>
      </c>
      <c r="L159" s="487">
        <f t="shared" si="34"/>
        <v>4988711.355368632</v>
      </c>
      <c r="M159" s="487"/>
      <c r="N159" s="469">
        <v>444</v>
      </c>
      <c r="O159" s="478" t="s">
        <v>935</v>
      </c>
      <c r="P159" s="470">
        <v>1</v>
      </c>
      <c r="Q159" s="471" t="s">
        <v>741</v>
      </c>
      <c r="R159"/>
      <c r="S159" s="1"/>
      <c r="T159" s="1"/>
      <c r="U159" s="1"/>
      <c r="V159"/>
      <c r="W159"/>
      <c r="X159" s="472" t="s">
        <v>190</v>
      </c>
      <c r="Y159" s="473">
        <v>20.5</v>
      </c>
      <c r="Z159" s="474">
        <v>169321010</v>
      </c>
      <c r="AA159" s="475">
        <f t="shared" si="35"/>
        <v>825956146.3414634</v>
      </c>
      <c r="AB159" s="474">
        <v>6908479.807008709</v>
      </c>
      <c r="AC159" s="1"/>
      <c r="AD159"/>
      <c r="AE159" s="488">
        <v>444</v>
      </c>
      <c r="AF159">
        <f t="shared" si="36"/>
        <v>0</v>
      </c>
      <c r="AG159"/>
      <c r="AH159" s="476">
        <v>169828.33725818316</v>
      </c>
      <c r="AI159">
        <f t="shared" si="37"/>
        <v>169828337.25818315</v>
      </c>
      <c r="AJ159" s="489">
        <v>6946.757167999999</v>
      </c>
      <c r="AK159">
        <f t="shared" si="38"/>
        <v>6946757.168</v>
      </c>
    </row>
    <row r="160" spans="1:37" ht="15" customHeight="1">
      <c r="A160" s="465" t="s">
        <v>397</v>
      </c>
      <c r="B160" s="466">
        <v>15285</v>
      </c>
      <c r="C160" s="467">
        <f t="shared" si="26"/>
        <v>54861099.97741773</v>
      </c>
      <c r="D160" s="467">
        <f t="shared" si="27"/>
        <v>2301357.002186738</v>
      </c>
      <c r="E160" s="467">
        <v>0</v>
      </c>
      <c r="F160" s="467">
        <f t="shared" si="28"/>
        <v>57162456.97960447</v>
      </c>
      <c r="G160" s="468">
        <f t="shared" si="29"/>
        <v>3739.774745149131</v>
      </c>
      <c r="H160" s="459">
        <f t="shared" si="30"/>
        <v>45.555254850869005</v>
      </c>
      <c r="I160" s="379">
        <f t="shared" si="31"/>
      </c>
      <c r="J160" s="379">
        <f t="shared" si="32"/>
      </c>
      <c r="K160" s="460">
        <f t="shared" si="33"/>
        <v>36.444203880695206</v>
      </c>
      <c r="L160" s="487">
        <f t="shared" si="34"/>
        <v>557049.6563164262</v>
      </c>
      <c r="M160" s="487"/>
      <c r="N160" s="469">
        <v>445</v>
      </c>
      <c r="O160" s="478" t="s">
        <v>936</v>
      </c>
      <c r="P160" s="470">
        <v>3</v>
      </c>
      <c r="Q160" s="471" t="s">
        <v>743</v>
      </c>
      <c r="S160" s="479"/>
      <c r="T160" s="479"/>
      <c r="U160" s="479"/>
      <c r="X160" s="472" t="s">
        <v>397</v>
      </c>
      <c r="Y160" s="473">
        <v>19.75</v>
      </c>
      <c r="Z160" s="474">
        <v>54584721.64</v>
      </c>
      <c r="AA160" s="475">
        <f t="shared" si="35"/>
        <v>276378337.4177215</v>
      </c>
      <c r="AB160" s="474">
        <v>2301357.002186738</v>
      </c>
      <c r="AC160" s="479"/>
      <c r="AE160" s="488">
        <v>445</v>
      </c>
      <c r="AF160">
        <f t="shared" si="36"/>
        <v>0</v>
      </c>
      <c r="AH160" s="476">
        <v>54841.66091148424</v>
      </c>
      <c r="AI160">
        <f t="shared" si="37"/>
        <v>54841660.91148424</v>
      </c>
      <c r="AJ160" s="489">
        <v>2314.1079799999998</v>
      </c>
      <c r="AK160">
        <f t="shared" si="38"/>
        <v>2314107.98</v>
      </c>
    </row>
    <row r="161" spans="1:37" ht="15" customHeight="1">
      <c r="A161" s="452" t="s">
        <v>937</v>
      </c>
      <c r="B161" s="466">
        <v>5477</v>
      </c>
      <c r="C161" s="467">
        <f t="shared" si="26"/>
        <v>15872432.644511629</v>
      </c>
      <c r="D161" s="467">
        <f t="shared" si="27"/>
        <v>1101491.3312196706</v>
      </c>
      <c r="E161" s="467">
        <v>0</v>
      </c>
      <c r="F161" s="467">
        <f t="shared" si="28"/>
        <v>16973923.9757313</v>
      </c>
      <c r="G161" s="468">
        <f t="shared" si="29"/>
        <v>3099.1279853444034</v>
      </c>
      <c r="H161" s="459">
        <f t="shared" si="30"/>
        <v>686.2020146555965</v>
      </c>
      <c r="I161" s="379">
        <f t="shared" si="31"/>
      </c>
      <c r="J161" s="379">
        <f t="shared" si="32"/>
      </c>
      <c r="K161" s="460">
        <f t="shared" si="33"/>
        <v>548.9616117244772</v>
      </c>
      <c r="L161" s="487">
        <f t="shared" si="34"/>
        <v>3006662.7474149615</v>
      </c>
      <c r="M161" s="487"/>
      <c r="N161" s="477">
        <v>475</v>
      </c>
      <c r="O161" s="478" t="s">
        <v>938</v>
      </c>
      <c r="P161" s="470">
        <v>3</v>
      </c>
      <c r="Q161" s="471" t="s">
        <v>814</v>
      </c>
      <c r="X161" s="472" t="s">
        <v>198</v>
      </c>
      <c r="Y161" s="473">
        <v>21.5</v>
      </c>
      <c r="Z161" s="474">
        <v>17191803.62</v>
      </c>
      <c r="AA161" s="475">
        <f t="shared" si="35"/>
        <v>79961877.30232558</v>
      </c>
      <c r="AB161" s="474">
        <v>1101491.3312196706</v>
      </c>
      <c r="AD161" s="479"/>
      <c r="AE161" s="488">
        <v>475</v>
      </c>
      <c r="AF161">
        <f t="shared" si="36"/>
        <v>0</v>
      </c>
      <c r="AG161" s="479"/>
      <c r="AH161" s="476">
        <v>17093.23757725154</v>
      </c>
      <c r="AI161">
        <f t="shared" si="37"/>
        <v>17093237.577251542</v>
      </c>
      <c r="AJ161" s="489">
        <v>1107.594292</v>
      </c>
      <c r="AK161">
        <f t="shared" si="38"/>
        <v>1107594.292</v>
      </c>
    </row>
    <row r="162" spans="1:37" ht="15" customHeight="1">
      <c r="A162" s="452" t="s">
        <v>939</v>
      </c>
      <c r="B162" s="466">
        <v>1988</v>
      </c>
      <c r="C162" s="467">
        <f t="shared" si="26"/>
        <v>5562488.788120482</v>
      </c>
      <c r="D162" s="467">
        <f t="shared" si="27"/>
        <v>308899.0950424742</v>
      </c>
      <c r="E162" s="467">
        <v>0</v>
      </c>
      <c r="F162" s="467">
        <f t="shared" si="28"/>
        <v>5871387.883162957</v>
      </c>
      <c r="G162" s="468">
        <f t="shared" si="29"/>
        <v>2953.4144281503804</v>
      </c>
      <c r="H162" s="459">
        <f t="shared" si="30"/>
        <v>831.9155718496195</v>
      </c>
      <c r="I162" s="379">
        <f t="shared" si="31"/>
      </c>
      <c r="J162" s="379">
        <f t="shared" si="32"/>
      </c>
      <c r="K162" s="460">
        <f t="shared" si="33"/>
        <v>665.5324574796956</v>
      </c>
      <c r="L162" s="487">
        <f t="shared" si="34"/>
        <v>1323078.525469635</v>
      </c>
      <c r="M162" s="487"/>
      <c r="N162" s="477">
        <v>480</v>
      </c>
      <c r="O162" s="388" t="s">
        <v>939</v>
      </c>
      <c r="P162" s="470">
        <v>0</v>
      </c>
      <c r="Q162" s="471" t="s">
        <v>743</v>
      </c>
      <c r="X162" s="472" t="s">
        <v>199</v>
      </c>
      <c r="Y162" s="473">
        <v>20.75</v>
      </c>
      <c r="Z162" s="474">
        <v>5814692.31</v>
      </c>
      <c r="AA162" s="475">
        <f t="shared" si="35"/>
        <v>28022613.542168673</v>
      </c>
      <c r="AB162" s="474">
        <v>308899.0950424742</v>
      </c>
      <c r="AE162" s="488">
        <v>480</v>
      </c>
      <c r="AF162">
        <f t="shared" si="36"/>
        <v>0</v>
      </c>
      <c r="AH162" s="476">
        <v>5735.7356899001215</v>
      </c>
      <c r="AI162">
        <f t="shared" si="37"/>
        <v>5735735.689900122</v>
      </c>
      <c r="AJ162" s="489">
        <v>310.61059199999994</v>
      </c>
      <c r="AK162">
        <f t="shared" si="38"/>
        <v>310610.59199999995</v>
      </c>
    </row>
    <row r="163" spans="1:37" ht="15" customHeight="1">
      <c r="A163" s="465" t="s">
        <v>940</v>
      </c>
      <c r="B163" s="466">
        <v>9656</v>
      </c>
      <c r="C163" s="467">
        <f t="shared" si="26"/>
        <v>35163683.52739759</v>
      </c>
      <c r="D163" s="467">
        <f t="shared" si="27"/>
        <v>1572781.086978301</v>
      </c>
      <c r="E163" s="467">
        <v>0</v>
      </c>
      <c r="F163" s="467">
        <f t="shared" si="28"/>
        <v>36736464.61437589</v>
      </c>
      <c r="G163" s="468">
        <f t="shared" si="29"/>
        <v>3804.5220188873127</v>
      </c>
      <c r="H163" s="459">
        <f t="shared" si="30"/>
        <v>-19.19201888731277</v>
      </c>
      <c r="I163" s="379">
        <f t="shared" si="31"/>
        <v>2.954494509661168</v>
      </c>
      <c r="J163" s="379">
        <f t="shared" si="32"/>
        <v>32.95449450966117</v>
      </c>
      <c r="K163" s="460">
        <f t="shared" si="33"/>
        <v>-6.324632810512622</v>
      </c>
      <c r="L163" s="487">
        <f t="shared" si="34"/>
        <v>-61070.654418309874</v>
      </c>
      <c r="M163" s="487"/>
      <c r="N163" s="469">
        <v>481</v>
      </c>
      <c r="O163" s="388" t="s">
        <v>940</v>
      </c>
      <c r="P163" s="470">
        <v>0</v>
      </c>
      <c r="Q163" s="471" t="s">
        <v>743</v>
      </c>
      <c r="X163" s="472" t="s">
        <v>200</v>
      </c>
      <c r="Y163" s="473">
        <v>20.75</v>
      </c>
      <c r="Z163" s="474">
        <v>36758006.71</v>
      </c>
      <c r="AA163" s="475">
        <f t="shared" si="35"/>
        <v>177147020.28915662</v>
      </c>
      <c r="AB163" s="474">
        <v>1572781.086978301</v>
      </c>
      <c r="AE163" s="488">
        <v>481</v>
      </c>
      <c r="AF163">
        <f t="shared" si="36"/>
        <v>0</v>
      </c>
      <c r="AH163" s="476">
        <v>36838.49637319206</v>
      </c>
      <c r="AI163">
        <f t="shared" si="37"/>
        <v>36838496.37319206</v>
      </c>
      <c r="AJ163" s="489">
        <v>1581.495292</v>
      </c>
      <c r="AK163">
        <f t="shared" si="38"/>
        <v>1581495.2920000001</v>
      </c>
    </row>
    <row r="164" spans="1:37" ht="15" customHeight="1">
      <c r="A164" s="452" t="s">
        <v>941</v>
      </c>
      <c r="B164" s="466">
        <v>1119</v>
      </c>
      <c r="C164" s="467">
        <f t="shared" si="26"/>
        <v>1995780.2580232557</v>
      </c>
      <c r="D164" s="467">
        <f t="shared" si="27"/>
        <v>119736.67088028426</v>
      </c>
      <c r="E164" s="467">
        <v>0</v>
      </c>
      <c r="F164" s="467">
        <f t="shared" si="28"/>
        <v>2115516.92890354</v>
      </c>
      <c r="G164" s="468">
        <f t="shared" si="29"/>
        <v>1890.5423850791244</v>
      </c>
      <c r="H164" s="459">
        <f t="shared" si="30"/>
        <v>1894.7876149208755</v>
      </c>
      <c r="I164" s="379">
        <f t="shared" si="31"/>
      </c>
      <c r="J164" s="379">
        <f t="shared" si="32"/>
      </c>
      <c r="K164" s="460">
        <f t="shared" si="33"/>
        <v>1515.8300919367005</v>
      </c>
      <c r="L164" s="487">
        <f t="shared" si="34"/>
        <v>1696213.8728771678</v>
      </c>
      <c r="M164" s="487"/>
      <c r="N164" s="477">
        <v>483</v>
      </c>
      <c r="O164" s="388" t="s">
        <v>941</v>
      </c>
      <c r="P164" s="470">
        <v>0</v>
      </c>
      <c r="Q164" s="471" t="s">
        <v>736</v>
      </c>
      <c r="S164" s="479"/>
      <c r="T164" s="479"/>
      <c r="U164" s="479"/>
      <c r="X164" s="472" t="s">
        <v>201</v>
      </c>
      <c r="Y164" s="473">
        <v>21.5</v>
      </c>
      <c r="Z164" s="474">
        <v>2161676.35</v>
      </c>
      <c r="AA164" s="475">
        <f t="shared" si="35"/>
        <v>10054308.604651162</v>
      </c>
      <c r="AB164" s="474">
        <v>119736.67088028426</v>
      </c>
      <c r="AC164" s="479"/>
      <c r="AE164" s="488">
        <v>483</v>
      </c>
      <c r="AF164">
        <f t="shared" si="36"/>
        <v>0</v>
      </c>
      <c r="AH164" s="476">
        <v>2168.9524373024506</v>
      </c>
      <c r="AI164">
        <f t="shared" si="37"/>
        <v>2168952.4373024506</v>
      </c>
      <c r="AJ164" s="489">
        <v>120.40008799999998</v>
      </c>
      <c r="AK164">
        <f t="shared" si="38"/>
        <v>120400.08799999999</v>
      </c>
    </row>
    <row r="165" spans="1:37" s="5" customFormat="1" ht="15" customHeight="1">
      <c r="A165" s="452" t="s">
        <v>942</v>
      </c>
      <c r="B165" s="466">
        <v>3156</v>
      </c>
      <c r="C165" s="467">
        <f t="shared" si="26"/>
        <v>7768916.199051282</v>
      </c>
      <c r="D165" s="467">
        <f t="shared" si="27"/>
        <v>832456.3477088212</v>
      </c>
      <c r="E165" s="467">
        <v>0</v>
      </c>
      <c r="F165" s="467">
        <f t="shared" si="28"/>
        <v>8601372.546760103</v>
      </c>
      <c r="G165" s="468">
        <f t="shared" si="29"/>
        <v>2725.4032150697412</v>
      </c>
      <c r="H165" s="459">
        <f t="shared" si="30"/>
        <v>1059.9267849302587</v>
      </c>
      <c r="I165" s="379">
        <f t="shared" si="31"/>
      </c>
      <c r="J165" s="379">
        <f t="shared" si="32"/>
      </c>
      <c r="K165" s="460">
        <f t="shared" si="33"/>
        <v>847.941427944207</v>
      </c>
      <c r="L165" s="487">
        <f t="shared" si="34"/>
        <v>2676103.146591917</v>
      </c>
      <c r="M165" s="487"/>
      <c r="N165" s="477">
        <v>484</v>
      </c>
      <c r="O165" s="478" t="s">
        <v>943</v>
      </c>
      <c r="P165" s="470">
        <v>0</v>
      </c>
      <c r="Q165" s="471" t="s">
        <v>753</v>
      </c>
      <c r="R165"/>
      <c r="S165"/>
      <c r="T165"/>
      <c r="U165"/>
      <c r="V165"/>
      <c r="W165"/>
      <c r="X165" s="472" t="s">
        <v>202</v>
      </c>
      <c r="Y165" s="473">
        <v>19.5</v>
      </c>
      <c r="Z165" s="474">
        <v>7631932.79</v>
      </c>
      <c r="AA165" s="475">
        <f t="shared" si="35"/>
        <v>39138116.87179487</v>
      </c>
      <c r="AB165" s="474">
        <v>832456.3477088212</v>
      </c>
      <c r="AC165"/>
      <c r="AD165"/>
      <c r="AE165" s="488">
        <v>484</v>
      </c>
      <c r="AF165">
        <f t="shared" si="36"/>
        <v>0</v>
      </c>
      <c r="AG165"/>
      <c r="AH165" s="476">
        <v>7651.213869099295</v>
      </c>
      <c r="AI165">
        <f t="shared" si="37"/>
        <v>7651213.869099295</v>
      </c>
      <c r="AJ165" s="489">
        <v>837.068684</v>
      </c>
      <c r="AK165">
        <f t="shared" si="38"/>
        <v>837068.684</v>
      </c>
    </row>
    <row r="166" spans="1:37" ht="15" customHeight="1">
      <c r="A166" s="452" t="s">
        <v>944</v>
      </c>
      <c r="B166" s="466">
        <v>1992</v>
      </c>
      <c r="C166" s="467">
        <f t="shared" si="26"/>
        <v>4475761.6833</v>
      </c>
      <c r="D166" s="467">
        <f t="shared" si="27"/>
        <v>779118.1073988514</v>
      </c>
      <c r="E166" s="467">
        <v>0</v>
      </c>
      <c r="F166" s="467">
        <f t="shared" si="28"/>
        <v>5254879.790698851</v>
      </c>
      <c r="G166" s="468">
        <f t="shared" si="29"/>
        <v>2637.991862800628</v>
      </c>
      <c r="H166" s="459">
        <f t="shared" si="30"/>
        <v>1147.3381371993719</v>
      </c>
      <c r="I166" s="379">
        <f t="shared" si="31"/>
      </c>
      <c r="J166" s="379">
        <f t="shared" si="32"/>
      </c>
      <c r="K166" s="460">
        <f t="shared" si="33"/>
        <v>917.8705097594975</v>
      </c>
      <c r="L166" s="487">
        <f t="shared" si="34"/>
        <v>1828398.055440919</v>
      </c>
      <c r="M166" s="487"/>
      <c r="N166" s="477">
        <v>489</v>
      </c>
      <c r="O166" s="388" t="s">
        <v>944</v>
      </c>
      <c r="P166" s="470">
        <v>0</v>
      </c>
      <c r="Q166" s="471" t="s">
        <v>767</v>
      </c>
      <c r="X166" s="472" t="s">
        <v>203</v>
      </c>
      <c r="Y166" s="473">
        <v>20</v>
      </c>
      <c r="Z166" s="474">
        <v>4509583.56</v>
      </c>
      <c r="AA166" s="475">
        <f t="shared" si="35"/>
        <v>22547917.799999997</v>
      </c>
      <c r="AB166" s="474">
        <v>779118.1073988514</v>
      </c>
      <c r="AE166" s="488">
        <v>489</v>
      </c>
      <c r="AF166">
        <f t="shared" si="36"/>
        <v>0</v>
      </c>
      <c r="AH166" s="476">
        <v>4515.373738743284</v>
      </c>
      <c r="AI166">
        <f t="shared" si="37"/>
        <v>4515373.738743284</v>
      </c>
      <c r="AJ166" s="489">
        <v>783.434916</v>
      </c>
      <c r="AK166">
        <f t="shared" si="38"/>
        <v>783434.9160000001</v>
      </c>
    </row>
    <row r="167" spans="1:37" ht="15" customHeight="1">
      <c r="A167" s="452" t="s">
        <v>945</v>
      </c>
      <c r="B167" s="466">
        <v>54261</v>
      </c>
      <c r="C167" s="467">
        <f t="shared" si="26"/>
        <v>164583389.90417075</v>
      </c>
      <c r="D167" s="467">
        <f t="shared" si="27"/>
        <v>13350590.005521527</v>
      </c>
      <c r="E167" s="467">
        <v>0</v>
      </c>
      <c r="F167" s="467">
        <f t="shared" si="28"/>
        <v>177933979.9096923</v>
      </c>
      <c r="G167" s="468">
        <f t="shared" si="29"/>
        <v>3279.224118790518</v>
      </c>
      <c r="H167" s="459">
        <f t="shared" si="30"/>
        <v>506.10588120948205</v>
      </c>
      <c r="I167" s="379">
        <f t="shared" si="31"/>
      </c>
      <c r="J167" s="379">
        <f t="shared" si="32"/>
      </c>
      <c r="K167" s="460">
        <f t="shared" si="33"/>
        <v>404.88470496758566</v>
      </c>
      <c r="L167" s="487">
        <f t="shared" si="34"/>
        <v>21969448.976246167</v>
      </c>
      <c r="M167" s="487"/>
      <c r="N167" s="477">
        <v>491</v>
      </c>
      <c r="O167" s="478" t="s">
        <v>946</v>
      </c>
      <c r="P167" s="470">
        <v>0</v>
      </c>
      <c r="Q167" s="471" t="s">
        <v>746</v>
      </c>
      <c r="X167" s="472" t="s">
        <v>204</v>
      </c>
      <c r="Y167" s="473">
        <v>20.5</v>
      </c>
      <c r="Z167" s="474">
        <v>169972770.43</v>
      </c>
      <c r="AA167" s="475">
        <f t="shared" si="35"/>
        <v>829135465.5121951</v>
      </c>
      <c r="AB167" s="474">
        <v>13350590.005521527</v>
      </c>
      <c r="AD167" s="5"/>
      <c r="AE167" s="488">
        <v>491</v>
      </c>
      <c r="AF167">
        <f t="shared" si="36"/>
        <v>0</v>
      </c>
      <c r="AG167" s="5"/>
      <c r="AH167" s="476">
        <v>170033.3895826162</v>
      </c>
      <c r="AI167">
        <f t="shared" si="37"/>
        <v>170033389.58261618</v>
      </c>
      <c r="AJ167" s="489">
        <v>13424.560744</v>
      </c>
      <c r="AK167">
        <f t="shared" si="38"/>
        <v>13424560.744</v>
      </c>
    </row>
    <row r="168" spans="1:37" ht="15" customHeight="1">
      <c r="A168" s="452" t="s">
        <v>947</v>
      </c>
      <c r="B168" s="466">
        <v>9019</v>
      </c>
      <c r="C168" s="467">
        <f t="shared" si="26"/>
        <v>24272392.44585715</v>
      </c>
      <c r="D168" s="467">
        <f t="shared" si="27"/>
        <v>750394.0648177856</v>
      </c>
      <c r="E168" s="467">
        <v>0</v>
      </c>
      <c r="F168" s="467">
        <f t="shared" si="28"/>
        <v>25022786.510674935</v>
      </c>
      <c r="G168" s="468">
        <f t="shared" si="29"/>
        <v>2774.452434934575</v>
      </c>
      <c r="H168" s="459">
        <f t="shared" si="30"/>
        <v>1010.8775650654247</v>
      </c>
      <c r="I168" s="379">
        <f t="shared" si="31"/>
      </c>
      <c r="J168" s="379">
        <f t="shared" si="32"/>
      </c>
      <c r="K168" s="460">
        <f t="shared" si="33"/>
        <v>808.7020520523398</v>
      </c>
      <c r="L168" s="487">
        <f t="shared" si="34"/>
        <v>7293683.807460053</v>
      </c>
      <c r="M168" s="487"/>
      <c r="N168" s="477">
        <v>494</v>
      </c>
      <c r="O168" s="388" t="s">
        <v>947</v>
      </c>
      <c r="P168" s="470">
        <v>0</v>
      </c>
      <c r="Q168" s="471" t="s">
        <v>736</v>
      </c>
      <c r="X168" s="472" t="s">
        <v>205</v>
      </c>
      <c r="Y168" s="473">
        <v>21</v>
      </c>
      <c r="Z168" s="474">
        <v>25678601.58</v>
      </c>
      <c r="AA168" s="475">
        <f t="shared" si="35"/>
        <v>122279055.14285715</v>
      </c>
      <c r="AB168" s="474">
        <v>750394.0648177856</v>
      </c>
      <c r="AE168" s="488">
        <v>494</v>
      </c>
      <c r="AF168">
        <f t="shared" si="36"/>
        <v>0</v>
      </c>
      <c r="AH168" s="476">
        <v>25707.995946826097</v>
      </c>
      <c r="AI168">
        <f t="shared" si="37"/>
        <v>25707995.946826097</v>
      </c>
      <c r="AJ168" s="489">
        <v>754.551724</v>
      </c>
      <c r="AK168">
        <f t="shared" si="38"/>
        <v>754551.724</v>
      </c>
    </row>
    <row r="169" spans="1:37" ht="15" customHeight="1">
      <c r="A169" s="452" t="s">
        <v>948</v>
      </c>
      <c r="B169" s="466">
        <v>1636</v>
      </c>
      <c r="C169" s="467">
        <f t="shared" si="26"/>
        <v>3657112.6697045458</v>
      </c>
      <c r="D169" s="467">
        <f t="shared" si="27"/>
        <v>1090407.1645350924</v>
      </c>
      <c r="E169" s="467">
        <v>0</v>
      </c>
      <c r="F169" s="467">
        <f t="shared" si="28"/>
        <v>4747519.834239638</v>
      </c>
      <c r="G169" s="468">
        <f t="shared" si="29"/>
        <v>2901.906989144033</v>
      </c>
      <c r="H169" s="459">
        <f t="shared" si="30"/>
        <v>883.4230108559668</v>
      </c>
      <c r="I169" s="379">
        <f t="shared" si="31"/>
      </c>
      <c r="J169" s="379">
        <f t="shared" si="32"/>
      </c>
      <c r="K169" s="460">
        <f t="shared" si="33"/>
        <v>706.7384086847735</v>
      </c>
      <c r="L169" s="487">
        <f t="shared" si="34"/>
        <v>1156224.0366082895</v>
      </c>
      <c r="M169" s="487"/>
      <c r="N169" s="477">
        <v>495</v>
      </c>
      <c r="O169" s="388" t="s">
        <v>948</v>
      </c>
      <c r="P169" s="470">
        <v>0</v>
      </c>
      <c r="Q169" s="471" t="s">
        <v>769</v>
      </c>
      <c r="X169" s="472" t="s">
        <v>206</v>
      </c>
      <c r="Y169" s="473">
        <v>22</v>
      </c>
      <c r="Z169" s="474">
        <v>4053223.11</v>
      </c>
      <c r="AA169" s="475">
        <f t="shared" si="35"/>
        <v>18423741.40909091</v>
      </c>
      <c r="AB169" s="474">
        <v>1090407.1645350924</v>
      </c>
      <c r="AE169" s="488">
        <v>495</v>
      </c>
      <c r="AF169">
        <f t="shared" si="36"/>
        <v>0</v>
      </c>
      <c r="AH169" s="476">
        <v>4032.1618143623823</v>
      </c>
      <c r="AI169">
        <f t="shared" si="37"/>
        <v>4032161.8143623825</v>
      </c>
      <c r="AJ169" s="489">
        <v>1096.4487120000001</v>
      </c>
      <c r="AK169">
        <f t="shared" si="38"/>
        <v>1096448.712</v>
      </c>
    </row>
    <row r="170" spans="1:37" s="1" customFormat="1" ht="15" customHeight="1">
      <c r="A170" s="452" t="s">
        <v>949</v>
      </c>
      <c r="B170" s="466">
        <v>2332</v>
      </c>
      <c r="C170" s="467">
        <f t="shared" si="26"/>
        <v>6540172.14655814</v>
      </c>
      <c r="D170" s="467">
        <f t="shared" si="27"/>
        <v>709011.2438996577</v>
      </c>
      <c r="E170" s="467">
        <v>0</v>
      </c>
      <c r="F170" s="467">
        <f t="shared" si="28"/>
        <v>7249183.390457798</v>
      </c>
      <c r="G170" s="468">
        <f t="shared" si="29"/>
        <v>3108.569206885848</v>
      </c>
      <c r="H170" s="459">
        <f t="shared" si="30"/>
        <v>676.760793114152</v>
      </c>
      <c r="I170" s="379">
        <f t="shared" si="31"/>
      </c>
      <c r="J170" s="379">
        <f t="shared" si="32"/>
      </c>
      <c r="K170" s="460">
        <f t="shared" si="33"/>
        <v>541.4086344913215</v>
      </c>
      <c r="L170" s="487">
        <f t="shared" si="34"/>
        <v>1262564.9356337618</v>
      </c>
      <c r="M170" s="487"/>
      <c r="N170" s="477">
        <v>498</v>
      </c>
      <c r="O170" s="388" t="s">
        <v>949</v>
      </c>
      <c r="P170" s="470">
        <v>0</v>
      </c>
      <c r="Q170" s="471" t="s">
        <v>749</v>
      </c>
      <c r="R170"/>
      <c r="S170" s="5"/>
      <c r="T170" s="5"/>
      <c r="U170" s="5"/>
      <c r="V170"/>
      <c r="W170"/>
      <c r="X170" s="472" t="s">
        <v>207</v>
      </c>
      <c r="Y170" s="473">
        <v>21.5</v>
      </c>
      <c r="Z170" s="474">
        <v>7083813.66</v>
      </c>
      <c r="AA170" s="475">
        <f t="shared" si="35"/>
        <v>32947970.51162791</v>
      </c>
      <c r="AB170" s="474">
        <v>709011.2438996577</v>
      </c>
      <c r="AC170" s="5"/>
      <c r="AD170"/>
      <c r="AE170" s="488">
        <v>498</v>
      </c>
      <c r="AF170">
        <f t="shared" si="36"/>
        <v>0</v>
      </c>
      <c r="AG170"/>
      <c r="AH170" s="476">
        <v>7066.950551235096</v>
      </c>
      <c r="AI170">
        <f t="shared" si="37"/>
        <v>7066950.5512350965</v>
      </c>
      <c r="AJ170" s="489">
        <v>712.939616</v>
      </c>
      <c r="AK170">
        <f t="shared" si="38"/>
        <v>712939.616</v>
      </c>
    </row>
    <row r="171" spans="1:37" ht="15" customHeight="1">
      <c r="A171" s="452" t="s">
        <v>950</v>
      </c>
      <c r="B171" s="466">
        <v>19384</v>
      </c>
      <c r="C171" s="467">
        <f t="shared" si="26"/>
        <v>66148298.082530126</v>
      </c>
      <c r="D171" s="467">
        <f t="shared" si="27"/>
        <v>2409636.1390742026</v>
      </c>
      <c r="E171" s="467">
        <v>0</v>
      </c>
      <c r="F171" s="467">
        <f t="shared" si="28"/>
        <v>68557934.22160433</v>
      </c>
      <c r="G171" s="468">
        <f t="shared" si="29"/>
        <v>3536.831109244961</v>
      </c>
      <c r="H171" s="459">
        <f t="shared" si="30"/>
        <v>248.4988907550387</v>
      </c>
      <c r="I171" s="379">
        <f t="shared" si="31"/>
      </c>
      <c r="J171" s="379">
        <f t="shared" si="32"/>
      </c>
      <c r="K171" s="460">
        <f t="shared" si="33"/>
        <v>198.79911260403097</v>
      </c>
      <c r="L171" s="487">
        <f t="shared" si="34"/>
        <v>3853521.9987165364</v>
      </c>
      <c r="M171" s="487"/>
      <c r="N171" s="477">
        <v>499</v>
      </c>
      <c r="O171" s="478" t="s">
        <v>951</v>
      </c>
      <c r="P171" s="470">
        <v>3</v>
      </c>
      <c r="Q171" s="471" t="s">
        <v>814</v>
      </c>
      <c r="X171" s="472" t="s">
        <v>208</v>
      </c>
      <c r="Y171" s="473">
        <v>20.75</v>
      </c>
      <c r="Z171" s="474">
        <v>69147465.25</v>
      </c>
      <c r="AA171" s="475">
        <f t="shared" si="35"/>
        <v>333240796.38554215</v>
      </c>
      <c r="AB171" s="474">
        <v>2409636.1390742026</v>
      </c>
      <c r="AE171" s="488">
        <v>499</v>
      </c>
      <c r="AF171">
        <f t="shared" si="36"/>
        <v>0</v>
      </c>
      <c r="AH171" s="476">
        <v>69001.75609121786</v>
      </c>
      <c r="AI171">
        <f t="shared" si="37"/>
        <v>69001756.09121786</v>
      </c>
      <c r="AJ171" s="489">
        <v>2422.9870520000004</v>
      </c>
      <c r="AK171">
        <f t="shared" si="38"/>
        <v>2422987.0520000006</v>
      </c>
    </row>
    <row r="172" spans="1:37" ht="15" customHeight="1">
      <c r="A172" s="452" t="s">
        <v>952</v>
      </c>
      <c r="B172" s="466">
        <v>10097</v>
      </c>
      <c r="C172" s="467">
        <f t="shared" si="26"/>
        <v>35753559.608717956</v>
      </c>
      <c r="D172" s="467">
        <f t="shared" si="27"/>
        <v>2141623.475263636</v>
      </c>
      <c r="E172" s="467">
        <v>0</v>
      </c>
      <c r="F172" s="467">
        <f t="shared" si="28"/>
        <v>37895183.08398159</v>
      </c>
      <c r="G172" s="468">
        <f t="shared" si="29"/>
        <v>3753.113111219331</v>
      </c>
      <c r="H172" s="459">
        <f t="shared" si="30"/>
        <v>32.216888780668796</v>
      </c>
      <c r="I172" s="379">
        <f t="shared" si="31"/>
      </c>
      <c r="J172" s="379">
        <f t="shared" si="32"/>
      </c>
      <c r="K172" s="460">
        <f t="shared" si="33"/>
        <v>25.77351102453504</v>
      </c>
      <c r="L172" s="487">
        <f t="shared" si="34"/>
        <v>260235.1408147303</v>
      </c>
      <c r="M172" s="487"/>
      <c r="N172" s="477">
        <v>500</v>
      </c>
      <c r="O172" s="388" t="s">
        <v>952</v>
      </c>
      <c r="P172" s="470">
        <v>0</v>
      </c>
      <c r="Q172" s="471" t="s">
        <v>769</v>
      </c>
      <c r="X172" s="472" t="s">
        <v>209</v>
      </c>
      <c r="Y172" s="473">
        <v>19.5</v>
      </c>
      <c r="Z172" s="474">
        <v>35123144.2</v>
      </c>
      <c r="AA172" s="475">
        <f t="shared" si="35"/>
        <v>180118688.20512822</v>
      </c>
      <c r="AB172" s="474">
        <v>2141623.475263636</v>
      </c>
      <c r="AD172" s="1"/>
      <c r="AE172" s="488">
        <v>500</v>
      </c>
      <c r="AF172">
        <f t="shared" si="36"/>
        <v>0</v>
      </c>
      <c r="AG172" s="1"/>
      <c r="AH172" s="476">
        <v>35163.385720143786</v>
      </c>
      <c r="AI172">
        <f t="shared" si="37"/>
        <v>35163385.72014379</v>
      </c>
      <c r="AJ172" s="489">
        <v>2153.489428</v>
      </c>
      <c r="AK172">
        <f t="shared" si="38"/>
        <v>2153489.428</v>
      </c>
    </row>
    <row r="173" spans="1:37" ht="15" customHeight="1">
      <c r="A173" s="452" t="s">
        <v>953</v>
      </c>
      <c r="B173" s="466">
        <v>7838</v>
      </c>
      <c r="C173" s="467">
        <f t="shared" si="26"/>
        <v>23302228.00614286</v>
      </c>
      <c r="D173" s="467">
        <f t="shared" si="27"/>
        <v>1023257.8861380888</v>
      </c>
      <c r="E173" s="467">
        <v>0</v>
      </c>
      <c r="F173" s="467">
        <f t="shared" si="28"/>
        <v>24325485.892280947</v>
      </c>
      <c r="G173" s="468">
        <f t="shared" si="29"/>
        <v>3103.5322648993297</v>
      </c>
      <c r="H173" s="459">
        <f t="shared" si="30"/>
        <v>681.7977351006703</v>
      </c>
      <c r="I173" s="379">
        <f t="shared" si="31"/>
      </c>
      <c r="J173" s="379">
        <f t="shared" si="32"/>
      </c>
      <c r="K173" s="460">
        <f t="shared" si="33"/>
        <v>545.4381880805362</v>
      </c>
      <c r="L173" s="487">
        <f t="shared" si="34"/>
        <v>4275144.5181752425</v>
      </c>
      <c r="M173" s="487"/>
      <c r="N173" s="477">
        <v>503</v>
      </c>
      <c r="O173" s="388" t="s">
        <v>953</v>
      </c>
      <c r="P173" s="470">
        <v>0</v>
      </c>
      <c r="Q173" s="471" t="s">
        <v>743</v>
      </c>
      <c r="X173" s="472" t="s">
        <v>210</v>
      </c>
      <c r="Y173" s="473">
        <v>21</v>
      </c>
      <c r="Z173" s="474">
        <v>24652231.14</v>
      </c>
      <c r="AA173" s="475">
        <f t="shared" si="35"/>
        <v>117391576.85714285</v>
      </c>
      <c r="AB173" s="474">
        <v>1023257.8861380888</v>
      </c>
      <c r="AE173" s="488">
        <v>503</v>
      </c>
      <c r="AF173">
        <f t="shared" si="36"/>
        <v>0</v>
      </c>
      <c r="AH173" s="476">
        <v>24929.13433356194</v>
      </c>
      <c r="AI173">
        <f t="shared" si="37"/>
        <v>24929134.33356194</v>
      </c>
      <c r="AJ173" s="489">
        <v>1028.9273839999998</v>
      </c>
      <c r="AK173">
        <f t="shared" si="38"/>
        <v>1028927.3839999998</v>
      </c>
    </row>
    <row r="174" spans="1:37" ht="15" customHeight="1">
      <c r="A174" s="452" t="s">
        <v>954</v>
      </c>
      <c r="B174" s="466">
        <v>1969</v>
      </c>
      <c r="C174" s="467">
        <f t="shared" si="26"/>
        <v>5272212.228581396</v>
      </c>
      <c r="D174" s="467">
        <f t="shared" si="27"/>
        <v>443780.04500882607</v>
      </c>
      <c r="E174" s="467">
        <v>0</v>
      </c>
      <c r="F174" s="467">
        <f t="shared" si="28"/>
        <v>5715992.273590222</v>
      </c>
      <c r="G174" s="468">
        <f t="shared" si="29"/>
        <v>2902.992520868574</v>
      </c>
      <c r="H174" s="459">
        <f t="shared" si="30"/>
        <v>882.3374791314259</v>
      </c>
      <c r="I174" s="379">
        <f t="shared" si="31"/>
      </c>
      <c r="J174" s="379">
        <f t="shared" si="32"/>
      </c>
      <c r="K174" s="460">
        <f t="shared" si="33"/>
        <v>705.8699833051407</v>
      </c>
      <c r="L174" s="487">
        <f t="shared" si="34"/>
        <v>1389857.9971278221</v>
      </c>
      <c r="M174" s="487"/>
      <c r="N174" s="477">
        <v>504</v>
      </c>
      <c r="O174" s="478" t="s">
        <v>955</v>
      </c>
      <c r="P174" s="470">
        <v>1</v>
      </c>
      <c r="Q174" s="471" t="s">
        <v>741</v>
      </c>
      <c r="X174" s="472" t="s">
        <v>211</v>
      </c>
      <c r="Y174" s="473">
        <v>21.5</v>
      </c>
      <c r="Z174" s="474">
        <v>5710456.57</v>
      </c>
      <c r="AA174" s="475">
        <f t="shared" si="35"/>
        <v>26560263.11627907</v>
      </c>
      <c r="AB174" s="474">
        <v>443780.04500882607</v>
      </c>
      <c r="AE174" s="488">
        <v>504</v>
      </c>
      <c r="AF174">
        <f t="shared" si="36"/>
        <v>0</v>
      </c>
      <c r="AH174" s="476">
        <v>5643.071859430644</v>
      </c>
      <c r="AI174">
        <f t="shared" si="37"/>
        <v>5643071.859430644</v>
      </c>
      <c r="AJ174" s="489">
        <v>446.238868</v>
      </c>
      <c r="AK174">
        <f t="shared" si="38"/>
        <v>446238.868</v>
      </c>
    </row>
    <row r="175" spans="1:37" ht="15" customHeight="1">
      <c r="A175" s="452" t="s">
        <v>956</v>
      </c>
      <c r="B175" s="466">
        <v>20803</v>
      </c>
      <c r="C175" s="467">
        <f t="shared" si="26"/>
        <v>69430744.79295123</v>
      </c>
      <c r="D175" s="467">
        <f t="shared" si="27"/>
        <v>2798335.6253226316</v>
      </c>
      <c r="E175" s="467">
        <v>0</v>
      </c>
      <c r="F175" s="467">
        <f t="shared" si="28"/>
        <v>72229080.41827385</v>
      </c>
      <c r="G175" s="468">
        <f t="shared" si="29"/>
        <v>3472.051166575679</v>
      </c>
      <c r="H175" s="459">
        <f t="shared" si="30"/>
        <v>313.27883342432096</v>
      </c>
      <c r="I175" s="379">
        <f t="shared" si="31"/>
      </c>
      <c r="J175" s="379">
        <f t="shared" si="32"/>
      </c>
      <c r="K175" s="460">
        <f t="shared" si="33"/>
        <v>250.6230667394568</v>
      </c>
      <c r="L175" s="487">
        <f t="shared" si="34"/>
        <v>5213711.65738092</v>
      </c>
      <c r="M175" s="487"/>
      <c r="N175" s="477">
        <v>505</v>
      </c>
      <c r="O175" s="388" t="s">
        <v>956</v>
      </c>
      <c r="P175" s="470">
        <v>0</v>
      </c>
      <c r="Q175" s="471" t="s">
        <v>741</v>
      </c>
      <c r="S175" s="1"/>
      <c r="T175" s="1"/>
      <c r="U175" s="1"/>
      <c r="X175" s="472" t="s">
        <v>212</v>
      </c>
      <c r="Y175" s="473">
        <v>20.5</v>
      </c>
      <c r="Z175" s="474">
        <v>71704295.63</v>
      </c>
      <c r="AA175" s="475">
        <f t="shared" si="35"/>
        <v>349777051.85365856</v>
      </c>
      <c r="AB175" s="474">
        <v>2798335.6253226316</v>
      </c>
      <c r="AC175" s="1"/>
      <c r="AE175" s="488">
        <v>505</v>
      </c>
      <c r="AF175">
        <f t="shared" si="36"/>
        <v>0</v>
      </c>
      <c r="AH175" s="476">
        <v>71519.52299930663</v>
      </c>
      <c r="AI175">
        <f t="shared" si="37"/>
        <v>71519522.99930663</v>
      </c>
      <c r="AJ175" s="489">
        <v>2813.84018</v>
      </c>
      <c r="AK175">
        <f t="shared" si="38"/>
        <v>2813840.18</v>
      </c>
    </row>
    <row r="176" spans="1:37" ht="15" customHeight="1">
      <c r="A176" s="452" t="s">
        <v>957</v>
      </c>
      <c r="B176" s="466">
        <v>6054</v>
      </c>
      <c r="C176" s="467">
        <f t="shared" si="26"/>
        <v>15939786.310481014</v>
      </c>
      <c r="D176" s="467">
        <f t="shared" si="27"/>
        <v>2247042.435345152</v>
      </c>
      <c r="E176" s="467">
        <v>0</v>
      </c>
      <c r="F176" s="467">
        <f t="shared" si="28"/>
        <v>18186828.745826166</v>
      </c>
      <c r="G176" s="468">
        <f t="shared" si="29"/>
        <v>3004.101213383906</v>
      </c>
      <c r="H176" s="459">
        <f t="shared" si="30"/>
        <v>781.2287866160941</v>
      </c>
      <c r="I176" s="379">
        <f t="shared" si="31"/>
      </c>
      <c r="J176" s="379">
        <f t="shared" si="32"/>
      </c>
      <c r="K176" s="460">
        <f t="shared" si="33"/>
        <v>624.9830292928754</v>
      </c>
      <c r="L176" s="487">
        <f t="shared" si="34"/>
        <v>3783647.2593390676</v>
      </c>
      <c r="M176" s="487"/>
      <c r="N176" s="477">
        <v>507</v>
      </c>
      <c r="O176" s="388" t="s">
        <v>957</v>
      </c>
      <c r="P176" s="470">
        <v>0</v>
      </c>
      <c r="Q176" s="471" t="s">
        <v>746</v>
      </c>
      <c r="X176" s="472" t="s">
        <v>214</v>
      </c>
      <c r="Y176" s="473">
        <v>19.75</v>
      </c>
      <c r="Z176" s="474">
        <v>15859485.12</v>
      </c>
      <c r="AA176" s="475">
        <f t="shared" si="35"/>
        <v>80301190.48101266</v>
      </c>
      <c r="AB176" s="474">
        <v>2247042.435345152</v>
      </c>
      <c r="AE176" s="488">
        <v>507</v>
      </c>
      <c r="AF176">
        <f t="shared" si="36"/>
        <v>0</v>
      </c>
      <c r="AH176" s="476">
        <v>15957.494414612502</v>
      </c>
      <c r="AI176">
        <f t="shared" si="37"/>
        <v>15957494.414612502</v>
      </c>
      <c r="AJ176" s="489">
        <v>2259.4924760000004</v>
      </c>
      <c r="AK176">
        <f t="shared" si="38"/>
        <v>2259492.4760000003</v>
      </c>
    </row>
    <row r="177" spans="1:37" ht="15" customHeight="1">
      <c r="A177" s="465" t="s">
        <v>958</v>
      </c>
      <c r="B177" s="466">
        <v>10256</v>
      </c>
      <c r="C177" s="467">
        <f t="shared" si="26"/>
        <v>31138889.76459091</v>
      </c>
      <c r="D177" s="467">
        <f t="shared" si="27"/>
        <v>2114307.8332499135</v>
      </c>
      <c r="E177" s="467">
        <v>0</v>
      </c>
      <c r="F177" s="467">
        <f t="shared" si="28"/>
        <v>33253197.597840823</v>
      </c>
      <c r="G177" s="468">
        <f t="shared" si="29"/>
        <v>3242.316458447818</v>
      </c>
      <c r="H177" s="459">
        <f t="shared" si="30"/>
        <v>543.0135415521818</v>
      </c>
      <c r="I177" s="379">
        <f t="shared" si="31"/>
      </c>
      <c r="J177" s="379">
        <f t="shared" si="32"/>
      </c>
      <c r="K177" s="460">
        <f t="shared" si="33"/>
        <v>434.4108332417454</v>
      </c>
      <c r="L177" s="487">
        <f t="shared" si="34"/>
        <v>4455317.505727341</v>
      </c>
      <c r="M177" s="487"/>
      <c r="N177" s="469">
        <v>508</v>
      </c>
      <c r="O177" s="388" t="s">
        <v>213</v>
      </c>
      <c r="P177" s="470">
        <v>0</v>
      </c>
      <c r="Q177" s="471" t="s">
        <v>744</v>
      </c>
      <c r="X177" s="472" t="s">
        <v>213</v>
      </c>
      <c r="Y177" s="473">
        <v>22</v>
      </c>
      <c r="Z177" s="474">
        <v>34511615.86</v>
      </c>
      <c r="AA177" s="475">
        <f t="shared" si="35"/>
        <v>156870981.1818182</v>
      </c>
      <c r="AB177" s="474">
        <v>2114307.8332499135</v>
      </c>
      <c r="AE177" s="488">
        <v>508</v>
      </c>
      <c r="AF177">
        <f t="shared" si="36"/>
        <v>0</v>
      </c>
      <c r="AH177" s="476">
        <v>34643.349923121925</v>
      </c>
      <c r="AI177">
        <f t="shared" si="37"/>
        <v>34643349.92312192</v>
      </c>
      <c r="AJ177" s="489">
        <v>2126.0224399999997</v>
      </c>
      <c r="AK177">
        <f t="shared" si="38"/>
        <v>2126022.44</v>
      </c>
    </row>
    <row r="178" spans="1:37" ht="15" customHeight="1">
      <c r="A178" s="465" t="s">
        <v>959</v>
      </c>
      <c r="B178" s="466">
        <v>19167</v>
      </c>
      <c r="C178" s="467">
        <f t="shared" si="26"/>
        <v>76825275.97389475</v>
      </c>
      <c r="D178" s="467">
        <f t="shared" si="27"/>
        <v>9141067.486869594</v>
      </c>
      <c r="E178" s="467">
        <v>0</v>
      </c>
      <c r="F178" s="467">
        <f t="shared" si="28"/>
        <v>85966343.46076433</v>
      </c>
      <c r="G178" s="468">
        <f t="shared" si="29"/>
        <v>4485.122526256813</v>
      </c>
      <c r="H178" s="459">
        <f t="shared" si="30"/>
        <v>-699.7925262568133</v>
      </c>
      <c r="I178" s="379">
        <f t="shared" si="31"/>
        <v>6.550783900049198</v>
      </c>
      <c r="J178" s="379">
        <f t="shared" si="32"/>
        <v>36.5507839000492</v>
      </c>
      <c r="K178" s="460">
        <f t="shared" si="33"/>
        <v>-255.77965402082285</v>
      </c>
      <c r="L178" s="487">
        <f t="shared" si="34"/>
        <v>-4902528.628617112</v>
      </c>
      <c r="M178" s="487"/>
      <c r="N178" s="469">
        <v>529</v>
      </c>
      <c r="O178" s="478" t="s">
        <v>960</v>
      </c>
      <c r="P178" s="470">
        <v>0</v>
      </c>
      <c r="Q178" s="471" t="s">
        <v>743</v>
      </c>
      <c r="X178" s="472" t="s">
        <v>215</v>
      </c>
      <c r="Y178" s="473">
        <v>19</v>
      </c>
      <c r="Z178" s="474">
        <v>73535528.64</v>
      </c>
      <c r="AA178" s="475">
        <f t="shared" si="35"/>
        <v>387029098.1052632</v>
      </c>
      <c r="AB178" s="474">
        <v>9141067.486869594</v>
      </c>
      <c r="AE178" s="488">
        <v>529</v>
      </c>
      <c r="AF178">
        <f t="shared" si="36"/>
        <v>0</v>
      </c>
      <c r="AH178" s="476">
        <v>73392.68461996895</v>
      </c>
      <c r="AI178">
        <f t="shared" si="37"/>
        <v>73392684.61996895</v>
      </c>
      <c r="AJ178" s="489">
        <v>9191.7148</v>
      </c>
      <c r="AK178">
        <f t="shared" si="38"/>
        <v>9191714.799999999</v>
      </c>
    </row>
    <row r="179" spans="1:37" ht="15" customHeight="1">
      <c r="A179" s="452" t="s">
        <v>961</v>
      </c>
      <c r="B179" s="466">
        <v>5521</v>
      </c>
      <c r="C179" s="467">
        <f t="shared" si="26"/>
        <v>16361709.599435294</v>
      </c>
      <c r="D179" s="467">
        <f t="shared" si="27"/>
        <v>566614.8979947044</v>
      </c>
      <c r="E179" s="467">
        <v>0</v>
      </c>
      <c r="F179" s="467">
        <f t="shared" si="28"/>
        <v>16928324.497429997</v>
      </c>
      <c r="G179" s="468">
        <f t="shared" si="29"/>
        <v>3066.1699868556416</v>
      </c>
      <c r="H179" s="459">
        <f t="shared" si="30"/>
        <v>719.1600131443583</v>
      </c>
      <c r="I179" s="379">
        <f t="shared" si="31"/>
      </c>
      <c r="J179" s="379">
        <f t="shared" si="32"/>
      </c>
      <c r="K179" s="460">
        <f t="shared" si="33"/>
        <v>575.3280105154867</v>
      </c>
      <c r="L179" s="487">
        <f t="shared" si="34"/>
        <v>3176385.946056002</v>
      </c>
      <c r="M179" s="487"/>
      <c r="N179" s="477">
        <v>531</v>
      </c>
      <c r="O179" s="388" t="s">
        <v>961</v>
      </c>
      <c r="P179" s="470">
        <v>0</v>
      </c>
      <c r="Q179" s="471" t="s">
        <v>753</v>
      </c>
      <c r="X179" s="472" t="s">
        <v>216</v>
      </c>
      <c r="Y179" s="473">
        <v>21.25</v>
      </c>
      <c r="Z179" s="474">
        <v>17515684.08</v>
      </c>
      <c r="AA179" s="475">
        <f t="shared" si="35"/>
        <v>82426748.6117647</v>
      </c>
      <c r="AB179" s="474">
        <v>566614.8979947044</v>
      </c>
      <c r="AE179" s="488">
        <v>531</v>
      </c>
      <c r="AF179">
        <f t="shared" si="36"/>
        <v>0</v>
      </c>
      <c r="AH179" s="476">
        <v>17507.837045054323</v>
      </c>
      <c r="AI179">
        <f t="shared" si="37"/>
        <v>17507837.045054324</v>
      </c>
      <c r="AJ179" s="489">
        <v>569.754304</v>
      </c>
      <c r="AK179">
        <f t="shared" si="38"/>
        <v>569754.304</v>
      </c>
    </row>
    <row r="180" spans="1:37" ht="15" customHeight="1">
      <c r="A180" s="452" t="s">
        <v>962</v>
      </c>
      <c r="B180" s="466">
        <v>10815</v>
      </c>
      <c r="C180" s="467">
        <f t="shared" si="26"/>
        <v>25804993.084813956</v>
      </c>
      <c r="D180" s="467">
        <f t="shared" si="27"/>
        <v>1137667.9498016466</v>
      </c>
      <c r="E180" s="467">
        <v>0</v>
      </c>
      <c r="F180" s="467">
        <f t="shared" si="28"/>
        <v>26942661.034615602</v>
      </c>
      <c r="G180" s="468">
        <f t="shared" si="29"/>
        <v>2491.2307937693577</v>
      </c>
      <c r="H180" s="459">
        <f t="shared" si="30"/>
        <v>1294.0992062306423</v>
      </c>
      <c r="I180" s="379">
        <f t="shared" si="31"/>
      </c>
      <c r="J180" s="379">
        <f t="shared" si="32"/>
      </c>
      <c r="K180" s="460">
        <f t="shared" si="33"/>
        <v>1035.279364984514</v>
      </c>
      <c r="L180" s="487">
        <f t="shared" si="34"/>
        <v>11196546.332307518</v>
      </c>
      <c r="M180" s="487"/>
      <c r="N180" s="477">
        <v>535</v>
      </c>
      <c r="O180" s="388" t="s">
        <v>962</v>
      </c>
      <c r="P180" s="470">
        <v>0</v>
      </c>
      <c r="Q180" s="471" t="s">
        <v>736</v>
      </c>
      <c r="X180" s="472" t="s">
        <v>217</v>
      </c>
      <c r="Y180" s="473">
        <v>21.5</v>
      </c>
      <c r="Z180" s="474">
        <v>27949992.51</v>
      </c>
      <c r="AA180" s="475">
        <f t="shared" si="35"/>
        <v>129999965.1627907</v>
      </c>
      <c r="AB180" s="474">
        <v>1137667.9498016466</v>
      </c>
      <c r="AE180" s="488">
        <v>535</v>
      </c>
      <c r="AF180">
        <f t="shared" si="36"/>
        <v>0</v>
      </c>
      <c r="AH180" s="476">
        <v>27752.99188115985</v>
      </c>
      <c r="AI180">
        <f t="shared" si="37"/>
        <v>27752991.88115985</v>
      </c>
      <c r="AJ180" s="489">
        <v>1143.971352</v>
      </c>
      <c r="AK180">
        <f t="shared" si="38"/>
        <v>1143971.352</v>
      </c>
    </row>
    <row r="181" spans="1:37" ht="15" customHeight="1">
      <c r="A181" s="452" t="s">
        <v>963</v>
      </c>
      <c r="B181" s="466">
        <v>33322</v>
      </c>
      <c r="C181" s="467">
        <f t="shared" si="26"/>
        <v>114958257.75158536</v>
      </c>
      <c r="D181" s="467">
        <f t="shared" si="27"/>
        <v>9140121.822450422</v>
      </c>
      <c r="E181" s="467">
        <v>0</v>
      </c>
      <c r="F181" s="467">
        <f t="shared" si="28"/>
        <v>124098379.5740358</v>
      </c>
      <c r="G181" s="468">
        <f t="shared" si="29"/>
        <v>3724.217621212286</v>
      </c>
      <c r="H181" s="459">
        <f t="shared" si="30"/>
        <v>61.11237878771408</v>
      </c>
      <c r="I181" s="379">
        <f t="shared" si="31"/>
      </c>
      <c r="J181" s="379">
        <f t="shared" si="32"/>
      </c>
      <c r="K181" s="460">
        <f t="shared" si="33"/>
        <v>48.88990303017127</v>
      </c>
      <c r="L181" s="487">
        <f t="shared" si="34"/>
        <v>1629109.348771367</v>
      </c>
      <c r="M181" s="487"/>
      <c r="N181" s="477">
        <v>536</v>
      </c>
      <c r="O181" s="388" t="s">
        <v>963</v>
      </c>
      <c r="P181" s="470">
        <v>0</v>
      </c>
      <c r="Q181" s="471" t="s">
        <v>744</v>
      </c>
      <c r="U181" s="53"/>
      <c r="X181" s="472" t="s">
        <v>218</v>
      </c>
      <c r="Y181" s="473">
        <v>20.5</v>
      </c>
      <c r="Z181" s="474">
        <v>118722633.95</v>
      </c>
      <c r="AA181" s="475">
        <f t="shared" si="35"/>
        <v>579134799.7560976</v>
      </c>
      <c r="AB181" s="474">
        <v>9140121.822450422</v>
      </c>
      <c r="AE181" s="488">
        <v>536</v>
      </c>
      <c r="AF181">
        <f t="shared" si="36"/>
        <v>0</v>
      </c>
      <c r="AH181" s="476">
        <v>118665.36409705722</v>
      </c>
      <c r="AI181">
        <f t="shared" si="37"/>
        <v>118665364.09705722</v>
      </c>
      <c r="AJ181" s="489">
        <v>9190.763896</v>
      </c>
      <c r="AK181">
        <f t="shared" si="38"/>
        <v>9190763.896</v>
      </c>
    </row>
    <row r="182" spans="1:37" ht="15" customHeight="1">
      <c r="A182" s="452" t="s">
        <v>964</v>
      </c>
      <c r="B182" s="466">
        <v>4813</v>
      </c>
      <c r="C182" s="467">
        <f t="shared" si="26"/>
        <v>15171292.550976744</v>
      </c>
      <c r="D182" s="467">
        <f t="shared" si="27"/>
        <v>438960.2974679348</v>
      </c>
      <c r="E182" s="467">
        <v>0</v>
      </c>
      <c r="F182" s="467">
        <f t="shared" si="28"/>
        <v>15610252.848444678</v>
      </c>
      <c r="G182" s="468">
        <f t="shared" si="29"/>
        <v>3243.3519319436273</v>
      </c>
      <c r="H182" s="459">
        <f t="shared" si="30"/>
        <v>541.9780680563726</v>
      </c>
      <c r="I182" s="379">
        <f t="shared" si="31"/>
      </c>
      <c r="J182" s="379">
        <f t="shared" si="32"/>
      </c>
      <c r="K182" s="460">
        <f t="shared" si="33"/>
        <v>433.58245444509816</v>
      </c>
      <c r="L182" s="487">
        <f t="shared" si="34"/>
        <v>2086832.3532442574</v>
      </c>
      <c r="M182" s="487"/>
      <c r="N182" s="477">
        <v>538</v>
      </c>
      <c r="O182" s="478" t="s">
        <v>965</v>
      </c>
      <c r="P182" s="470">
        <v>0</v>
      </c>
      <c r="Q182" s="471" t="s">
        <v>743</v>
      </c>
      <c r="X182" s="472" t="s">
        <v>219</v>
      </c>
      <c r="Y182" s="473">
        <v>21.5</v>
      </c>
      <c r="Z182" s="474">
        <v>16432382.36</v>
      </c>
      <c r="AA182" s="475">
        <f t="shared" si="35"/>
        <v>76429685.39534883</v>
      </c>
      <c r="AB182" s="474">
        <v>438960.2974679348</v>
      </c>
      <c r="AE182" s="488">
        <v>538</v>
      </c>
      <c r="AF182">
        <f t="shared" si="36"/>
        <v>0</v>
      </c>
      <c r="AH182" s="476">
        <v>16617.20283799723</v>
      </c>
      <c r="AI182">
        <f t="shared" si="37"/>
        <v>16617202.83799723</v>
      </c>
      <c r="AJ182" s="489">
        <v>441.392416</v>
      </c>
      <c r="AK182">
        <f t="shared" si="38"/>
        <v>441392.416</v>
      </c>
    </row>
    <row r="183" spans="1:37" ht="15" customHeight="1">
      <c r="A183" s="452" t="s">
        <v>966</v>
      </c>
      <c r="B183" s="474">
        <f>B315+B316</f>
        <v>9983</v>
      </c>
      <c r="C183" s="467">
        <f t="shared" si="26"/>
        <v>24172474.70707318</v>
      </c>
      <c r="D183" s="467">
        <f t="shared" si="27"/>
        <v>3452164.0410990436</v>
      </c>
      <c r="E183" s="467">
        <v>0</v>
      </c>
      <c r="F183" s="467">
        <f t="shared" si="28"/>
        <v>27624638.748172224</v>
      </c>
      <c r="G183" s="468">
        <f t="shared" si="29"/>
        <v>2767.1680605201063</v>
      </c>
      <c r="H183" s="459">
        <f t="shared" si="30"/>
        <v>1018.1619394798936</v>
      </c>
      <c r="I183" s="379">
        <f t="shared" si="31"/>
      </c>
      <c r="J183" s="379">
        <f t="shared" si="32"/>
      </c>
      <c r="K183" s="460">
        <f t="shared" si="33"/>
        <v>814.5295515839149</v>
      </c>
      <c r="L183" s="487">
        <f t="shared" si="34"/>
        <v>8131448.513462222</v>
      </c>
      <c r="M183" s="487"/>
      <c r="N183" s="477">
        <v>541</v>
      </c>
      <c r="O183" s="388" t="s">
        <v>966</v>
      </c>
      <c r="P183" s="470">
        <v>0</v>
      </c>
      <c r="Q183" s="471" t="s">
        <v>805</v>
      </c>
      <c r="X183" s="472" t="s">
        <v>220</v>
      </c>
      <c r="Y183" s="473">
        <v>20.5</v>
      </c>
      <c r="Z183" s="474">
        <f>Z315+Z316</f>
        <v>24964016.700000003</v>
      </c>
      <c r="AA183" s="475">
        <f t="shared" si="35"/>
        <v>121775691.21951222</v>
      </c>
      <c r="AB183" s="474">
        <f>AB315+AB316</f>
        <v>3452164.0410990436</v>
      </c>
      <c r="AE183" s="488">
        <v>541</v>
      </c>
      <c r="AF183">
        <f t="shared" si="36"/>
        <v>0</v>
      </c>
      <c r="AH183" s="476">
        <v>19580.867754706018</v>
      </c>
      <c r="AI183">
        <f t="shared" si="37"/>
        <v>19580867.754706018</v>
      </c>
      <c r="AJ183" s="489">
        <v>2648.751364</v>
      </c>
      <c r="AK183">
        <f t="shared" si="38"/>
        <v>2648751.364</v>
      </c>
    </row>
    <row r="184" spans="1:37" ht="15" customHeight="1">
      <c r="A184" s="452" t="s">
        <v>967</v>
      </c>
      <c r="B184" s="466">
        <v>42159</v>
      </c>
      <c r="C184" s="467">
        <f t="shared" si="26"/>
        <v>170750326.4049231</v>
      </c>
      <c r="D184" s="467">
        <f t="shared" si="27"/>
        <v>7645893.702201067</v>
      </c>
      <c r="E184" s="467">
        <v>0</v>
      </c>
      <c r="F184" s="467">
        <f t="shared" si="28"/>
        <v>178396220.10712418</v>
      </c>
      <c r="G184" s="468">
        <f t="shared" si="29"/>
        <v>4231.509763208904</v>
      </c>
      <c r="H184" s="459">
        <f t="shared" si="30"/>
        <v>-446.17976320890375</v>
      </c>
      <c r="I184" s="379">
        <f t="shared" si="31"/>
        <v>6.100721927336809</v>
      </c>
      <c r="J184" s="379">
        <f t="shared" si="32"/>
        <v>36.10072192733681</v>
      </c>
      <c r="K184" s="460">
        <f t="shared" si="33"/>
        <v>-161.07411561209616</v>
      </c>
      <c r="L184" s="487">
        <f t="shared" si="34"/>
        <v>-6790723.640090362</v>
      </c>
      <c r="M184" s="487"/>
      <c r="N184" s="477">
        <v>543</v>
      </c>
      <c r="O184" s="388" t="s">
        <v>967</v>
      </c>
      <c r="P184" s="470">
        <v>0</v>
      </c>
      <c r="Q184" s="471" t="s">
        <v>741</v>
      </c>
      <c r="X184" s="472" t="s">
        <v>221</v>
      </c>
      <c r="Y184" s="473">
        <v>19.5</v>
      </c>
      <c r="Z184" s="474">
        <v>167739615.36</v>
      </c>
      <c r="AA184" s="475">
        <f t="shared" si="35"/>
        <v>860203155.6923078</v>
      </c>
      <c r="AB184" s="474">
        <v>7645893.702201067</v>
      </c>
      <c r="AE184" s="488">
        <v>543</v>
      </c>
      <c r="AF184">
        <f t="shared" si="36"/>
        <v>0</v>
      </c>
      <c r="AH184" s="476">
        <v>167451.79247741523</v>
      </c>
      <c r="AI184">
        <f t="shared" si="37"/>
        <v>167451792.47741523</v>
      </c>
      <c r="AJ184" s="489">
        <v>7688.256804</v>
      </c>
      <c r="AK184">
        <f t="shared" si="38"/>
        <v>7688256.804</v>
      </c>
    </row>
    <row r="185" spans="1:37" ht="15" customHeight="1">
      <c r="A185" s="452" t="s">
        <v>968</v>
      </c>
      <c r="B185" s="466">
        <v>9507</v>
      </c>
      <c r="C185" s="467">
        <f t="shared" si="26"/>
        <v>24469853.317261904</v>
      </c>
      <c r="D185" s="467">
        <f t="shared" si="27"/>
        <v>2628257.187767424</v>
      </c>
      <c r="E185" s="467">
        <v>0</v>
      </c>
      <c r="F185" s="467">
        <f t="shared" si="28"/>
        <v>27098110.50502933</v>
      </c>
      <c r="G185" s="468">
        <f t="shared" si="29"/>
        <v>2850.332439784299</v>
      </c>
      <c r="H185" s="459">
        <f t="shared" si="30"/>
        <v>934.997560215701</v>
      </c>
      <c r="I185" s="379">
        <f t="shared" si="31"/>
      </c>
      <c r="J185" s="379">
        <f t="shared" si="32"/>
      </c>
      <c r="K185" s="460">
        <f t="shared" si="33"/>
        <v>747.9980481725609</v>
      </c>
      <c r="L185" s="487">
        <f t="shared" si="34"/>
        <v>7111217.443976536</v>
      </c>
      <c r="M185" s="487"/>
      <c r="N185" s="477">
        <v>545</v>
      </c>
      <c r="O185" s="478" t="s">
        <v>969</v>
      </c>
      <c r="P185" s="470">
        <v>2</v>
      </c>
      <c r="Q185" s="471" t="s">
        <v>814</v>
      </c>
      <c r="X185" s="472" t="s">
        <v>222</v>
      </c>
      <c r="Y185" s="473">
        <v>21</v>
      </c>
      <c r="Z185" s="474">
        <v>25887502.25</v>
      </c>
      <c r="AA185" s="475">
        <f t="shared" si="35"/>
        <v>123273820.23809524</v>
      </c>
      <c r="AB185" s="474">
        <v>2628257.187767424</v>
      </c>
      <c r="AE185" s="488">
        <v>545</v>
      </c>
      <c r="AF185">
        <f t="shared" si="36"/>
        <v>0</v>
      </c>
      <c r="AH185" s="476">
        <v>25639.327829737107</v>
      </c>
      <c r="AI185">
        <f t="shared" si="37"/>
        <v>25639327.82973711</v>
      </c>
      <c r="AJ185" s="489">
        <v>2642.8194</v>
      </c>
      <c r="AK185">
        <f t="shared" si="38"/>
        <v>2642819.4</v>
      </c>
    </row>
    <row r="186" spans="1:37" s="1" customFormat="1" ht="15" customHeight="1">
      <c r="A186" s="452" t="s">
        <v>970</v>
      </c>
      <c r="B186" s="466">
        <v>16221</v>
      </c>
      <c r="C186" s="467">
        <f t="shared" si="26"/>
        <v>46560763.363469884</v>
      </c>
      <c r="D186" s="467">
        <f t="shared" si="27"/>
        <v>2358826.775184501</v>
      </c>
      <c r="E186" s="467">
        <v>0</v>
      </c>
      <c r="F186" s="467">
        <f t="shared" si="28"/>
        <v>48919590.13865438</v>
      </c>
      <c r="G186" s="468">
        <f t="shared" si="29"/>
        <v>3015.818392124677</v>
      </c>
      <c r="H186" s="459">
        <f t="shared" si="30"/>
        <v>769.5116078753231</v>
      </c>
      <c r="I186" s="379">
        <f t="shared" si="31"/>
      </c>
      <c r="J186" s="379">
        <f t="shared" si="32"/>
      </c>
      <c r="K186" s="460">
        <f t="shared" si="33"/>
        <v>615.6092863002585</v>
      </c>
      <c r="L186" s="487">
        <f t="shared" si="34"/>
        <v>9985798.233076494</v>
      </c>
      <c r="M186" s="487"/>
      <c r="N186" s="477">
        <v>560</v>
      </c>
      <c r="O186" s="388" t="s">
        <v>970</v>
      </c>
      <c r="P186" s="470">
        <v>0</v>
      </c>
      <c r="Q186" s="471" t="s">
        <v>739</v>
      </c>
      <c r="R186"/>
      <c r="S186"/>
      <c r="T186"/>
      <c r="U186"/>
      <c r="V186"/>
      <c r="W186"/>
      <c r="X186" s="472" t="s">
        <v>223</v>
      </c>
      <c r="Y186" s="473">
        <v>20.75</v>
      </c>
      <c r="Z186" s="474">
        <v>48671830.72</v>
      </c>
      <c r="AA186" s="475">
        <f t="shared" si="35"/>
        <v>234563039.61445785</v>
      </c>
      <c r="AB186" s="474">
        <v>2358826.775184501</v>
      </c>
      <c r="AC186"/>
      <c r="AD186"/>
      <c r="AE186" s="488">
        <v>560</v>
      </c>
      <c r="AF186">
        <f t="shared" si="36"/>
        <v>0</v>
      </c>
      <c r="AG186"/>
      <c r="AH186" s="476">
        <v>48588.04809734905</v>
      </c>
      <c r="AI186">
        <f t="shared" si="37"/>
        <v>48588048.09734905</v>
      </c>
      <c r="AJ186" s="489">
        <v>2371.896172</v>
      </c>
      <c r="AK186">
        <f t="shared" si="38"/>
        <v>2371896.1720000003</v>
      </c>
    </row>
    <row r="187" spans="1:37" ht="15" customHeight="1">
      <c r="A187" s="452" t="s">
        <v>971</v>
      </c>
      <c r="B187" s="466">
        <v>1382</v>
      </c>
      <c r="C187" s="467">
        <f t="shared" si="26"/>
        <v>3570385.5615897435</v>
      </c>
      <c r="D187" s="467">
        <f t="shared" si="27"/>
        <v>360067.9908969974</v>
      </c>
      <c r="E187" s="467">
        <v>0</v>
      </c>
      <c r="F187" s="467">
        <f t="shared" si="28"/>
        <v>3930453.552486741</v>
      </c>
      <c r="G187" s="468">
        <f t="shared" si="29"/>
        <v>2844.0329612783944</v>
      </c>
      <c r="H187" s="459">
        <f t="shared" si="30"/>
        <v>941.2970387216055</v>
      </c>
      <c r="I187" s="379">
        <f t="shared" si="31"/>
      </c>
      <c r="J187" s="379">
        <f t="shared" si="32"/>
      </c>
      <c r="K187" s="460">
        <f t="shared" si="33"/>
        <v>753.0376309772845</v>
      </c>
      <c r="L187" s="487">
        <f t="shared" si="34"/>
        <v>1040698.0060106071</v>
      </c>
      <c r="M187" s="487"/>
      <c r="N187" s="477">
        <v>561</v>
      </c>
      <c r="O187" s="388" t="s">
        <v>971</v>
      </c>
      <c r="P187" s="470">
        <v>0</v>
      </c>
      <c r="Q187" s="471" t="s">
        <v>743</v>
      </c>
      <c r="X187" s="472" t="s">
        <v>224</v>
      </c>
      <c r="Y187" s="473">
        <v>19.5</v>
      </c>
      <c r="Z187" s="474">
        <v>3507431.66</v>
      </c>
      <c r="AA187" s="475">
        <f t="shared" si="35"/>
        <v>17986829.025641024</v>
      </c>
      <c r="AB187" s="474">
        <v>360067.9908969974</v>
      </c>
      <c r="AE187" s="488">
        <v>561</v>
      </c>
      <c r="AF187">
        <f t="shared" si="36"/>
        <v>0</v>
      </c>
      <c r="AH187" s="476">
        <v>3357.1253989643624</v>
      </c>
      <c r="AI187">
        <f t="shared" si="37"/>
        <v>3357125.398964362</v>
      </c>
      <c r="AJ187" s="489">
        <v>362.062996</v>
      </c>
      <c r="AK187">
        <f t="shared" si="38"/>
        <v>362062.996</v>
      </c>
    </row>
    <row r="188" spans="1:37" ht="15" customHeight="1">
      <c r="A188" s="452" t="s">
        <v>972</v>
      </c>
      <c r="B188" s="466">
        <v>9285</v>
      </c>
      <c r="C188" s="467">
        <f t="shared" si="26"/>
        <v>25827933.01177273</v>
      </c>
      <c r="D188" s="467">
        <f t="shared" si="27"/>
        <v>1902384.2125566076</v>
      </c>
      <c r="E188" s="467">
        <v>0</v>
      </c>
      <c r="F188" s="467">
        <f t="shared" si="28"/>
        <v>27730317.224329337</v>
      </c>
      <c r="G188" s="468">
        <f t="shared" si="29"/>
        <v>2986.5715912040214</v>
      </c>
      <c r="H188" s="459">
        <f t="shared" si="30"/>
        <v>798.7584087959785</v>
      </c>
      <c r="I188" s="379">
        <f t="shared" si="31"/>
      </c>
      <c r="J188" s="379">
        <f t="shared" si="32"/>
      </c>
      <c r="K188" s="460">
        <f t="shared" si="33"/>
        <v>639.0067270367829</v>
      </c>
      <c r="L188" s="487">
        <f t="shared" si="34"/>
        <v>5933177.460536529</v>
      </c>
      <c r="M188" s="487"/>
      <c r="N188" s="477">
        <v>562</v>
      </c>
      <c r="O188" s="388" t="s">
        <v>972</v>
      </c>
      <c r="P188" s="470">
        <v>0</v>
      </c>
      <c r="Q188" s="471" t="s">
        <v>744</v>
      </c>
      <c r="X188" s="472" t="s">
        <v>225</v>
      </c>
      <c r="Y188" s="473">
        <v>22</v>
      </c>
      <c r="Z188" s="474">
        <v>28625416.94</v>
      </c>
      <c r="AA188" s="475">
        <f t="shared" si="35"/>
        <v>130115531.54545455</v>
      </c>
      <c r="AB188" s="474">
        <v>1902384.2125566076</v>
      </c>
      <c r="AD188" s="1"/>
      <c r="AE188" s="488">
        <v>562</v>
      </c>
      <c r="AF188">
        <f t="shared" si="36"/>
        <v>0</v>
      </c>
      <c r="AG188" s="1"/>
      <c r="AH188" s="476">
        <v>28482.96677823837</v>
      </c>
      <c r="AI188">
        <f t="shared" si="37"/>
        <v>28482966.77823837</v>
      </c>
      <c r="AJ188" s="489">
        <v>1912.924628</v>
      </c>
      <c r="AK188">
        <f t="shared" si="38"/>
        <v>1912924.628</v>
      </c>
    </row>
    <row r="189" spans="1:37" s="1" customFormat="1" ht="15" customHeight="1">
      <c r="A189" s="452" t="s">
        <v>973</v>
      </c>
      <c r="B189" s="466">
        <v>7472</v>
      </c>
      <c r="C189" s="467">
        <f t="shared" si="26"/>
        <v>19723821.314581398</v>
      </c>
      <c r="D189" s="467">
        <f t="shared" si="27"/>
        <v>1117296.528400197</v>
      </c>
      <c r="E189" s="467">
        <v>0</v>
      </c>
      <c r="F189" s="467">
        <f t="shared" si="28"/>
        <v>20841117.842981596</v>
      </c>
      <c r="G189" s="468">
        <f t="shared" si="29"/>
        <v>2789.2288333754814</v>
      </c>
      <c r="H189" s="459">
        <f t="shared" si="30"/>
        <v>996.1011666245186</v>
      </c>
      <c r="I189" s="379">
        <f t="shared" si="31"/>
      </c>
      <c r="J189" s="379">
        <f t="shared" si="32"/>
      </c>
      <c r="K189" s="460">
        <f t="shared" si="33"/>
        <v>796.8809332996149</v>
      </c>
      <c r="L189" s="487">
        <f t="shared" si="34"/>
        <v>5954294.333614722</v>
      </c>
      <c r="M189" s="487"/>
      <c r="N189" s="477">
        <v>563</v>
      </c>
      <c r="O189" s="388" t="s">
        <v>973</v>
      </c>
      <c r="P189" s="470">
        <v>0</v>
      </c>
      <c r="Q189" s="471" t="s">
        <v>736</v>
      </c>
      <c r="R189"/>
      <c r="S189"/>
      <c r="T189"/>
      <c r="U189"/>
      <c r="V189"/>
      <c r="W189"/>
      <c r="X189" s="472" t="s">
        <v>226</v>
      </c>
      <c r="Y189" s="473">
        <v>21.5</v>
      </c>
      <c r="Z189" s="474">
        <v>21363332.91</v>
      </c>
      <c r="AA189" s="475">
        <f t="shared" si="35"/>
        <v>99364339.11627907</v>
      </c>
      <c r="AB189" s="474">
        <v>1117296.528400197</v>
      </c>
      <c r="AC189"/>
      <c r="AD189"/>
      <c r="AE189" s="488">
        <v>563</v>
      </c>
      <c r="AF189">
        <f t="shared" si="36"/>
        <v>0</v>
      </c>
      <c r="AG189"/>
      <c r="AH189" s="476">
        <v>21405.812401052626</v>
      </c>
      <c r="AI189">
        <f t="shared" si="37"/>
        <v>21405812.401052628</v>
      </c>
      <c r="AJ189" s="489">
        <v>1123.48706</v>
      </c>
      <c r="AK189">
        <f t="shared" si="38"/>
        <v>1123487.0599999998</v>
      </c>
    </row>
    <row r="190" spans="1:37" ht="15" customHeight="1">
      <c r="A190" s="465" t="s">
        <v>974</v>
      </c>
      <c r="B190" s="466">
        <v>201810</v>
      </c>
      <c r="C190" s="467">
        <f t="shared" si="26"/>
        <v>672682597.4307</v>
      </c>
      <c r="D190" s="467">
        <f t="shared" si="27"/>
        <v>45803684.10340853</v>
      </c>
      <c r="E190" s="467">
        <v>0</v>
      </c>
      <c r="F190" s="467">
        <f t="shared" si="28"/>
        <v>718486281.5341085</v>
      </c>
      <c r="G190" s="468">
        <f t="shared" si="29"/>
        <v>3560.211493652983</v>
      </c>
      <c r="H190" s="459">
        <f t="shared" si="30"/>
        <v>225.11850634701705</v>
      </c>
      <c r="I190" s="379">
        <f t="shared" si="31"/>
      </c>
      <c r="J190" s="379">
        <f t="shared" si="32"/>
      </c>
      <c r="K190" s="460">
        <f t="shared" si="33"/>
        <v>180.09480507761364</v>
      </c>
      <c r="L190" s="487">
        <f t="shared" si="34"/>
        <v>36344932.61271321</v>
      </c>
      <c r="M190" s="487"/>
      <c r="N190" s="469">
        <v>564</v>
      </c>
      <c r="O190" s="478" t="s">
        <v>975</v>
      </c>
      <c r="P190" s="470">
        <v>0</v>
      </c>
      <c r="Q190" s="471" t="s">
        <v>736</v>
      </c>
      <c r="S190" s="1"/>
      <c r="T190" s="1"/>
      <c r="U190" s="1"/>
      <c r="X190" s="472" t="s">
        <v>227</v>
      </c>
      <c r="Y190" s="473">
        <v>20</v>
      </c>
      <c r="Z190" s="474">
        <v>677765841.24</v>
      </c>
      <c r="AA190" s="475">
        <f t="shared" si="35"/>
        <v>3388829206.2</v>
      </c>
      <c r="AB190" s="474">
        <v>45803684.10340853</v>
      </c>
      <c r="AC190" s="1"/>
      <c r="AE190" s="488">
        <v>564</v>
      </c>
      <c r="AF190">
        <f t="shared" si="36"/>
        <v>0</v>
      </c>
      <c r="AH190" s="476">
        <v>677835.7532519705</v>
      </c>
      <c r="AI190">
        <f t="shared" si="37"/>
        <v>677835753.2519705</v>
      </c>
      <c r="AJ190" s="489">
        <v>46057.46557200001</v>
      </c>
      <c r="AK190">
        <f t="shared" si="38"/>
        <v>46057465.57200001</v>
      </c>
    </row>
    <row r="191" spans="1:37" s="479" customFormat="1" ht="15" customHeight="1">
      <c r="A191" s="452" t="s">
        <v>976</v>
      </c>
      <c r="B191" s="466">
        <v>3027</v>
      </c>
      <c r="C191" s="467">
        <f t="shared" si="26"/>
        <v>7452160.898714286</v>
      </c>
      <c r="D191" s="467">
        <f t="shared" si="27"/>
        <v>1173858.9646193436</v>
      </c>
      <c r="E191" s="467">
        <v>0</v>
      </c>
      <c r="F191" s="467">
        <f t="shared" si="28"/>
        <v>8626019.86333363</v>
      </c>
      <c r="G191" s="468">
        <f t="shared" si="29"/>
        <v>2849.6927199648594</v>
      </c>
      <c r="H191" s="459">
        <f t="shared" si="30"/>
        <v>935.6372800351405</v>
      </c>
      <c r="I191" s="379">
        <f t="shared" si="31"/>
      </c>
      <c r="J191" s="379">
        <f t="shared" si="32"/>
      </c>
      <c r="K191" s="460">
        <f t="shared" si="33"/>
        <v>748.5098240281125</v>
      </c>
      <c r="L191" s="487">
        <f t="shared" si="34"/>
        <v>2265739.2373330966</v>
      </c>
      <c r="M191" s="487"/>
      <c r="N191" s="477">
        <v>576</v>
      </c>
      <c r="O191" s="388" t="s">
        <v>976</v>
      </c>
      <c r="P191" s="470">
        <v>0</v>
      </c>
      <c r="Q191" s="471" t="s">
        <v>739</v>
      </c>
      <c r="R191"/>
      <c r="S191"/>
      <c r="T191"/>
      <c r="U191"/>
      <c r="V191"/>
      <c r="W191"/>
      <c r="X191" s="472" t="s">
        <v>229</v>
      </c>
      <c r="Y191" s="473">
        <v>21</v>
      </c>
      <c r="Z191" s="474">
        <v>7883898.18</v>
      </c>
      <c r="AA191" s="475">
        <f t="shared" si="35"/>
        <v>37542372.28571428</v>
      </c>
      <c r="AB191" s="474">
        <v>1173858.9646193436</v>
      </c>
      <c r="AC191"/>
      <c r="AD191"/>
      <c r="AE191" s="488">
        <v>576</v>
      </c>
      <c r="AF191">
        <f t="shared" si="36"/>
        <v>0</v>
      </c>
      <c r="AG191"/>
      <c r="AH191" s="476">
        <v>8025.785193644566</v>
      </c>
      <c r="AI191">
        <f t="shared" si="37"/>
        <v>8025785.1936445655</v>
      </c>
      <c r="AJ191" s="489">
        <v>1180.362888</v>
      </c>
      <c r="AK191">
        <f t="shared" si="38"/>
        <v>1180362.888</v>
      </c>
    </row>
    <row r="192" spans="1:37" ht="15" customHeight="1">
      <c r="A192" s="452" t="s">
        <v>977</v>
      </c>
      <c r="B192" s="466">
        <v>10730</v>
      </c>
      <c r="C192" s="467">
        <f t="shared" si="26"/>
        <v>36951235.24257831</v>
      </c>
      <c r="D192" s="467">
        <f t="shared" si="27"/>
        <v>1300206.6860852174</v>
      </c>
      <c r="E192" s="467">
        <v>0</v>
      </c>
      <c r="F192" s="467">
        <f t="shared" si="28"/>
        <v>38251441.92866353</v>
      </c>
      <c r="G192" s="468">
        <f t="shared" si="29"/>
        <v>3564.9060511336</v>
      </c>
      <c r="H192" s="459">
        <f t="shared" si="30"/>
        <v>220.42394886639977</v>
      </c>
      <c r="I192" s="379">
        <f t="shared" si="31"/>
      </c>
      <c r="J192" s="379">
        <f t="shared" si="32"/>
      </c>
      <c r="K192" s="460">
        <f t="shared" si="33"/>
        <v>176.33915909311983</v>
      </c>
      <c r="L192" s="487">
        <f t="shared" si="34"/>
        <v>1892119.1770691758</v>
      </c>
      <c r="M192" s="487"/>
      <c r="N192" s="477">
        <v>577</v>
      </c>
      <c r="O192" s="478" t="s">
        <v>978</v>
      </c>
      <c r="P192" s="470">
        <v>0</v>
      </c>
      <c r="Q192" s="471" t="s">
        <v>743</v>
      </c>
      <c r="S192" s="1"/>
      <c r="T192" s="1"/>
      <c r="U192" s="1"/>
      <c r="X192" s="472" t="s">
        <v>230</v>
      </c>
      <c r="Y192" s="473">
        <v>20.75</v>
      </c>
      <c r="Z192" s="474">
        <v>38626606.11</v>
      </c>
      <c r="AA192" s="475">
        <f t="shared" si="35"/>
        <v>186152318.60240963</v>
      </c>
      <c r="AB192" s="474">
        <v>1300206.6860852174</v>
      </c>
      <c r="AC192" s="1"/>
      <c r="AD192" s="479"/>
      <c r="AE192" s="488">
        <v>577</v>
      </c>
      <c r="AF192">
        <f t="shared" si="36"/>
        <v>0</v>
      </c>
      <c r="AG192" s="479"/>
      <c r="AH192" s="476">
        <v>38442.71458677958</v>
      </c>
      <c r="AI192">
        <f t="shared" si="37"/>
        <v>38442714.58677958</v>
      </c>
      <c r="AJ192" s="489">
        <v>1307.410656</v>
      </c>
      <c r="AK192">
        <f t="shared" si="38"/>
        <v>1307410.656</v>
      </c>
    </row>
    <row r="193" spans="1:37" ht="15" customHeight="1">
      <c r="A193" s="452" t="s">
        <v>979</v>
      </c>
      <c r="B193" s="466">
        <v>3435</v>
      </c>
      <c r="C193" s="467">
        <f t="shared" si="26"/>
        <v>8347531.0475681815</v>
      </c>
      <c r="D193" s="467">
        <f t="shared" si="27"/>
        <v>596466.5210645057</v>
      </c>
      <c r="E193" s="467">
        <v>0</v>
      </c>
      <c r="F193" s="467">
        <f t="shared" si="28"/>
        <v>8943997.568632687</v>
      </c>
      <c r="G193" s="468">
        <f t="shared" si="29"/>
        <v>2603.7838627751635</v>
      </c>
      <c r="H193" s="459">
        <f t="shared" si="30"/>
        <v>1181.5461372248365</v>
      </c>
      <c r="I193" s="379">
        <f t="shared" si="31"/>
      </c>
      <c r="J193" s="379">
        <f t="shared" si="32"/>
      </c>
      <c r="K193" s="460">
        <f t="shared" si="33"/>
        <v>945.2369097798692</v>
      </c>
      <c r="L193" s="487">
        <f t="shared" si="34"/>
        <v>3246888.7850938505</v>
      </c>
      <c r="M193" s="487"/>
      <c r="N193" s="477">
        <v>578</v>
      </c>
      <c r="O193" s="388" t="s">
        <v>979</v>
      </c>
      <c r="P193" s="470">
        <v>0</v>
      </c>
      <c r="Q193" s="471" t="s">
        <v>787</v>
      </c>
      <c r="X193" s="472" t="s">
        <v>231</v>
      </c>
      <c r="Y193" s="473">
        <v>22</v>
      </c>
      <c r="Z193" s="474">
        <v>9251671.69</v>
      </c>
      <c r="AA193" s="475">
        <f t="shared" si="35"/>
        <v>42053053.13636363</v>
      </c>
      <c r="AB193" s="474">
        <v>596466.5210645057</v>
      </c>
      <c r="AE193" s="488">
        <v>578</v>
      </c>
      <c r="AF193">
        <f t="shared" si="36"/>
        <v>0</v>
      </c>
      <c r="AH193" s="476">
        <v>9185.443589423232</v>
      </c>
      <c r="AI193">
        <f t="shared" si="37"/>
        <v>9185443.589423232</v>
      </c>
      <c r="AJ193" s="489">
        <v>599.771324</v>
      </c>
      <c r="AK193">
        <f t="shared" si="38"/>
        <v>599771.324</v>
      </c>
    </row>
    <row r="194" spans="1:37" ht="15" customHeight="1">
      <c r="A194" s="452" t="s">
        <v>980</v>
      </c>
      <c r="B194" s="466">
        <v>4969</v>
      </c>
      <c r="C194" s="467">
        <f t="shared" si="26"/>
        <v>12555415.57346154</v>
      </c>
      <c r="D194" s="467">
        <f t="shared" si="27"/>
        <v>1418579.6408181237</v>
      </c>
      <c r="E194" s="467">
        <v>0</v>
      </c>
      <c r="F194" s="467">
        <f t="shared" si="28"/>
        <v>13973995.214279663</v>
      </c>
      <c r="G194" s="468">
        <f t="shared" si="29"/>
        <v>2812.234899231166</v>
      </c>
      <c r="H194" s="459">
        <f t="shared" si="30"/>
        <v>973.0951007688341</v>
      </c>
      <c r="I194" s="379">
        <f t="shared" si="31"/>
      </c>
      <c r="J194" s="379">
        <f t="shared" si="32"/>
      </c>
      <c r="K194" s="460">
        <f t="shared" si="33"/>
        <v>778.4760806150673</v>
      </c>
      <c r="L194" s="487">
        <f t="shared" si="34"/>
        <v>3868247.644576269</v>
      </c>
      <c r="M194" s="487"/>
      <c r="N194" s="477">
        <v>580</v>
      </c>
      <c r="O194" s="388" t="s">
        <v>980</v>
      </c>
      <c r="P194" s="470">
        <v>0</v>
      </c>
      <c r="Q194" s="471" t="s">
        <v>816</v>
      </c>
      <c r="X194" s="472" t="s">
        <v>232</v>
      </c>
      <c r="Y194" s="473">
        <v>19.5</v>
      </c>
      <c r="Z194" s="474">
        <v>12334035.45</v>
      </c>
      <c r="AA194" s="475">
        <f t="shared" si="35"/>
        <v>63251463.84615385</v>
      </c>
      <c r="AB194" s="474">
        <v>1418579.6408181237</v>
      </c>
      <c r="AE194" s="488">
        <v>580</v>
      </c>
      <c r="AF194">
        <f t="shared" si="36"/>
        <v>0</v>
      </c>
      <c r="AH194" s="476">
        <v>12269.897540351018</v>
      </c>
      <c r="AI194">
        <f t="shared" si="37"/>
        <v>12269897.540351018</v>
      </c>
      <c r="AJ194" s="489">
        <v>1426.439472</v>
      </c>
      <c r="AK194">
        <f t="shared" si="38"/>
        <v>1426439.472</v>
      </c>
    </row>
    <row r="195" spans="1:37" ht="15" customHeight="1">
      <c r="A195" s="452" t="s">
        <v>981</v>
      </c>
      <c r="B195" s="466">
        <v>6562</v>
      </c>
      <c r="C195" s="467">
        <f t="shared" si="26"/>
        <v>17002223.882409092</v>
      </c>
      <c r="D195" s="467">
        <f t="shared" si="27"/>
        <v>2030174.1750919735</v>
      </c>
      <c r="E195" s="467">
        <v>0</v>
      </c>
      <c r="F195" s="467">
        <f t="shared" si="28"/>
        <v>19032398.057501066</v>
      </c>
      <c r="G195" s="468">
        <f t="shared" si="29"/>
        <v>2900.39592464204</v>
      </c>
      <c r="H195" s="459">
        <f t="shared" si="30"/>
        <v>884.93407535796</v>
      </c>
      <c r="I195" s="379">
        <f t="shared" si="31"/>
      </c>
      <c r="J195" s="379">
        <f t="shared" si="32"/>
      </c>
      <c r="K195" s="460">
        <f t="shared" si="33"/>
        <v>707.947260286368</v>
      </c>
      <c r="L195" s="487">
        <f t="shared" si="34"/>
        <v>4645549.921999146</v>
      </c>
      <c r="M195" s="487"/>
      <c r="N195" s="477">
        <v>581</v>
      </c>
      <c r="O195" s="388" t="s">
        <v>981</v>
      </c>
      <c r="P195" s="470">
        <v>0</v>
      </c>
      <c r="Q195" s="471" t="s">
        <v>744</v>
      </c>
      <c r="X195" s="472" t="s">
        <v>233</v>
      </c>
      <c r="Y195" s="473">
        <v>22</v>
      </c>
      <c r="Z195" s="474">
        <v>18843774.58</v>
      </c>
      <c r="AA195" s="475">
        <f t="shared" si="35"/>
        <v>85653520.81818181</v>
      </c>
      <c r="AB195" s="474">
        <v>2030174.1750919735</v>
      </c>
      <c r="AE195" s="488">
        <v>581</v>
      </c>
      <c r="AF195">
        <f t="shared" si="36"/>
        <v>0</v>
      </c>
      <c r="AH195" s="476">
        <v>18857.967686335935</v>
      </c>
      <c r="AI195">
        <f t="shared" si="37"/>
        <v>18857967.686335936</v>
      </c>
      <c r="AJ195" s="489">
        <v>2041.4226280000003</v>
      </c>
      <c r="AK195">
        <f t="shared" si="38"/>
        <v>2041422.6280000003</v>
      </c>
    </row>
    <row r="196" spans="1:37" ht="15" customHeight="1">
      <c r="A196" s="452" t="s">
        <v>982</v>
      </c>
      <c r="B196" s="466">
        <v>958</v>
      </c>
      <c r="C196" s="467">
        <f t="shared" si="26"/>
        <v>2516936.7493033707</v>
      </c>
      <c r="D196" s="467">
        <f t="shared" si="27"/>
        <v>350333.14412407647</v>
      </c>
      <c r="E196" s="467">
        <v>0</v>
      </c>
      <c r="F196" s="467">
        <f t="shared" si="28"/>
        <v>2867269.8934274474</v>
      </c>
      <c r="G196" s="468">
        <f t="shared" si="29"/>
        <v>2992.9748365630976</v>
      </c>
      <c r="H196" s="459">
        <f t="shared" si="30"/>
        <v>792.3551634369023</v>
      </c>
      <c r="I196" s="379">
        <f t="shared" si="31"/>
      </c>
      <c r="J196" s="379">
        <f t="shared" si="32"/>
      </c>
      <c r="K196" s="460">
        <f t="shared" si="33"/>
        <v>633.8841307495219</v>
      </c>
      <c r="L196" s="487">
        <f t="shared" si="34"/>
        <v>607260.997258042</v>
      </c>
      <c r="M196" s="487"/>
      <c r="N196" s="477">
        <v>583</v>
      </c>
      <c r="O196" s="388" t="s">
        <v>982</v>
      </c>
      <c r="P196" s="470">
        <v>0</v>
      </c>
      <c r="Q196" s="471" t="s">
        <v>749</v>
      </c>
      <c r="X196" s="472" t="s">
        <v>235</v>
      </c>
      <c r="Y196" s="473">
        <v>22.25</v>
      </c>
      <c r="Z196" s="474">
        <v>2821251.52</v>
      </c>
      <c r="AA196" s="475">
        <f t="shared" si="35"/>
        <v>12679782.11235955</v>
      </c>
      <c r="AB196" s="474">
        <v>350333.14412407647</v>
      </c>
      <c r="AE196" s="488">
        <v>583</v>
      </c>
      <c r="AF196">
        <f t="shared" si="36"/>
        <v>0</v>
      </c>
      <c r="AH196" s="476">
        <v>2845.4748566850553</v>
      </c>
      <c r="AI196">
        <f t="shared" si="37"/>
        <v>2845474.8566850554</v>
      </c>
      <c r="AJ196" s="489">
        <v>352.27421200000003</v>
      </c>
      <c r="AK196">
        <f t="shared" si="38"/>
        <v>352274.21200000006</v>
      </c>
    </row>
    <row r="197" spans="1:37" ht="15" customHeight="1">
      <c r="A197" s="452" t="s">
        <v>983</v>
      </c>
      <c r="B197" s="466">
        <v>2860</v>
      </c>
      <c r="C197" s="467">
        <f t="shared" si="26"/>
        <v>5767553.791023257</v>
      </c>
      <c r="D197" s="467">
        <f t="shared" si="27"/>
        <v>617067.160452888</v>
      </c>
      <c r="E197" s="467">
        <v>0</v>
      </c>
      <c r="F197" s="467">
        <f t="shared" si="28"/>
        <v>6384620.951476146</v>
      </c>
      <c r="G197" s="468">
        <f t="shared" si="29"/>
        <v>2232.384948068582</v>
      </c>
      <c r="H197" s="459">
        <f t="shared" si="30"/>
        <v>1552.9450519314178</v>
      </c>
      <c r="I197" s="379">
        <f t="shared" si="31"/>
      </c>
      <c r="J197" s="379">
        <f t="shared" si="32"/>
      </c>
      <c r="K197" s="460">
        <f t="shared" si="33"/>
        <v>1242.3560415451343</v>
      </c>
      <c r="L197" s="487">
        <f t="shared" si="34"/>
        <v>3553138.278819084</v>
      </c>
      <c r="M197" s="487"/>
      <c r="N197" s="477">
        <v>584</v>
      </c>
      <c r="O197" s="388" t="s">
        <v>983</v>
      </c>
      <c r="P197" s="470">
        <v>0</v>
      </c>
      <c r="Q197" s="471" t="s">
        <v>764</v>
      </c>
      <c r="X197" s="472" t="s">
        <v>237</v>
      </c>
      <c r="Y197" s="473">
        <v>21.5</v>
      </c>
      <c r="Z197" s="474">
        <v>6246972.62</v>
      </c>
      <c r="AA197" s="475">
        <f t="shared" si="35"/>
        <v>29055686.604651164</v>
      </c>
      <c r="AB197" s="474">
        <v>617067.160452888</v>
      </c>
      <c r="AE197" s="488">
        <v>584</v>
      </c>
      <c r="AF197">
        <f t="shared" si="36"/>
        <v>0</v>
      </c>
      <c r="AH197" s="476">
        <v>6400.116248970903</v>
      </c>
      <c r="AI197">
        <f t="shared" si="37"/>
        <v>6400116.248970903</v>
      </c>
      <c r="AJ197" s="489">
        <v>620.4861040000001</v>
      </c>
      <c r="AK197">
        <f t="shared" si="38"/>
        <v>620486.104</v>
      </c>
    </row>
    <row r="198" spans="1:37" ht="15" customHeight="1">
      <c r="A198" s="452" t="s">
        <v>984</v>
      </c>
      <c r="B198" s="466">
        <v>1739</v>
      </c>
      <c r="C198" s="467">
        <f t="shared" si="26"/>
        <v>3786497.7644418604</v>
      </c>
      <c r="D198" s="467">
        <f t="shared" si="27"/>
        <v>801027.1215609316</v>
      </c>
      <c r="E198" s="467">
        <v>0</v>
      </c>
      <c r="F198" s="467">
        <f t="shared" si="28"/>
        <v>4587524.886002792</v>
      </c>
      <c r="G198" s="468">
        <f t="shared" si="29"/>
        <v>2638.024661301203</v>
      </c>
      <c r="H198" s="459">
        <f t="shared" si="30"/>
        <v>1147.3053386987967</v>
      </c>
      <c r="I198" s="379">
        <f t="shared" si="31"/>
      </c>
      <c r="J198" s="379">
        <f t="shared" si="32"/>
      </c>
      <c r="K198" s="460">
        <f t="shared" si="33"/>
        <v>917.8442709590374</v>
      </c>
      <c r="L198" s="487">
        <f t="shared" si="34"/>
        <v>1596131.187197766</v>
      </c>
      <c r="M198" s="487"/>
      <c r="N198" s="477">
        <v>588</v>
      </c>
      <c r="O198" s="388" t="s">
        <v>984</v>
      </c>
      <c r="P198" s="470">
        <v>0</v>
      </c>
      <c r="Q198" s="471" t="s">
        <v>746</v>
      </c>
      <c r="X198" s="472" t="s">
        <v>238</v>
      </c>
      <c r="Y198" s="473">
        <v>21.5</v>
      </c>
      <c r="Z198" s="474">
        <v>4101244.43</v>
      </c>
      <c r="AA198" s="475">
        <f t="shared" si="35"/>
        <v>19075555.48837209</v>
      </c>
      <c r="AB198" s="474">
        <v>801027.1215609316</v>
      </c>
      <c r="AE198" s="488">
        <v>588</v>
      </c>
      <c r="AF198">
        <f t="shared" si="36"/>
        <v>0</v>
      </c>
      <c r="AH198" s="476">
        <v>4058.0082964204094</v>
      </c>
      <c r="AI198">
        <f t="shared" si="37"/>
        <v>4058008.2964204093</v>
      </c>
      <c r="AJ198" s="489">
        <v>805.46532</v>
      </c>
      <c r="AK198">
        <f t="shared" si="38"/>
        <v>805465.3200000001</v>
      </c>
    </row>
    <row r="199" spans="1:37" ht="15" customHeight="1">
      <c r="A199" s="452" t="s">
        <v>985</v>
      </c>
      <c r="B199" s="466">
        <v>3920</v>
      </c>
      <c r="C199" s="467">
        <f t="shared" si="26"/>
        <v>10101008.909586206</v>
      </c>
      <c r="D199" s="467">
        <f t="shared" si="27"/>
        <v>1176741.9510455255</v>
      </c>
      <c r="E199" s="467">
        <v>0</v>
      </c>
      <c r="F199" s="467">
        <f t="shared" si="28"/>
        <v>11277750.860631732</v>
      </c>
      <c r="G199" s="468">
        <f t="shared" si="29"/>
        <v>2876.9772603652377</v>
      </c>
      <c r="H199" s="459">
        <f t="shared" si="30"/>
        <v>908.3527396347622</v>
      </c>
      <c r="I199" s="379">
        <f t="shared" si="31"/>
      </c>
      <c r="J199" s="379">
        <f t="shared" si="32"/>
      </c>
      <c r="K199" s="460">
        <f t="shared" si="33"/>
        <v>726.6821917078098</v>
      </c>
      <c r="L199" s="487">
        <f t="shared" si="34"/>
        <v>2848594.1914946144</v>
      </c>
      <c r="M199" s="487"/>
      <c r="N199" s="477">
        <v>592</v>
      </c>
      <c r="O199" s="388" t="s">
        <v>985</v>
      </c>
      <c r="P199" s="470">
        <v>0</v>
      </c>
      <c r="Q199" s="471" t="s">
        <v>769</v>
      </c>
      <c r="X199" s="472" t="s">
        <v>239</v>
      </c>
      <c r="Y199" s="473">
        <v>21.75</v>
      </c>
      <c r="Z199" s="474">
        <v>11067856.11</v>
      </c>
      <c r="AA199" s="475">
        <f t="shared" si="35"/>
        <v>50886694.75862069</v>
      </c>
      <c r="AB199" s="474">
        <v>1176741.9510455255</v>
      </c>
      <c r="AE199" s="488">
        <v>592</v>
      </c>
      <c r="AF199">
        <f t="shared" si="36"/>
        <v>0</v>
      </c>
      <c r="AH199" s="476">
        <v>11130.057155046437</v>
      </c>
      <c r="AI199">
        <f t="shared" si="37"/>
        <v>11130057.155046437</v>
      </c>
      <c r="AJ199" s="489">
        <v>1183.261848</v>
      </c>
      <c r="AK199">
        <f t="shared" si="38"/>
        <v>1183261.848</v>
      </c>
    </row>
    <row r="200" spans="1:37" ht="15" customHeight="1">
      <c r="A200" s="452" t="s">
        <v>986</v>
      </c>
      <c r="B200" s="466">
        <v>18220</v>
      </c>
      <c r="C200" s="467">
        <f t="shared" si="26"/>
        <v>51569472.606886365</v>
      </c>
      <c r="D200" s="467">
        <f t="shared" si="27"/>
        <v>4504722.380139334</v>
      </c>
      <c r="E200" s="467">
        <v>0</v>
      </c>
      <c r="F200" s="467">
        <f t="shared" si="28"/>
        <v>56074194.9870257</v>
      </c>
      <c r="G200" s="468">
        <f t="shared" si="29"/>
        <v>3077.6177270595886</v>
      </c>
      <c r="H200" s="459">
        <f t="shared" si="30"/>
        <v>707.7122729404114</v>
      </c>
      <c r="I200" s="379">
        <f t="shared" si="31"/>
      </c>
      <c r="J200" s="379">
        <f t="shared" si="32"/>
      </c>
      <c r="K200" s="460">
        <f t="shared" si="33"/>
        <v>566.1698183523291</v>
      </c>
      <c r="L200" s="487">
        <f t="shared" si="34"/>
        <v>10315614.090379436</v>
      </c>
      <c r="M200" s="487"/>
      <c r="N200" s="477">
        <v>593</v>
      </c>
      <c r="O200" s="388" t="s">
        <v>986</v>
      </c>
      <c r="P200" s="470">
        <v>0</v>
      </c>
      <c r="Q200" s="471" t="s">
        <v>746</v>
      </c>
      <c r="X200" s="472" t="s">
        <v>240</v>
      </c>
      <c r="Y200" s="473">
        <v>22</v>
      </c>
      <c r="Z200" s="474">
        <v>57155082.99</v>
      </c>
      <c r="AA200" s="475">
        <f t="shared" si="35"/>
        <v>259795831.77272728</v>
      </c>
      <c r="AB200" s="474">
        <v>4504722.380139334</v>
      </c>
      <c r="AE200" s="488">
        <v>593</v>
      </c>
      <c r="AF200">
        <f t="shared" si="36"/>
        <v>0</v>
      </c>
      <c r="AH200" s="476">
        <v>57521.189194037695</v>
      </c>
      <c r="AI200">
        <f t="shared" si="37"/>
        <v>57521189.1940377</v>
      </c>
      <c r="AJ200" s="489">
        <v>4529.6813999999995</v>
      </c>
      <c r="AK200">
        <f t="shared" si="38"/>
        <v>4529681.399999999</v>
      </c>
    </row>
    <row r="201" spans="1:37" ht="15" customHeight="1">
      <c r="A201" s="452" t="s">
        <v>987</v>
      </c>
      <c r="B201" s="466">
        <v>4624</v>
      </c>
      <c r="C201" s="467">
        <f t="shared" si="26"/>
        <v>10075768.872528736</v>
      </c>
      <c r="D201" s="467">
        <f t="shared" si="27"/>
        <v>1444349.2766867038</v>
      </c>
      <c r="E201" s="467">
        <v>0</v>
      </c>
      <c r="F201" s="467">
        <f t="shared" si="28"/>
        <v>11520118.14921544</v>
      </c>
      <c r="G201" s="468">
        <f t="shared" si="29"/>
        <v>2491.375032269775</v>
      </c>
      <c r="H201" s="459">
        <f t="shared" si="30"/>
        <v>1293.9549677302248</v>
      </c>
      <c r="I201" s="379">
        <f t="shared" si="31"/>
      </c>
      <c r="J201" s="379">
        <f t="shared" si="32"/>
      </c>
      <c r="K201" s="460">
        <f t="shared" si="33"/>
        <v>1035.1639741841798</v>
      </c>
      <c r="L201" s="487">
        <f t="shared" si="34"/>
        <v>4786598.216627647</v>
      </c>
      <c r="M201" s="487"/>
      <c r="N201" s="477">
        <v>595</v>
      </c>
      <c r="O201" s="388" t="s">
        <v>987</v>
      </c>
      <c r="P201" s="470">
        <v>0</v>
      </c>
      <c r="Q201" s="471" t="s">
        <v>798</v>
      </c>
      <c r="X201" s="472" t="s">
        <v>241</v>
      </c>
      <c r="Y201" s="473">
        <v>21.75</v>
      </c>
      <c r="Z201" s="474">
        <v>11040200.15</v>
      </c>
      <c r="AA201" s="475">
        <f t="shared" si="35"/>
        <v>50759540.91954023</v>
      </c>
      <c r="AB201" s="474">
        <v>1444349.2766867038</v>
      </c>
      <c r="AE201" s="488">
        <v>595</v>
      </c>
      <c r="AF201">
        <f t="shared" si="36"/>
        <v>0</v>
      </c>
      <c r="AH201" s="476">
        <v>10943.529626614869</v>
      </c>
      <c r="AI201">
        <f t="shared" si="37"/>
        <v>10943529.626614869</v>
      </c>
      <c r="AJ201" s="489">
        <v>1452.3518880000001</v>
      </c>
      <c r="AK201">
        <f t="shared" si="38"/>
        <v>1452351.888</v>
      </c>
    </row>
    <row r="202" spans="1:37" ht="15" customHeight="1">
      <c r="A202" s="452" t="s">
        <v>988</v>
      </c>
      <c r="B202" s="466">
        <v>19379</v>
      </c>
      <c r="C202" s="467">
        <f t="shared" si="26"/>
        <v>62626166.49407059</v>
      </c>
      <c r="D202" s="467">
        <f t="shared" si="27"/>
        <v>6304673.636259857</v>
      </c>
      <c r="E202" s="467">
        <v>0</v>
      </c>
      <c r="F202" s="467">
        <f t="shared" si="28"/>
        <v>68930840.13033044</v>
      </c>
      <c r="G202" s="468">
        <f t="shared" si="29"/>
        <v>3556.9864353336316</v>
      </c>
      <c r="H202" s="459">
        <f t="shared" si="30"/>
        <v>228.34356466636837</v>
      </c>
      <c r="I202" s="379">
        <f t="shared" si="31"/>
      </c>
      <c r="J202" s="379">
        <f t="shared" si="32"/>
      </c>
      <c r="K202" s="460">
        <f t="shared" si="33"/>
        <v>182.6748517330947</v>
      </c>
      <c r="L202" s="487">
        <f t="shared" si="34"/>
        <v>3540055.9517356423</v>
      </c>
      <c r="M202" s="487"/>
      <c r="N202" s="477">
        <v>598</v>
      </c>
      <c r="O202" s="478" t="s">
        <v>989</v>
      </c>
      <c r="P202" s="470">
        <v>3</v>
      </c>
      <c r="Q202" s="471" t="s">
        <v>814</v>
      </c>
      <c r="X202" s="472" t="s">
        <v>242</v>
      </c>
      <c r="Y202" s="473">
        <v>21.25</v>
      </c>
      <c r="Z202" s="474">
        <v>67043125.34</v>
      </c>
      <c r="AA202" s="475">
        <f t="shared" si="35"/>
        <v>315497060.4235294</v>
      </c>
      <c r="AB202" s="474">
        <v>6304673.636259857</v>
      </c>
      <c r="AE202" s="488">
        <v>598</v>
      </c>
      <c r="AF202">
        <f t="shared" si="36"/>
        <v>0</v>
      </c>
      <c r="AH202" s="476">
        <v>67318.88651781692</v>
      </c>
      <c r="AI202">
        <f t="shared" si="37"/>
        <v>67318886.51781692</v>
      </c>
      <c r="AJ202" s="489">
        <v>6339.605528</v>
      </c>
      <c r="AK202">
        <f t="shared" si="38"/>
        <v>6339605.528</v>
      </c>
    </row>
    <row r="203" spans="1:37" ht="15" customHeight="1">
      <c r="A203" s="452" t="s">
        <v>990</v>
      </c>
      <c r="B203" s="466">
        <v>11084</v>
      </c>
      <c r="C203" s="467">
        <f t="shared" si="26"/>
        <v>29213224.40441464</v>
      </c>
      <c r="D203" s="467">
        <f t="shared" si="27"/>
        <v>2652102.589116013</v>
      </c>
      <c r="E203" s="467">
        <v>0</v>
      </c>
      <c r="F203" s="467">
        <f t="shared" si="28"/>
        <v>31865326.993530653</v>
      </c>
      <c r="G203" s="468">
        <f t="shared" si="29"/>
        <v>2874.894171195476</v>
      </c>
      <c r="H203" s="459">
        <f t="shared" si="30"/>
        <v>910.4358288045241</v>
      </c>
      <c r="I203" s="379">
        <f t="shared" si="31"/>
      </c>
      <c r="J203" s="379">
        <f t="shared" si="32"/>
      </c>
      <c r="K203" s="460">
        <f t="shared" si="33"/>
        <v>728.3486630436194</v>
      </c>
      <c r="L203" s="487">
        <f t="shared" si="34"/>
        <v>8073016.581175477</v>
      </c>
      <c r="M203" s="487"/>
      <c r="N203" s="477">
        <v>599</v>
      </c>
      <c r="O203" s="478" t="s">
        <v>234</v>
      </c>
      <c r="P203" s="470">
        <v>3</v>
      </c>
      <c r="Q203" s="471" t="s">
        <v>814</v>
      </c>
      <c r="X203" s="472" t="s">
        <v>990</v>
      </c>
      <c r="Y203" s="473">
        <v>20.5</v>
      </c>
      <c r="Z203" s="474">
        <v>30169828.73</v>
      </c>
      <c r="AA203" s="475">
        <f t="shared" si="35"/>
        <v>147169896.24390244</v>
      </c>
      <c r="AB203" s="474">
        <v>2652102.589116013</v>
      </c>
      <c r="AE203" s="488">
        <v>599</v>
      </c>
      <c r="AF203">
        <f t="shared" si="36"/>
        <v>0</v>
      </c>
      <c r="AH203" s="476">
        <v>30023.769367422632</v>
      </c>
      <c r="AI203">
        <f t="shared" si="37"/>
        <v>30023769.367422633</v>
      </c>
      <c r="AJ203" s="489">
        <v>2666.7969200000002</v>
      </c>
      <c r="AK203">
        <f t="shared" si="38"/>
        <v>2666796.9200000004</v>
      </c>
    </row>
    <row r="204" spans="1:37" ht="15" customHeight="1">
      <c r="A204" s="452" t="s">
        <v>991</v>
      </c>
      <c r="B204" s="466">
        <v>4127</v>
      </c>
      <c r="C204" s="467">
        <f t="shared" si="26"/>
        <v>9128089.961642856</v>
      </c>
      <c r="D204" s="467">
        <f t="shared" si="27"/>
        <v>1574900.8859471758</v>
      </c>
      <c r="E204" s="467">
        <v>0</v>
      </c>
      <c r="F204" s="467">
        <f t="shared" si="28"/>
        <v>10702990.847590031</v>
      </c>
      <c r="G204" s="468">
        <f t="shared" si="29"/>
        <v>2593.407038427437</v>
      </c>
      <c r="H204" s="459">
        <f t="shared" si="30"/>
        <v>1191.922961572563</v>
      </c>
      <c r="I204" s="379">
        <f t="shared" si="31"/>
      </c>
      <c r="J204" s="379">
        <f t="shared" si="32"/>
      </c>
      <c r="K204" s="460">
        <f t="shared" si="33"/>
        <v>953.5383692580505</v>
      </c>
      <c r="L204" s="487">
        <f t="shared" si="34"/>
        <v>3935252.8499279744</v>
      </c>
      <c r="M204" s="487"/>
      <c r="N204" s="477">
        <v>601</v>
      </c>
      <c r="O204" s="388" t="s">
        <v>991</v>
      </c>
      <c r="P204" s="470">
        <v>0</v>
      </c>
      <c r="Q204" s="471" t="s">
        <v>769</v>
      </c>
      <c r="X204" s="472" t="s">
        <v>243</v>
      </c>
      <c r="Y204" s="473">
        <v>21</v>
      </c>
      <c r="Z204" s="474">
        <v>9656921.37</v>
      </c>
      <c r="AA204" s="475">
        <f t="shared" si="35"/>
        <v>45985339.85714285</v>
      </c>
      <c r="AB204" s="474">
        <v>1574900.8859471758</v>
      </c>
      <c r="AE204" s="488">
        <v>601</v>
      </c>
      <c r="AF204">
        <f t="shared" si="36"/>
        <v>0</v>
      </c>
      <c r="AH204" s="476">
        <v>9446.316047833801</v>
      </c>
      <c r="AI204">
        <f t="shared" si="37"/>
        <v>9446316.047833802</v>
      </c>
      <c r="AJ204" s="489">
        <v>1583.6268360000001</v>
      </c>
      <c r="AK204">
        <f t="shared" si="38"/>
        <v>1583626.8360000001</v>
      </c>
    </row>
    <row r="205" spans="1:37" ht="15" customHeight="1">
      <c r="A205" s="452" t="s">
        <v>992</v>
      </c>
      <c r="B205" s="466">
        <v>19237</v>
      </c>
      <c r="C205" s="467">
        <f t="shared" si="26"/>
        <v>77938657.49049999</v>
      </c>
      <c r="D205" s="467">
        <f t="shared" si="27"/>
        <v>3858710.7464311607</v>
      </c>
      <c r="E205" s="467">
        <v>0</v>
      </c>
      <c r="F205" s="467">
        <f t="shared" si="28"/>
        <v>81797368.23693115</v>
      </c>
      <c r="G205" s="468">
        <f t="shared" si="29"/>
        <v>4252.085472627288</v>
      </c>
      <c r="H205" s="459">
        <f t="shared" si="30"/>
        <v>-466.7554726272883</v>
      </c>
      <c r="I205" s="379">
        <f t="shared" si="31"/>
        <v>6.145805507317826</v>
      </c>
      <c r="J205" s="379">
        <f t="shared" si="32"/>
        <v>36.145805507317824</v>
      </c>
      <c r="K205" s="460">
        <f t="shared" si="33"/>
        <v>-168.71252533062173</v>
      </c>
      <c r="L205" s="487">
        <f t="shared" si="34"/>
        <v>-3245522.84978517</v>
      </c>
      <c r="M205" s="487"/>
      <c r="N205" s="477">
        <v>604</v>
      </c>
      <c r="O205" s="478" t="s">
        <v>993</v>
      </c>
      <c r="P205" s="470">
        <v>0</v>
      </c>
      <c r="Q205" s="471" t="s">
        <v>744</v>
      </c>
      <c r="X205" s="472" t="s">
        <v>244</v>
      </c>
      <c r="Y205" s="473">
        <v>20</v>
      </c>
      <c r="Z205" s="474">
        <v>78527614.6</v>
      </c>
      <c r="AA205" s="475">
        <f t="shared" si="35"/>
        <v>392638072.99999994</v>
      </c>
      <c r="AB205" s="474">
        <v>3858710.7464311607</v>
      </c>
      <c r="AE205" s="488">
        <v>604</v>
      </c>
      <c r="AF205">
        <f t="shared" si="36"/>
        <v>0</v>
      </c>
      <c r="AH205" s="476">
        <v>78387.62598173313</v>
      </c>
      <c r="AI205">
        <f t="shared" si="37"/>
        <v>78387625.98173313</v>
      </c>
      <c r="AJ205" s="489">
        <v>3880.090452</v>
      </c>
      <c r="AK205">
        <f t="shared" si="38"/>
        <v>3880090.452</v>
      </c>
    </row>
    <row r="206" spans="1:37" ht="15" customHeight="1">
      <c r="A206" s="452" t="s">
        <v>994</v>
      </c>
      <c r="B206" s="466">
        <v>4414</v>
      </c>
      <c r="C206" s="467">
        <f t="shared" si="26"/>
        <v>9425575.81345679</v>
      </c>
      <c r="D206" s="467">
        <f t="shared" si="27"/>
        <v>1142540.0472906136</v>
      </c>
      <c r="E206" s="467">
        <v>0</v>
      </c>
      <c r="F206" s="467">
        <f t="shared" si="28"/>
        <v>10568115.860747404</v>
      </c>
      <c r="G206" s="468">
        <f t="shared" si="29"/>
        <v>2394.226520332443</v>
      </c>
      <c r="H206" s="459">
        <f t="shared" si="30"/>
        <v>1391.1034796675567</v>
      </c>
      <c r="I206" s="379">
        <f t="shared" si="31"/>
      </c>
      <c r="J206" s="379">
        <f t="shared" si="32"/>
      </c>
      <c r="K206" s="460">
        <f t="shared" si="33"/>
        <v>1112.8827837340455</v>
      </c>
      <c r="L206" s="487">
        <f t="shared" si="34"/>
        <v>4912264.607402077</v>
      </c>
      <c r="M206" s="487"/>
      <c r="N206" s="477">
        <v>607</v>
      </c>
      <c r="O206" s="388" t="s">
        <v>994</v>
      </c>
      <c r="P206" s="470">
        <v>0</v>
      </c>
      <c r="Q206" s="471" t="s">
        <v>805</v>
      </c>
      <c r="X206" s="472" t="s">
        <v>245</v>
      </c>
      <c r="Y206" s="473">
        <v>20.25</v>
      </c>
      <c r="Z206" s="474">
        <v>9615511.85</v>
      </c>
      <c r="AA206" s="475">
        <f t="shared" si="35"/>
        <v>47484009.13580247</v>
      </c>
      <c r="AB206" s="474">
        <v>1142540.0472906136</v>
      </c>
      <c r="AD206" s="1"/>
      <c r="AE206" s="488">
        <v>607</v>
      </c>
      <c r="AF206">
        <f t="shared" si="36"/>
        <v>0</v>
      </c>
      <c r="AG206" s="1"/>
      <c r="AH206" s="476">
        <v>9628.157069083472</v>
      </c>
      <c r="AI206">
        <f t="shared" si="37"/>
        <v>9628157.069083473</v>
      </c>
      <c r="AJ206" s="489">
        <v>1148.870444</v>
      </c>
      <c r="AK206">
        <f t="shared" si="38"/>
        <v>1148870.444</v>
      </c>
    </row>
    <row r="207" spans="1:37" s="1" customFormat="1" ht="15" customHeight="1">
      <c r="A207" s="452" t="s">
        <v>995</v>
      </c>
      <c r="B207" s="466">
        <v>2166</v>
      </c>
      <c r="C207" s="467">
        <f t="shared" si="26"/>
        <v>5285177.300780487</v>
      </c>
      <c r="D207" s="467">
        <f t="shared" si="27"/>
        <v>541262.0051056287</v>
      </c>
      <c r="E207" s="467">
        <v>0</v>
      </c>
      <c r="F207" s="467">
        <f t="shared" si="28"/>
        <v>5826439.305886116</v>
      </c>
      <c r="G207" s="468">
        <f t="shared" si="29"/>
        <v>2689.9535114894347</v>
      </c>
      <c r="H207" s="459">
        <f t="shared" si="30"/>
        <v>1095.3764885105652</v>
      </c>
      <c r="I207" s="379">
        <f t="shared" si="31"/>
      </c>
      <c r="J207" s="379">
        <f t="shared" si="32"/>
      </c>
      <c r="K207" s="460">
        <f t="shared" si="33"/>
        <v>876.3011908084522</v>
      </c>
      <c r="L207" s="487">
        <f t="shared" si="34"/>
        <v>1898068.3792911076</v>
      </c>
      <c r="M207" s="487"/>
      <c r="N207" s="477">
        <v>608</v>
      </c>
      <c r="O207" s="478" t="s">
        <v>996</v>
      </c>
      <c r="P207" s="470">
        <v>0</v>
      </c>
      <c r="Q207" s="471" t="s">
        <v>753</v>
      </c>
      <c r="R207"/>
      <c r="S207"/>
      <c r="T207"/>
      <c r="U207"/>
      <c r="V207"/>
      <c r="W207"/>
      <c r="X207" s="472" t="s">
        <v>246</v>
      </c>
      <c r="Y207" s="473">
        <v>20.5</v>
      </c>
      <c r="Z207" s="474">
        <v>5458243.56</v>
      </c>
      <c r="AA207" s="475">
        <f t="shared" si="35"/>
        <v>26625578.341463413</v>
      </c>
      <c r="AB207" s="474">
        <v>541262.0051056287</v>
      </c>
      <c r="AC207"/>
      <c r="AD207"/>
      <c r="AE207" s="488">
        <v>608</v>
      </c>
      <c r="AF207">
        <f t="shared" si="36"/>
        <v>0</v>
      </c>
      <c r="AG207"/>
      <c r="AH207" s="476">
        <v>5432.358309283028</v>
      </c>
      <c r="AI207">
        <f t="shared" si="37"/>
        <v>5432358.309283027</v>
      </c>
      <c r="AJ207" s="489">
        <v>544.26094</v>
      </c>
      <c r="AK207">
        <f t="shared" si="38"/>
        <v>544260.9400000001</v>
      </c>
    </row>
    <row r="208" spans="1:37" ht="15" customHeight="1">
      <c r="A208" s="452" t="s">
        <v>997</v>
      </c>
      <c r="B208" s="466">
        <v>84587</v>
      </c>
      <c r="C208" s="467">
        <f t="shared" si="26"/>
        <v>267355305.00083545</v>
      </c>
      <c r="D208" s="467">
        <f t="shared" si="27"/>
        <v>16738629.099509554</v>
      </c>
      <c r="E208" s="467">
        <v>0</v>
      </c>
      <c r="F208" s="467">
        <f t="shared" si="28"/>
        <v>284093934.100345</v>
      </c>
      <c r="G208" s="468">
        <f t="shared" si="29"/>
        <v>3358.600424419178</v>
      </c>
      <c r="H208" s="459">
        <f t="shared" si="30"/>
        <v>426.7295755808218</v>
      </c>
      <c r="I208" s="379">
        <f t="shared" si="31"/>
      </c>
      <c r="J208" s="379">
        <f t="shared" si="32"/>
      </c>
      <c r="K208" s="460">
        <f t="shared" si="33"/>
        <v>341.38366046465745</v>
      </c>
      <c r="L208" s="487">
        <f t="shared" si="34"/>
        <v>28876619.68772398</v>
      </c>
      <c r="M208" s="487"/>
      <c r="N208" s="477">
        <v>609</v>
      </c>
      <c r="O208" s="478" t="s">
        <v>998</v>
      </c>
      <c r="P208" s="470">
        <v>0</v>
      </c>
      <c r="Q208" s="471" t="s">
        <v>753</v>
      </c>
      <c r="S208" s="1"/>
      <c r="T208" s="1"/>
      <c r="U208" s="1"/>
      <c r="X208" s="472" t="s">
        <v>247</v>
      </c>
      <c r="Y208" s="473">
        <v>19.75</v>
      </c>
      <c r="Z208" s="474">
        <v>266008426.89</v>
      </c>
      <c r="AA208" s="475">
        <f t="shared" si="35"/>
        <v>1346878110.835443</v>
      </c>
      <c r="AB208" s="474">
        <v>16738629.099509554</v>
      </c>
      <c r="AC208" s="1"/>
      <c r="AE208" s="488">
        <v>609</v>
      </c>
      <c r="AF208">
        <f t="shared" si="36"/>
        <v>0</v>
      </c>
      <c r="AH208" s="476">
        <v>266943.26445280726</v>
      </c>
      <c r="AI208">
        <f t="shared" si="37"/>
        <v>266943264.45280725</v>
      </c>
      <c r="AJ208" s="489">
        <v>16831.371724</v>
      </c>
      <c r="AK208">
        <f t="shared" si="38"/>
        <v>16831371.724</v>
      </c>
    </row>
    <row r="209" spans="1:37" ht="15" customHeight="1">
      <c r="A209" s="452" t="s">
        <v>999</v>
      </c>
      <c r="B209" s="466">
        <v>5121</v>
      </c>
      <c r="C209" s="467">
        <f t="shared" si="26"/>
        <v>17519010.87858537</v>
      </c>
      <c r="D209" s="467">
        <f t="shared" si="27"/>
        <v>731626.2345043619</v>
      </c>
      <c r="E209" s="467">
        <v>0</v>
      </c>
      <c r="F209" s="467">
        <f t="shared" si="28"/>
        <v>18250637.11308973</v>
      </c>
      <c r="G209" s="468">
        <f t="shared" si="29"/>
        <v>3563.881490546715</v>
      </c>
      <c r="H209" s="459">
        <f t="shared" si="30"/>
        <v>221.44850945328471</v>
      </c>
      <c r="I209" s="379">
        <f t="shared" si="31"/>
      </c>
      <c r="J209" s="379">
        <f t="shared" si="32"/>
      </c>
      <c r="K209" s="460">
        <f t="shared" si="33"/>
        <v>177.15880756262777</v>
      </c>
      <c r="L209" s="487">
        <f t="shared" si="34"/>
        <v>907230.2535282169</v>
      </c>
      <c r="M209" s="487"/>
      <c r="N209" s="477">
        <v>611</v>
      </c>
      <c r="O209" s="478" t="s">
        <v>1000</v>
      </c>
      <c r="P209" s="470">
        <v>0</v>
      </c>
      <c r="Q209" s="471" t="s">
        <v>741</v>
      </c>
      <c r="X209" s="472" t="s">
        <v>248</v>
      </c>
      <c r="Y209" s="473">
        <v>20.5</v>
      </c>
      <c r="Z209" s="474">
        <v>18092681.26</v>
      </c>
      <c r="AA209" s="475">
        <f t="shared" si="35"/>
        <v>88256981.75609757</v>
      </c>
      <c r="AB209" s="474">
        <v>731626.2345043619</v>
      </c>
      <c r="AE209" s="488">
        <v>611</v>
      </c>
      <c r="AF209">
        <f t="shared" si="36"/>
        <v>0</v>
      </c>
      <c r="AH209" s="476">
        <v>18129.941386947798</v>
      </c>
      <c r="AI209">
        <f t="shared" si="37"/>
        <v>18129941.386947796</v>
      </c>
      <c r="AJ209" s="489">
        <v>735.679908</v>
      </c>
      <c r="AK209">
        <f t="shared" si="38"/>
        <v>735679.9079999999</v>
      </c>
    </row>
    <row r="210" spans="1:37" ht="15" customHeight="1">
      <c r="A210" s="452" t="s">
        <v>1001</v>
      </c>
      <c r="B210" s="466">
        <v>3310</v>
      </c>
      <c r="C210" s="467">
        <f t="shared" si="26"/>
        <v>7290912.127747127</v>
      </c>
      <c r="D210" s="467">
        <f t="shared" si="27"/>
        <v>659255.4227149844</v>
      </c>
      <c r="E210" s="467">
        <v>0</v>
      </c>
      <c r="F210" s="467">
        <f t="shared" si="28"/>
        <v>7950167.550462111</v>
      </c>
      <c r="G210" s="468">
        <f t="shared" si="29"/>
        <v>2401.8633082967103</v>
      </c>
      <c r="H210" s="459">
        <f t="shared" si="30"/>
        <v>1383.4666917032896</v>
      </c>
      <c r="I210" s="379">
        <f t="shared" si="31"/>
      </c>
      <c r="J210" s="379">
        <f t="shared" si="32"/>
      </c>
      <c r="K210" s="460">
        <f t="shared" si="33"/>
        <v>1106.7733533626317</v>
      </c>
      <c r="L210" s="487">
        <f t="shared" si="34"/>
        <v>3663419.799630311</v>
      </c>
      <c r="M210" s="487"/>
      <c r="N210" s="477">
        <v>614</v>
      </c>
      <c r="O210" s="388" t="s">
        <v>1001</v>
      </c>
      <c r="P210" s="470">
        <v>0</v>
      </c>
      <c r="Q210" s="471" t="s">
        <v>749</v>
      </c>
      <c r="X210" s="472" t="s">
        <v>250</v>
      </c>
      <c r="Y210" s="473">
        <v>21.75</v>
      </c>
      <c r="Z210" s="474">
        <v>7988782.81</v>
      </c>
      <c r="AA210" s="475">
        <f t="shared" si="35"/>
        <v>36730035.90804598</v>
      </c>
      <c r="AB210" s="474">
        <v>659255.4227149844</v>
      </c>
      <c r="AE210" s="488">
        <v>614</v>
      </c>
      <c r="AF210">
        <f t="shared" si="36"/>
        <v>0</v>
      </c>
      <c r="AH210" s="476">
        <v>8117.135639319342</v>
      </c>
      <c r="AI210">
        <f t="shared" si="37"/>
        <v>8117135.639319342</v>
      </c>
      <c r="AJ210" s="489">
        <v>662.908116</v>
      </c>
      <c r="AK210">
        <f t="shared" si="38"/>
        <v>662908.1159999999</v>
      </c>
    </row>
    <row r="211" spans="1:37" ht="15" customHeight="1">
      <c r="A211" s="452" t="s">
        <v>1002</v>
      </c>
      <c r="B211" s="466">
        <v>8103</v>
      </c>
      <c r="C211" s="467">
        <f aca="true" t="shared" si="39" ref="C211:C274">19.85*AA211/100</f>
        <v>17542109.936268296</v>
      </c>
      <c r="D211" s="467">
        <f aca="true" t="shared" si="40" ref="D211:D274">AB211</f>
        <v>2616646.7171405824</v>
      </c>
      <c r="E211" s="467">
        <v>0</v>
      </c>
      <c r="F211" s="467">
        <f aca="true" t="shared" si="41" ref="F211:F274">C211+D211+E211</f>
        <v>20158756.653408878</v>
      </c>
      <c r="G211" s="468">
        <f aca="true" t="shared" si="42" ref="G211:G274">F211/B211</f>
        <v>2487.8139767257653</v>
      </c>
      <c r="H211" s="459">
        <f aca="true" t="shared" si="43" ref="H211:H274">$G$15-G211</f>
        <v>1297.5160232742346</v>
      </c>
      <c r="I211" s="379">
        <f aca="true" t="shared" si="44" ref="I211:I274">IF(H211&lt;0,LN(-H211),"")</f>
      </c>
      <c r="J211" s="379">
        <f aca="true" t="shared" si="45" ref="J211:J274">IF(H211&lt;0,30+I211,"")</f>
      </c>
      <c r="K211" s="460">
        <f aca="true" t="shared" si="46" ref="K211:K274">IF(H211&gt;0,H211*0.8,J211*H211/100)</f>
        <v>1038.0128186193876</v>
      </c>
      <c r="L211" s="487">
        <f aca="true" t="shared" si="47" ref="L211:L274">K211*B211</f>
        <v>8411017.869272899</v>
      </c>
      <c r="M211" s="487"/>
      <c r="N211" s="477">
        <v>615</v>
      </c>
      <c r="O211" s="388" t="s">
        <v>1002</v>
      </c>
      <c r="P211" s="470">
        <v>0</v>
      </c>
      <c r="Q211" s="471" t="s">
        <v>736</v>
      </c>
      <c r="X211" s="472" t="s">
        <v>251</v>
      </c>
      <c r="Y211" s="473">
        <v>20.5</v>
      </c>
      <c r="Z211" s="474">
        <v>18116536.71</v>
      </c>
      <c r="AA211" s="475">
        <f aca="true" t="shared" si="48" ref="AA211:AA274">100*Z211/Y211</f>
        <v>88373349.80487806</v>
      </c>
      <c r="AB211" s="474">
        <v>2616646.7171405824</v>
      </c>
      <c r="AE211" s="488">
        <v>615</v>
      </c>
      <c r="AF211">
        <f aca="true" t="shared" si="49" ref="AF211:AF274">N211-AE211</f>
        <v>0</v>
      </c>
      <c r="AH211" s="476">
        <v>18125.942798318316</v>
      </c>
      <c r="AI211">
        <f aca="true" t="shared" si="50" ref="AI211:AI274">AH211*1000</f>
        <v>18125942.798318315</v>
      </c>
      <c r="AJ211" s="489">
        <v>2631.1446</v>
      </c>
      <c r="AK211">
        <f aca="true" t="shared" si="51" ref="AK211:AK274">AJ211*1000</f>
        <v>2631144.6</v>
      </c>
    </row>
    <row r="212" spans="1:37" ht="15" customHeight="1">
      <c r="A212" s="452" t="s">
        <v>1003</v>
      </c>
      <c r="B212" s="466">
        <v>1940</v>
      </c>
      <c r="C212" s="467">
        <f t="shared" si="39"/>
        <v>5632477.255395349</v>
      </c>
      <c r="D212" s="467">
        <f t="shared" si="40"/>
        <v>269652.8998622456</v>
      </c>
      <c r="E212" s="467">
        <v>0</v>
      </c>
      <c r="F212" s="467">
        <f t="shared" si="41"/>
        <v>5902130.155257595</v>
      </c>
      <c r="G212" s="468">
        <f t="shared" si="42"/>
        <v>3042.3351315760797</v>
      </c>
      <c r="H212" s="459">
        <f t="shared" si="43"/>
        <v>742.9948684239203</v>
      </c>
      <c r="I212" s="379">
        <f t="shared" si="44"/>
      </c>
      <c r="J212" s="379">
        <f t="shared" si="45"/>
      </c>
      <c r="K212" s="460">
        <f t="shared" si="46"/>
        <v>594.3958947391362</v>
      </c>
      <c r="L212" s="487">
        <f t="shared" si="47"/>
        <v>1153128.0357939242</v>
      </c>
      <c r="M212" s="487"/>
      <c r="N212" s="477">
        <v>616</v>
      </c>
      <c r="O212" s="388" t="s">
        <v>1003</v>
      </c>
      <c r="P212" s="470">
        <v>0</v>
      </c>
      <c r="Q212" s="471" t="s">
        <v>741</v>
      </c>
      <c r="X212" s="472" t="s">
        <v>252</v>
      </c>
      <c r="Y212" s="473">
        <v>21.5</v>
      </c>
      <c r="Z212" s="474">
        <v>6100668.06</v>
      </c>
      <c r="AA212" s="475">
        <f t="shared" si="48"/>
        <v>28375200.279069766</v>
      </c>
      <c r="AB212" s="474">
        <v>269652.8998622456</v>
      </c>
      <c r="AE212" s="488">
        <v>616</v>
      </c>
      <c r="AF212">
        <f t="shared" si="49"/>
        <v>0</v>
      </c>
      <c r="AH212" s="476">
        <v>5941.243488965261</v>
      </c>
      <c r="AI212">
        <f t="shared" si="50"/>
        <v>5941243.488965262</v>
      </c>
      <c r="AJ212" s="489">
        <v>271.146948</v>
      </c>
      <c r="AK212">
        <f t="shared" si="51"/>
        <v>271146.94800000003</v>
      </c>
    </row>
    <row r="213" spans="1:37" ht="15" customHeight="1">
      <c r="A213" s="452" t="s">
        <v>1004</v>
      </c>
      <c r="B213" s="466">
        <v>2949</v>
      </c>
      <c r="C213" s="467">
        <f t="shared" si="39"/>
        <v>7049837.072000001</v>
      </c>
      <c r="D213" s="467">
        <f t="shared" si="40"/>
        <v>468942.79540792597</v>
      </c>
      <c r="E213" s="467">
        <v>0</v>
      </c>
      <c r="F213" s="467">
        <f t="shared" si="41"/>
        <v>7518779.867407926</v>
      </c>
      <c r="G213" s="468">
        <f t="shared" si="42"/>
        <v>2549.6032103790867</v>
      </c>
      <c r="H213" s="459">
        <f t="shared" si="43"/>
        <v>1235.7267896209132</v>
      </c>
      <c r="I213" s="379">
        <f t="shared" si="44"/>
      </c>
      <c r="J213" s="379">
        <f t="shared" si="45"/>
      </c>
      <c r="K213" s="460">
        <f t="shared" si="46"/>
        <v>988.5814316967306</v>
      </c>
      <c r="L213" s="487">
        <f t="shared" si="47"/>
        <v>2915326.6420736588</v>
      </c>
      <c r="M213" s="487"/>
      <c r="N213" s="477">
        <v>619</v>
      </c>
      <c r="O213" s="388" t="s">
        <v>1004</v>
      </c>
      <c r="P213" s="470">
        <v>0</v>
      </c>
      <c r="Q213" s="471" t="s">
        <v>744</v>
      </c>
      <c r="X213" s="472" t="s">
        <v>253</v>
      </c>
      <c r="Y213" s="473">
        <v>22</v>
      </c>
      <c r="Z213" s="474">
        <v>7813421.44</v>
      </c>
      <c r="AA213" s="475">
        <f t="shared" si="48"/>
        <v>35515552</v>
      </c>
      <c r="AB213" s="474">
        <v>468942.79540792597</v>
      </c>
      <c r="AE213" s="488">
        <v>619</v>
      </c>
      <c r="AF213">
        <f t="shared" si="49"/>
        <v>0</v>
      </c>
      <c r="AH213" s="476">
        <v>7749.054964208705</v>
      </c>
      <c r="AI213">
        <f t="shared" si="50"/>
        <v>7749054.964208705</v>
      </c>
      <c r="AJ213" s="489">
        <v>471.541036</v>
      </c>
      <c r="AK213">
        <f t="shared" si="51"/>
        <v>471541.036</v>
      </c>
    </row>
    <row r="214" spans="1:37" ht="15" customHeight="1">
      <c r="A214" s="452" t="s">
        <v>1005</v>
      </c>
      <c r="B214" s="466">
        <v>2669</v>
      </c>
      <c r="C214" s="467">
        <f t="shared" si="39"/>
        <v>5950079.212697675</v>
      </c>
      <c r="D214" s="467">
        <f t="shared" si="40"/>
        <v>1232172.3196375303</v>
      </c>
      <c r="E214" s="467">
        <v>0</v>
      </c>
      <c r="F214" s="467">
        <f t="shared" si="41"/>
        <v>7182251.532335206</v>
      </c>
      <c r="G214" s="468">
        <f t="shared" si="42"/>
        <v>2690.9897086306505</v>
      </c>
      <c r="H214" s="459">
        <f t="shared" si="43"/>
        <v>1094.3402913693494</v>
      </c>
      <c r="I214" s="379">
        <f t="shared" si="44"/>
      </c>
      <c r="J214" s="379">
        <f t="shared" si="45"/>
      </c>
      <c r="K214" s="460">
        <f t="shared" si="46"/>
        <v>875.4722330954796</v>
      </c>
      <c r="L214" s="487">
        <f t="shared" si="47"/>
        <v>2336635.390131835</v>
      </c>
      <c r="M214" s="487"/>
      <c r="N214" s="477">
        <v>620</v>
      </c>
      <c r="O214" s="388" t="s">
        <v>1005</v>
      </c>
      <c r="P214" s="470">
        <v>0</v>
      </c>
      <c r="Q214" s="471" t="s">
        <v>787</v>
      </c>
      <c r="X214" s="472" t="s">
        <v>254</v>
      </c>
      <c r="Y214" s="473">
        <v>21.5</v>
      </c>
      <c r="Z214" s="474">
        <v>6444670.18</v>
      </c>
      <c r="AA214" s="475">
        <f t="shared" si="48"/>
        <v>29975210.139534883</v>
      </c>
      <c r="AB214" s="474">
        <v>1232172.3196375303</v>
      </c>
      <c r="AE214" s="488">
        <v>620</v>
      </c>
      <c r="AF214">
        <f t="shared" si="49"/>
        <v>0</v>
      </c>
      <c r="AH214" s="476">
        <v>6426.722729349489</v>
      </c>
      <c r="AI214">
        <f t="shared" si="50"/>
        <v>6426722.729349489</v>
      </c>
      <c r="AJ214" s="489">
        <v>1238.999336</v>
      </c>
      <c r="AK214">
        <f t="shared" si="51"/>
        <v>1238999.3360000001</v>
      </c>
    </row>
    <row r="215" spans="1:37" ht="15" customHeight="1">
      <c r="A215" s="452" t="s">
        <v>1006</v>
      </c>
      <c r="B215" s="466">
        <v>2208</v>
      </c>
      <c r="C215" s="467">
        <f t="shared" si="39"/>
        <v>5870443.158575001</v>
      </c>
      <c r="D215" s="467">
        <f t="shared" si="40"/>
        <v>1442334.1776139806</v>
      </c>
      <c r="E215" s="467">
        <v>0</v>
      </c>
      <c r="F215" s="467">
        <f t="shared" si="41"/>
        <v>7312777.336188981</v>
      </c>
      <c r="G215" s="468">
        <f t="shared" si="42"/>
        <v>3311.946257331966</v>
      </c>
      <c r="H215" s="459">
        <f t="shared" si="43"/>
        <v>473.38374266803385</v>
      </c>
      <c r="I215" s="379">
        <f t="shared" si="44"/>
      </c>
      <c r="J215" s="379">
        <f t="shared" si="45"/>
      </c>
      <c r="K215" s="460">
        <f t="shared" si="46"/>
        <v>378.7069941344271</v>
      </c>
      <c r="L215" s="487">
        <f t="shared" si="47"/>
        <v>836185.043048815</v>
      </c>
      <c r="M215" s="487"/>
      <c r="N215" s="477">
        <v>623</v>
      </c>
      <c r="O215" s="388" t="s">
        <v>1006</v>
      </c>
      <c r="P215" s="470">
        <v>0</v>
      </c>
      <c r="Q215" s="471" t="s">
        <v>746</v>
      </c>
      <c r="X215" s="472" t="s">
        <v>255</v>
      </c>
      <c r="Y215" s="473">
        <v>20</v>
      </c>
      <c r="Z215" s="474">
        <v>5914804.19</v>
      </c>
      <c r="AA215" s="475">
        <f t="shared" si="48"/>
        <v>29574020.95</v>
      </c>
      <c r="AB215" s="474">
        <v>1442334.1776139806</v>
      </c>
      <c r="AE215" s="488">
        <v>623</v>
      </c>
      <c r="AF215">
        <f t="shared" si="49"/>
        <v>0</v>
      </c>
      <c r="AH215" s="476">
        <v>5943.771259982684</v>
      </c>
      <c r="AI215">
        <f t="shared" si="50"/>
        <v>5943771.259982684</v>
      </c>
      <c r="AJ215" s="489">
        <v>1450.325624</v>
      </c>
      <c r="AK215">
        <f t="shared" si="51"/>
        <v>1450325.624</v>
      </c>
    </row>
    <row r="216" spans="1:37" ht="15" customHeight="1">
      <c r="A216" s="452" t="s">
        <v>256</v>
      </c>
      <c r="B216" s="466">
        <v>5264</v>
      </c>
      <c r="C216" s="467">
        <f t="shared" si="39"/>
        <v>17581746.381481484</v>
      </c>
      <c r="D216" s="467">
        <f t="shared" si="40"/>
        <v>794359.9817452604</v>
      </c>
      <c r="E216" s="467">
        <v>0</v>
      </c>
      <c r="F216" s="467">
        <f t="shared" si="41"/>
        <v>18376106.363226745</v>
      </c>
      <c r="G216" s="468">
        <f t="shared" si="42"/>
        <v>3490.901664746722</v>
      </c>
      <c r="H216" s="459">
        <f t="shared" si="43"/>
        <v>294.42833525327796</v>
      </c>
      <c r="I216" s="379">
        <f t="shared" si="44"/>
      </c>
      <c r="J216" s="379">
        <f t="shared" si="45"/>
      </c>
      <c r="K216" s="460">
        <f t="shared" si="46"/>
        <v>235.5426682026224</v>
      </c>
      <c r="L216" s="487">
        <f t="shared" si="47"/>
        <v>1239896.6054186043</v>
      </c>
      <c r="M216" s="487"/>
      <c r="N216" s="477">
        <v>624</v>
      </c>
      <c r="O216" s="478" t="s">
        <v>1007</v>
      </c>
      <c r="P216" s="470">
        <v>1</v>
      </c>
      <c r="Q216" s="471" t="s">
        <v>767</v>
      </c>
      <c r="X216" s="472" t="s">
        <v>256</v>
      </c>
      <c r="Y216" s="473">
        <v>20.25</v>
      </c>
      <c r="Z216" s="474">
        <v>17936038.5</v>
      </c>
      <c r="AA216" s="475">
        <f t="shared" si="48"/>
        <v>88573029.62962963</v>
      </c>
      <c r="AB216" s="474">
        <v>794359.9817452604</v>
      </c>
      <c r="AE216" s="488">
        <v>624</v>
      </c>
      <c r="AF216">
        <f t="shared" si="49"/>
        <v>0</v>
      </c>
      <c r="AH216" s="476">
        <v>18130.676761319744</v>
      </c>
      <c r="AI216">
        <f t="shared" si="50"/>
        <v>18130676.761319745</v>
      </c>
      <c r="AJ216" s="489">
        <v>798.7612399999999</v>
      </c>
      <c r="AK216">
        <f t="shared" si="51"/>
        <v>798761.2399999999</v>
      </c>
    </row>
    <row r="217" spans="1:37" ht="15" customHeight="1">
      <c r="A217" s="452" t="s">
        <v>1008</v>
      </c>
      <c r="B217" s="466">
        <v>3189</v>
      </c>
      <c r="C217" s="467">
        <f t="shared" si="39"/>
        <v>8787944.83051852</v>
      </c>
      <c r="D217" s="467">
        <f t="shared" si="40"/>
        <v>583955.631330758</v>
      </c>
      <c r="E217" s="467">
        <v>0</v>
      </c>
      <c r="F217" s="467">
        <f t="shared" si="41"/>
        <v>9371900.461849278</v>
      </c>
      <c r="G217" s="468">
        <f t="shared" si="42"/>
        <v>2938.8210918310688</v>
      </c>
      <c r="H217" s="459">
        <f t="shared" si="43"/>
        <v>846.5089081689312</v>
      </c>
      <c r="I217" s="379">
        <f t="shared" si="44"/>
      </c>
      <c r="J217" s="379">
        <f t="shared" si="45"/>
      </c>
      <c r="K217" s="460">
        <f t="shared" si="46"/>
        <v>677.207126535145</v>
      </c>
      <c r="L217" s="487">
        <f t="shared" si="47"/>
        <v>2159613.5265205773</v>
      </c>
      <c r="M217" s="487"/>
      <c r="N217" s="477">
        <v>625</v>
      </c>
      <c r="O217" s="388" t="s">
        <v>1008</v>
      </c>
      <c r="P217" s="470">
        <v>0</v>
      </c>
      <c r="Q217" s="471" t="s">
        <v>736</v>
      </c>
      <c r="X217" s="472" t="s">
        <v>257</v>
      </c>
      <c r="Y217" s="473">
        <v>20.25</v>
      </c>
      <c r="Z217" s="474">
        <v>8965031.88</v>
      </c>
      <c r="AA217" s="475">
        <f t="shared" si="48"/>
        <v>44271762.37037037</v>
      </c>
      <c r="AB217" s="474">
        <v>583955.631330758</v>
      </c>
      <c r="AE217" s="488">
        <v>625</v>
      </c>
      <c r="AF217">
        <f t="shared" si="49"/>
        <v>0</v>
      </c>
      <c r="AH217" s="476">
        <v>9045.311397298108</v>
      </c>
      <c r="AI217">
        <f t="shared" si="50"/>
        <v>9045311.397298109</v>
      </c>
      <c r="AJ217" s="489">
        <v>587.191116</v>
      </c>
      <c r="AK217">
        <f t="shared" si="51"/>
        <v>587191.1159999999</v>
      </c>
    </row>
    <row r="218" spans="1:37" ht="15" customHeight="1">
      <c r="A218" s="452" t="s">
        <v>258</v>
      </c>
      <c r="B218" s="466">
        <v>5337</v>
      </c>
      <c r="C218" s="467">
        <f t="shared" si="39"/>
        <v>13795046.898650603</v>
      </c>
      <c r="D218" s="467">
        <f t="shared" si="40"/>
        <v>4808803.59728192</v>
      </c>
      <c r="E218" s="467">
        <v>0</v>
      </c>
      <c r="F218" s="467">
        <f t="shared" si="41"/>
        <v>18603850.495932523</v>
      </c>
      <c r="G218" s="468">
        <f t="shared" si="42"/>
        <v>3485.8254629815483</v>
      </c>
      <c r="H218" s="459">
        <f t="shared" si="43"/>
        <v>299.50453701845163</v>
      </c>
      <c r="I218" s="379">
        <f t="shared" si="44"/>
      </c>
      <c r="J218" s="379">
        <f t="shared" si="45"/>
      </c>
      <c r="K218" s="460">
        <f t="shared" si="46"/>
        <v>239.6036296147613</v>
      </c>
      <c r="L218" s="487">
        <f t="shared" si="47"/>
        <v>1278764.571253981</v>
      </c>
      <c r="M218" s="487"/>
      <c r="N218" s="477">
        <v>626</v>
      </c>
      <c r="O218" s="388" t="s">
        <v>258</v>
      </c>
      <c r="P218" s="470">
        <v>0</v>
      </c>
      <c r="Q218" s="471" t="s">
        <v>736</v>
      </c>
      <c r="X218" s="472" t="s">
        <v>258</v>
      </c>
      <c r="Y218" s="473">
        <v>20.75</v>
      </c>
      <c r="Z218" s="474">
        <v>14420515.02</v>
      </c>
      <c r="AA218" s="475">
        <f t="shared" si="48"/>
        <v>69496457.92771085</v>
      </c>
      <c r="AB218" s="474">
        <v>4808803.59728192</v>
      </c>
      <c r="AE218" s="488">
        <v>626</v>
      </c>
      <c r="AF218">
        <f t="shared" si="49"/>
        <v>0</v>
      </c>
      <c r="AH218" s="476">
        <v>14437.041626423712</v>
      </c>
      <c r="AI218">
        <f t="shared" si="50"/>
        <v>14437041.626423713</v>
      </c>
      <c r="AJ218" s="489">
        <v>4835.4474199999995</v>
      </c>
      <c r="AK218">
        <f t="shared" si="51"/>
        <v>4835447.42</v>
      </c>
    </row>
    <row r="219" spans="1:37" ht="15" customHeight="1">
      <c r="A219" s="452" t="s">
        <v>1009</v>
      </c>
      <c r="B219" s="466">
        <v>1579</v>
      </c>
      <c r="C219" s="467">
        <f t="shared" si="39"/>
        <v>3699652.3269873424</v>
      </c>
      <c r="D219" s="467">
        <f t="shared" si="40"/>
        <v>630088.6491444764</v>
      </c>
      <c r="E219" s="467">
        <v>0</v>
      </c>
      <c r="F219" s="467">
        <f t="shared" si="41"/>
        <v>4329740.976131819</v>
      </c>
      <c r="G219" s="468">
        <f t="shared" si="42"/>
        <v>2742.0778822874095</v>
      </c>
      <c r="H219" s="459">
        <f t="shared" si="43"/>
        <v>1043.2521177125905</v>
      </c>
      <c r="I219" s="379">
        <f t="shared" si="44"/>
      </c>
      <c r="J219" s="379">
        <f t="shared" si="45"/>
      </c>
      <c r="K219" s="460">
        <f t="shared" si="46"/>
        <v>834.6016941700724</v>
      </c>
      <c r="L219" s="487">
        <f t="shared" si="47"/>
        <v>1317836.0750945443</v>
      </c>
      <c r="M219" s="487"/>
      <c r="N219" s="477">
        <v>630</v>
      </c>
      <c r="O219" s="388" t="s">
        <v>1009</v>
      </c>
      <c r="P219" s="470">
        <v>0</v>
      </c>
      <c r="Q219" s="471" t="s">
        <v>736</v>
      </c>
      <c r="X219" s="472" t="s">
        <v>259</v>
      </c>
      <c r="Y219" s="473">
        <v>19.75</v>
      </c>
      <c r="Z219" s="474">
        <v>3681014.28</v>
      </c>
      <c r="AA219" s="475">
        <f t="shared" si="48"/>
        <v>18638046.987341773</v>
      </c>
      <c r="AB219" s="474">
        <v>630088.6491444764</v>
      </c>
      <c r="AE219" s="488">
        <v>630</v>
      </c>
      <c r="AF219">
        <f t="shared" si="49"/>
        <v>0</v>
      </c>
      <c r="AH219" s="476">
        <v>3671.3376573619644</v>
      </c>
      <c r="AI219">
        <f t="shared" si="50"/>
        <v>3671337.657361964</v>
      </c>
      <c r="AJ219" s="489">
        <v>633.57974</v>
      </c>
      <c r="AK219">
        <f t="shared" si="51"/>
        <v>633579.74</v>
      </c>
    </row>
    <row r="220" spans="1:37" ht="15" customHeight="1">
      <c r="A220" s="452" t="s">
        <v>1010</v>
      </c>
      <c r="B220" s="466">
        <v>2077</v>
      </c>
      <c r="C220" s="467">
        <f t="shared" si="39"/>
        <v>6584992.309149426</v>
      </c>
      <c r="D220" s="467">
        <f t="shared" si="40"/>
        <v>309821.38894911204</v>
      </c>
      <c r="E220" s="467">
        <v>0</v>
      </c>
      <c r="F220" s="467">
        <f t="shared" si="41"/>
        <v>6894813.698098538</v>
      </c>
      <c r="G220" s="468">
        <f t="shared" si="42"/>
        <v>3319.602165670938</v>
      </c>
      <c r="H220" s="459">
        <f t="shared" si="43"/>
        <v>465.7278343290618</v>
      </c>
      <c r="I220" s="379">
        <f t="shared" si="44"/>
      </c>
      <c r="J220" s="379">
        <f t="shared" si="45"/>
      </c>
      <c r="K220" s="460">
        <f t="shared" si="46"/>
        <v>372.5822674632495</v>
      </c>
      <c r="L220" s="487">
        <f t="shared" si="47"/>
        <v>773853.3695211692</v>
      </c>
      <c r="M220" s="487"/>
      <c r="N220" s="477">
        <v>631</v>
      </c>
      <c r="O220" s="388" t="s">
        <v>1010</v>
      </c>
      <c r="P220" s="470">
        <v>0</v>
      </c>
      <c r="Q220" s="471" t="s">
        <v>743</v>
      </c>
      <c r="X220" s="472" t="s">
        <v>260</v>
      </c>
      <c r="Y220" s="473">
        <v>21.75</v>
      </c>
      <c r="Z220" s="474">
        <v>7215293.84</v>
      </c>
      <c r="AA220" s="475">
        <f t="shared" si="48"/>
        <v>33173764.781609196</v>
      </c>
      <c r="AB220" s="474">
        <v>309821.38894911204</v>
      </c>
      <c r="AE220" s="488">
        <v>631</v>
      </c>
      <c r="AF220">
        <f t="shared" si="49"/>
        <v>0</v>
      </c>
      <c r="AH220" s="476">
        <v>7241.156246353083</v>
      </c>
      <c r="AI220">
        <f t="shared" si="50"/>
        <v>7241156.246353082</v>
      </c>
      <c r="AJ220" s="489">
        <v>311.53799599999996</v>
      </c>
      <c r="AK220">
        <f t="shared" si="51"/>
        <v>311537.996</v>
      </c>
    </row>
    <row r="221" spans="1:37" ht="15" customHeight="1">
      <c r="A221" s="452" t="s">
        <v>1011</v>
      </c>
      <c r="B221" s="466">
        <v>6567</v>
      </c>
      <c r="C221" s="467">
        <f t="shared" si="39"/>
        <v>18262803.934452385</v>
      </c>
      <c r="D221" s="467">
        <f t="shared" si="40"/>
        <v>1197078.9710525253</v>
      </c>
      <c r="E221" s="467">
        <v>0</v>
      </c>
      <c r="F221" s="467">
        <f t="shared" si="41"/>
        <v>19459882.90550491</v>
      </c>
      <c r="G221" s="468">
        <f t="shared" si="42"/>
        <v>2963.2835245172696</v>
      </c>
      <c r="H221" s="459">
        <f t="shared" si="43"/>
        <v>822.0464754827303</v>
      </c>
      <c r="I221" s="379">
        <f t="shared" si="44"/>
      </c>
      <c r="J221" s="379">
        <f t="shared" si="45"/>
      </c>
      <c r="K221" s="460">
        <f t="shared" si="46"/>
        <v>657.6371803861844</v>
      </c>
      <c r="L221" s="487">
        <f t="shared" si="47"/>
        <v>4318703.363596072</v>
      </c>
      <c r="M221" s="487"/>
      <c r="N221" s="477">
        <v>635</v>
      </c>
      <c r="O221" s="388" t="s">
        <v>1011</v>
      </c>
      <c r="P221" s="470">
        <v>0</v>
      </c>
      <c r="Q221" s="471" t="s">
        <v>744</v>
      </c>
      <c r="X221" s="472" t="s">
        <v>261</v>
      </c>
      <c r="Y221" s="473">
        <v>21</v>
      </c>
      <c r="Z221" s="474">
        <v>19320850.51</v>
      </c>
      <c r="AA221" s="475">
        <f t="shared" si="48"/>
        <v>92004050.04761906</v>
      </c>
      <c r="AB221" s="474">
        <v>1197078.9710525253</v>
      </c>
      <c r="AE221" s="488">
        <v>635</v>
      </c>
      <c r="AF221">
        <f t="shared" si="49"/>
        <v>0</v>
      </c>
      <c r="AH221" s="476">
        <v>19227.10332581389</v>
      </c>
      <c r="AI221">
        <f t="shared" si="50"/>
        <v>19227103.32581389</v>
      </c>
      <c r="AJ221" s="489">
        <v>1203.711548</v>
      </c>
      <c r="AK221">
        <f t="shared" si="51"/>
        <v>1203711.548</v>
      </c>
    </row>
    <row r="222" spans="1:37" ht="15" customHeight="1">
      <c r="A222" s="465" t="s">
        <v>1012</v>
      </c>
      <c r="B222" s="466">
        <v>8422</v>
      </c>
      <c r="C222" s="467">
        <f t="shared" si="39"/>
        <v>22365472.025858827</v>
      </c>
      <c r="D222" s="467">
        <f t="shared" si="40"/>
        <v>1661761.789435772</v>
      </c>
      <c r="E222" s="467">
        <v>0</v>
      </c>
      <c r="F222" s="467">
        <f t="shared" si="41"/>
        <v>24027233.815294597</v>
      </c>
      <c r="G222" s="468">
        <f t="shared" si="42"/>
        <v>2852.9130628466633</v>
      </c>
      <c r="H222" s="459">
        <f t="shared" si="43"/>
        <v>932.4169371533367</v>
      </c>
      <c r="I222" s="379">
        <f t="shared" si="44"/>
      </c>
      <c r="J222" s="379">
        <f t="shared" si="45"/>
      </c>
      <c r="K222" s="460">
        <f t="shared" si="46"/>
        <v>745.9335497226693</v>
      </c>
      <c r="L222" s="487">
        <f t="shared" si="47"/>
        <v>6282252.355764321</v>
      </c>
      <c r="M222" s="487"/>
      <c r="N222" s="469">
        <v>636</v>
      </c>
      <c r="O222" s="388" t="s">
        <v>1012</v>
      </c>
      <c r="P222" s="470">
        <v>0</v>
      </c>
      <c r="Q222" s="471" t="s">
        <v>743</v>
      </c>
      <c r="X222" s="472" t="s">
        <v>262</v>
      </c>
      <c r="Y222" s="473">
        <v>21.25</v>
      </c>
      <c r="Z222" s="474">
        <v>23942885.67</v>
      </c>
      <c r="AA222" s="475">
        <f t="shared" si="48"/>
        <v>112672403.15294118</v>
      </c>
      <c r="AB222" s="474">
        <v>1661761.789435772</v>
      </c>
      <c r="AE222" s="488">
        <v>636</v>
      </c>
      <c r="AF222">
        <f t="shared" si="49"/>
        <v>0</v>
      </c>
      <c r="AH222" s="476">
        <v>23706.778953633795</v>
      </c>
      <c r="AI222">
        <f t="shared" si="50"/>
        <v>23706778.953633796</v>
      </c>
      <c r="AJ222" s="489">
        <v>1670.969004</v>
      </c>
      <c r="AK222">
        <f t="shared" si="51"/>
        <v>1670969.004</v>
      </c>
    </row>
    <row r="223" spans="1:37" ht="15" customHeight="1">
      <c r="A223" s="452" t="s">
        <v>1013</v>
      </c>
      <c r="B223" s="466">
        <v>50159</v>
      </c>
      <c r="C223" s="467">
        <f t="shared" si="39"/>
        <v>193310357.74653164</v>
      </c>
      <c r="D223" s="467">
        <f t="shared" si="40"/>
        <v>21972486.978409436</v>
      </c>
      <c r="E223" s="467">
        <v>0</v>
      </c>
      <c r="F223" s="467">
        <f t="shared" si="41"/>
        <v>215282844.72494107</v>
      </c>
      <c r="G223" s="468">
        <f t="shared" si="42"/>
        <v>4292.00830807913</v>
      </c>
      <c r="H223" s="459">
        <f t="shared" si="43"/>
        <v>-506.67830807913015</v>
      </c>
      <c r="I223" s="379">
        <f t="shared" si="44"/>
        <v>6.227876301380225</v>
      </c>
      <c r="J223" s="379">
        <f t="shared" si="45"/>
        <v>36.22787630138023</v>
      </c>
      <c r="K223" s="460">
        <f t="shared" si="46"/>
        <v>-183.55879069683348</v>
      </c>
      <c r="L223" s="487">
        <f t="shared" si="47"/>
        <v>-9207125.382562472</v>
      </c>
      <c r="M223" s="487"/>
      <c r="N223" s="477">
        <v>638</v>
      </c>
      <c r="O223" s="478" t="s">
        <v>1014</v>
      </c>
      <c r="P223" s="470">
        <v>1</v>
      </c>
      <c r="Q223" s="471" t="s">
        <v>741</v>
      </c>
      <c r="X223" s="472" t="s">
        <v>249</v>
      </c>
      <c r="Y223" s="473">
        <v>19.75</v>
      </c>
      <c r="Z223" s="474">
        <v>192336502.04</v>
      </c>
      <c r="AA223" s="475">
        <f t="shared" si="48"/>
        <v>973855706.5316455</v>
      </c>
      <c r="AB223" s="474">
        <v>21972486.978409436</v>
      </c>
      <c r="AE223" s="488">
        <v>638</v>
      </c>
      <c r="AF223">
        <f t="shared" si="49"/>
        <v>0</v>
      </c>
      <c r="AH223" s="476">
        <v>192440.83007380276</v>
      </c>
      <c r="AI223">
        <f t="shared" si="50"/>
        <v>192440830.07380277</v>
      </c>
      <c r="AJ223" s="489">
        <v>22094.228496</v>
      </c>
      <c r="AK223">
        <f t="shared" si="51"/>
        <v>22094228.496</v>
      </c>
    </row>
    <row r="224" spans="1:37" ht="15" customHeight="1">
      <c r="A224" s="452" t="s">
        <v>1015</v>
      </c>
      <c r="B224" s="466">
        <v>25001</v>
      </c>
      <c r="C224" s="467">
        <f t="shared" si="39"/>
        <v>77224153.0729762</v>
      </c>
      <c r="D224" s="467">
        <f t="shared" si="40"/>
        <v>3305602.6959323487</v>
      </c>
      <c r="E224" s="467">
        <v>0</v>
      </c>
      <c r="F224" s="467">
        <f t="shared" si="41"/>
        <v>80529755.76890855</v>
      </c>
      <c r="G224" s="468">
        <f t="shared" si="42"/>
        <v>3221.06138830081</v>
      </c>
      <c r="H224" s="459">
        <f t="shared" si="43"/>
        <v>564.2686116991899</v>
      </c>
      <c r="I224" s="379">
        <f t="shared" si="44"/>
      </c>
      <c r="J224" s="379">
        <f t="shared" si="45"/>
      </c>
      <c r="K224" s="460">
        <f t="shared" si="46"/>
        <v>451.41488935935195</v>
      </c>
      <c r="L224" s="487">
        <f t="shared" si="47"/>
        <v>11285823.648873158</v>
      </c>
      <c r="M224" s="487"/>
      <c r="N224" s="477">
        <v>678</v>
      </c>
      <c r="O224" s="478" t="s">
        <v>1016</v>
      </c>
      <c r="P224" s="470">
        <v>0</v>
      </c>
      <c r="Q224" s="471" t="s">
        <v>736</v>
      </c>
      <c r="X224" s="472" t="s">
        <v>263</v>
      </c>
      <c r="Y224" s="473">
        <v>21</v>
      </c>
      <c r="Z224" s="474">
        <v>81698096.45</v>
      </c>
      <c r="AA224" s="475">
        <f t="shared" si="48"/>
        <v>389038554.52380955</v>
      </c>
      <c r="AB224" s="474">
        <v>3305602.6959323487</v>
      </c>
      <c r="AE224" s="488">
        <v>678</v>
      </c>
      <c r="AF224">
        <f t="shared" si="49"/>
        <v>0</v>
      </c>
      <c r="AH224" s="476">
        <v>82033.57580163743</v>
      </c>
      <c r="AI224">
        <f t="shared" si="50"/>
        <v>82033575.80163743</v>
      </c>
      <c r="AJ224" s="489">
        <v>3323.917832</v>
      </c>
      <c r="AK224">
        <f t="shared" si="51"/>
        <v>3323917.832</v>
      </c>
    </row>
    <row r="225" spans="1:37" ht="15" customHeight="1">
      <c r="A225" s="452" t="s">
        <v>1017</v>
      </c>
      <c r="B225" s="466">
        <v>24234</v>
      </c>
      <c r="C225" s="467">
        <f t="shared" si="39"/>
        <v>86056221.99450634</v>
      </c>
      <c r="D225" s="467">
        <f t="shared" si="40"/>
        <v>5664981.202176751</v>
      </c>
      <c r="E225" s="467">
        <v>0</v>
      </c>
      <c r="F225" s="467">
        <f t="shared" si="41"/>
        <v>91721203.1966831</v>
      </c>
      <c r="G225" s="468">
        <f t="shared" si="42"/>
        <v>3784.814855025299</v>
      </c>
      <c r="H225" s="459">
        <f t="shared" si="43"/>
        <v>0.5151449747008883</v>
      </c>
      <c r="I225" s="379">
        <f t="shared" si="44"/>
      </c>
      <c r="J225" s="379">
        <f t="shared" si="45"/>
      </c>
      <c r="K225" s="460">
        <f t="shared" si="46"/>
        <v>0.4121159797607106</v>
      </c>
      <c r="L225" s="487">
        <f t="shared" si="47"/>
        <v>9987.218653521062</v>
      </c>
      <c r="M225" s="487"/>
      <c r="N225" s="477">
        <v>680</v>
      </c>
      <c r="O225" s="478" t="s">
        <v>1018</v>
      </c>
      <c r="P225" s="470">
        <v>0</v>
      </c>
      <c r="Q225" s="471" t="s">
        <v>743</v>
      </c>
      <c r="X225" s="472" t="s">
        <v>265</v>
      </c>
      <c r="Y225" s="473">
        <v>19.75</v>
      </c>
      <c r="Z225" s="474">
        <v>85622689.39</v>
      </c>
      <c r="AA225" s="475">
        <f t="shared" si="48"/>
        <v>433532604.5063291</v>
      </c>
      <c r="AB225" s="474">
        <v>5664981.202176751</v>
      </c>
      <c r="AD225" s="1"/>
      <c r="AE225" s="488">
        <v>680</v>
      </c>
      <c r="AF225">
        <f t="shared" si="49"/>
        <v>0</v>
      </c>
      <c r="AG225" s="1"/>
      <c r="AH225" s="476">
        <v>86071.2353609159</v>
      </c>
      <c r="AI225">
        <f t="shared" si="50"/>
        <v>86071235.3609159</v>
      </c>
      <c r="AJ225" s="489">
        <v>5696.368792</v>
      </c>
      <c r="AK225">
        <f t="shared" si="51"/>
        <v>5696368.792</v>
      </c>
    </row>
    <row r="226" spans="1:37" ht="15" customHeight="1">
      <c r="A226" s="452" t="s">
        <v>1019</v>
      </c>
      <c r="B226" s="466">
        <v>3553</v>
      </c>
      <c r="C226" s="467">
        <f t="shared" si="39"/>
        <v>8371666.531523811</v>
      </c>
      <c r="D226" s="467">
        <f t="shared" si="40"/>
        <v>1057688.0730594317</v>
      </c>
      <c r="E226" s="467">
        <v>0</v>
      </c>
      <c r="F226" s="467">
        <f t="shared" si="41"/>
        <v>9429354.604583243</v>
      </c>
      <c r="G226" s="468">
        <f t="shared" si="42"/>
        <v>2653.913482854839</v>
      </c>
      <c r="H226" s="459">
        <f t="shared" si="43"/>
        <v>1131.416517145161</v>
      </c>
      <c r="I226" s="379">
        <f t="shared" si="44"/>
      </c>
      <c r="J226" s="379">
        <f t="shared" si="45"/>
      </c>
      <c r="K226" s="460">
        <f t="shared" si="46"/>
        <v>905.1332137161288</v>
      </c>
      <c r="L226" s="487">
        <f t="shared" si="47"/>
        <v>3215938.3083334058</v>
      </c>
      <c r="M226" s="487"/>
      <c r="N226" s="477">
        <v>681</v>
      </c>
      <c r="O226" s="388" t="s">
        <v>1019</v>
      </c>
      <c r="P226" s="470">
        <v>0</v>
      </c>
      <c r="Q226" s="471" t="s">
        <v>746</v>
      </c>
      <c r="X226" s="472" t="s">
        <v>266</v>
      </c>
      <c r="Y226" s="473">
        <v>21</v>
      </c>
      <c r="Z226" s="474">
        <v>8856674.92</v>
      </c>
      <c r="AA226" s="475">
        <f t="shared" si="48"/>
        <v>42174642.47619048</v>
      </c>
      <c r="AB226" s="474">
        <v>1057688.0730594317</v>
      </c>
      <c r="AE226" s="488">
        <v>681</v>
      </c>
      <c r="AF226">
        <f t="shared" si="49"/>
        <v>0</v>
      </c>
      <c r="AH226" s="476">
        <v>8774.97702242473</v>
      </c>
      <c r="AI226">
        <f t="shared" si="50"/>
        <v>8774977.02242473</v>
      </c>
      <c r="AJ226" s="489">
        <v>1063.548336</v>
      </c>
      <c r="AK226">
        <f t="shared" si="51"/>
        <v>1063548.3360000001</v>
      </c>
    </row>
    <row r="227" spans="1:37" s="1" customFormat="1" ht="15" customHeight="1">
      <c r="A227" s="452" t="s">
        <v>1020</v>
      </c>
      <c r="B227" s="466">
        <v>3972</v>
      </c>
      <c r="C227" s="467">
        <f t="shared" si="39"/>
        <v>8210273.026962025</v>
      </c>
      <c r="D227" s="467">
        <f t="shared" si="40"/>
        <v>597971.3951075886</v>
      </c>
      <c r="E227" s="467">
        <v>0</v>
      </c>
      <c r="F227" s="467">
        <f t="shared" si="41"/>
        <v>8808244.422069613</v>
      </c>
      <c r="G227" s="468">
        <f t="shared" si="42"/>
        <v>2217.584194881574</v>
      </c>
      <c r="H227" s="459">
        <f t="shared" si="43"/>
        <v>1567.7458051184258</v>
      </c>
      <c r="I227" s="379">
        <f t="shared" si="44"/>
      </c>
      <c r="J227" s="379">
        <f t="shared" si="45"/>
      </c>
      <c r="K227" s="460">
        <f t="shared" si="46"/>
        <v>1254.1966440947408</v>
      </c>
      <c r="L227" s="487">
        <f t="shared" si="47"/>
        <v>4981669.07034431</v>
      </c>
      <c r="M227" s="487"/>
      <c r="N227" s="477">
        <v>683</v>
      </c>
      <c r="O227" s="388" t="s">
        <v>1020</v>
      </c>
      <c r="P227" s="470">
        <v>0</v>
      </c>
      <c r="Q227" s="471" t="s">
        <v>749</v>
      </c>
      <c r="R227"/>
      <c r="V227"/>
      <c r="W227"/>
      <c r="X227" s="472" t="s">
        <v>267</v>
      </c>
      <c r="Y227" s="473">
        <v>19.75</v>
      </c>
      <c r="Z227" s="474">
        <v>8168911.45</v>
      </c>
      <c r="AA227" s="475">
        <f t="shared" si="48"/>
        <v>41361576.962025315</v>
      </c>
      <c r="AB227" s="474">
        <v>597971.3951075886</v>
      </c>
      <c r="AD227"/>
      <c r="AE227" s="488">
        <v>683</v>
      </c>
      <c r="AF227">
        <f t="shared" si="49"/>
        <v>0</v>
      </c>
      <c r="AG227"/>
      <c r="AH227" s="476">
        <v>8182.342648149972</v>
      </c>
      <c r="AI227">
        <f t="shared" si="50"/>
        <v>8182342.648149972</v>
      </c>
      <c r="AJ227" s="489">
        <v>601.284536</v>
      </c>
      <c r="AK227">
        <f t="shared" si="51"/>
        <v>601284.536</v>
      </c>
    </row>
    <row r="228" spans="1:37" ht="15" customHeight="1">
      <c r="A228" s="452" t="s">
        <v>1021</v>
      </c>
      <c r="B228" s="466">
        <v>39620</v>
      </c>
      <c r="C228" s="467">
        <f t="shared" si="39"/>
        <v>146552375.98497498</v>
      </c>
      <c r="D228" s="467">
        <f t="shared" si="40"/>
        <v>16534862.72251108</v>
      </c>
      <c r="E228" s="467">
        <v>0</v>
      </c>
      <c r="F228" s="467">
        <f t="shared" si="41"/>
        <v>163087238.70748606</v>
      </c>
      <c r="G228" s="468">
        <f t="shared" si="42"/>
        <v>4116.285681662949</v>
      </c>
      <c r="H228" s="459">
        <f t="shared" si="43"/>
        <v>-330.95568166294925</v>
      </c>
      <c r="I228" s="379">
        <f t="shared" si="44"/>
        <v>5.801984474155743</v>
      </c>
      <c r="J228" s="379">
        <f t="shared" si="45"/>
        <v>35.801984474155745</v>
      </c>
      <c r="K228" s="460">
        <f t="shared" si="46"/>
        <v>-118.4887017653054</v>
      </c>
      <c r="L228" s="487">
        <f t="shared" si="47"/>
        <v>-4694522.363941399</v>
      </c>
      <c r="M228" s="487"/>
      <c r="N228" s="477">
        <v>684</v>
      </c>
      <c r="O228" s="478" t="s">
        <v>1022</v>
      </c>
      <c r="P228" s="470">
        <v>0</v>
      </c>
      <c r="Q228" s="471" t="s">
        <v>753</v>
      </c>
      <c r="X228" s="472" t="s">
        <v>268</v>
      </c>
      <c r="Y228" s="473">
        <v>20</v>
      </c>
      <c r="Z228" s="474">
        <v>147659824.67</v>
      </c>
      <c r="AA228" s="475">
        <f t="shared" si="48"/>
        <v>738299123.3499999</v>
      </c>
      <c r="AB228" s="474">
        <v>16534862.72251108</v>
      </c>
      <c r="AD228" s="1"/>
      <c r="AE228" s="488">
        <v>684</v>
      </c>
      <c r="AF228">
        <f t="shared" si="49"/>
        <v>0</v>
      </c>
      <c r="AG228" s="1"/>
      <c r="AH228" s="476">
        <v>147701.68383789394</v>
      </c>
      <c r="AI228">
        <f t="shared" si="50"/>
        <v>147701683.83789393</v>
      </c>
      <c r="AJ228" s="489">
        <v>16626.476352</v>
      </c>
      <c r="AK228">
        <f t="shared" si="51"/>
        <v>16626476.352000002</v>
      </c>
    </row>
    <row r="229" spans="1:37" ht="15" customHeight="1">
      <c r="A229" s="452" t="s">
        <v>1023</v>
      </c>
      <c r="B229" s="466">
        <v>3255</v>
      </c>
      <c r="C229" s="467">
        <f t="shared" si="39"/>
        <v>7798287.051431818</v>
      </c>
      <c r="D229" s="467">
        <f t="shared" si="40"/>
        <v>727166.9537487936</v>
      </c>
      <c r="E229" s="467">
        <v>0</v>
      </c>
      <c r="F229" s="467">
        <f t="shared" si="41"/>
        <v>8525454.005180612</v>
      </c>
      <c r="G229" s="468">
        <f t="shared" si="42"/>
        <v>2619.1870983657795</v>
      </c>
      <c r="H229" s="459">
        <f t="shared" si="43"/>
        <v>1166.1429016342204</v>
      </c>
      <c r="I229" s="379">
        <f t="shared" si="44"/>
      </c>
      <c r="J229" s="379">
        <f t="shared" si="45"/>
      </c>
      <c r="K229" s="460">
        <f t="shared" si="46"/>
        <v>932.9143213073763</v>
      </c>
      <c r="L229" s="487">
        <f t="shared" si="47"/>
        <v>3036636.11585551</v>
      </c>
      <c r="M229" s="487"/>
      <c r="N229" s="477">
        <v>686</v>
      </c>
      <c r="O229" s="388" t="s">
        <v>1023</v>
      </c>
      <c r="P229" s="470">
        <v>0</v>
      </c>
      <c r="Q229" s="471" t="s">
        <v>798</v>
      </c>
      <c r="X229" s="472" t="s">
        <v>269</v>
      </c>
      <c r="Y229" s="473">
        <v>22</v>
      </c>
      <c r="Z229" s="474">
        <v>8642937.79</v>
      </c>
      <c r="AA229" s="475">
        <f t="shared" si="48"/>
        <v>39286080.86363636</v>
      </c>
      <c r="AB229" s="474">
        <v>727166.9537487936</v>
      </c>
      <c r="AE229" s="488">
        <v>686</v>
      </c>
      <c r="AF229">
        <f t="shared" si="49"/>
        <v>0</v>
      </c>
      <c r="AH229" s="476">
        <v>8631.867297284083</v>
      </c>
      <c r="AI229">
        <f t="shared" si="50"/>
        <v>8631867.297284083</v>
      </c>
      <c r="AJ229" s="489">
        <v>731.19592</v>
      </c>
      <c r="AK229">
        <f t="shared" si="51"/>
        <v>731195.92</v>
      </c>
    </row>
    <row r="230" spans="1:37" s="1" customFormat="1" ht="15" customHeight="1">
      <c r="A230" s="452" t="s">
        <v>1024</v>
      </c>
      <c r="B230" s="466">
        <v>1698</v>
      </c>
      <c r="C230" s="467">
        <f t="shared" si="39"/>
        <v>3441768.437909091</v>
      </c>
      <c r="D230" s="467">
        <f t="shared" si="40"/>
        <v>1371729.2417516646</v>
      </c>
      <c r="E230" s="467">
        <v>0</v>
      </c>
      <c r="F230" s="467">
        <f t="shared" si="41"/>
        <v>4813497.679660755</v>
      </c>
      <c r="G230" s="468">
        <f t="shared" si="42"/>
        <v>2834.8042871971466</v>
      </c>
      <c r="H230" s="459">
        <f t="shared" si="43"/>
        <v>950.5257128028534</v>
      </c>
      <c r="I230" s="379">
        <f t="shared" si="44"/>
      </c>
      <c r="J230" s="379">
        <f t="shared" si="45"/>
      </c>
      <c r="K230" s="460">
        <f t="shared" si="46"/>
        <v>760.4205702422828</v>
      </c>
      <c r="L230" s="487">
        <f t="shared" si="47"/>
        <v>1291194.1282713963</v>
      </c>
      <c r="M230" s="487"/>
      <c r="N230" s="477">
        <v>687</v>
      </c>
      <c r="O230" s="388" t="s">
        <v>1024</v>
      </c>
      <c r="P230" s="470">
        <v>0</v>
      </c>
      <c r="Q230" s="471" t="s">
        <v>798</v>
      </c>
      <c r="R230"/>
      <c r="V230"/>
      <c r="W230"/>
      <c r="X230" s="472" t="s">
        <v>270</v>
      </c>
      <c r="Y230" s="473">
        <v>22</v>
      </c>
      <c r="Z230" s="474">
        <v>3814554.44</v>
      </c>
      <c r="AA230" s="475">
        <f t="shared" si="48"/>
        <v>17338883.818181816</v>
      </c>
      <c r="AB230" s="474">
        <v>1371729.2417516646</v>
      </c>
      <c r="AD230"/>
      <c r="AE230" s="488">
        <v>687</v>
      </c>
      <c r="AF230">
        <f t="shared" si="49"/>
        <v>0</v>
      </c>
      <c r="AG230"/>
      <c r="AH230" s="476">
        <v>3889.1793549115478</v>
      </c>
      <c r="AI230">
        <f t="shared" si="50"/>
        <v>3889179.3549115476</v>
      </c>
      <c r="AJ230" s="489">
        <v>1379.3294919999998</v>
      </c>
      <c r="AK230">
        <f t="shared" si="51"/>
        <v>1379329.4919999999</v>
      </c>
    </row>
    <row r="231" spans="1:37" ht="15" customHeight="1">
      <c r="A231" s="452" t="s">
        <v>1025</v>
      </c>
      <c r="B231" s="466">
        <v>3436</v>
      </c>
      <c r="C231" s="467">
        <f t="shared" si="39"/>
        <v>9999925.839407409</v>
      </c>
      <c r="D231" s="467">
        <f t="shared" si="40"/>
        <v>1387221.4610283368</v>
      </c>
      <c r="E231" s="467">
        <v>0</v>
      </c>
      <c r="F231" s="467">
        <f t="shared" si="41"/>
        <v>11387147.300435746</v>
      </c>
      <c r="G231" s="468">
        <f t="shared" si="42"/>
        <v>3314.0708092071436</v>
      </c>
      <c r="H231" s="459">
        <f t="shared" si="43"/>
        <v>471.2591907928563</v>
      </c>
      <c r="I231" s="379">
        <f t="shared" si="44"/>
      </c>
      <c r="J231" s="379">
        <f t="shared" si="45"/>
      </c>
      <c r="K231" s="460">
        <f t="shared" si="46"/>
        <v>377.0073526342851</v>
      </c>
      <c r="L231" s="487">
        <f t="shared" si="47"/>
        <v>1295397.2636514036</v>
      </c>
      <c r="M231" s="487"/>
      <c r="N231" s="477">
        <v>689</v>
      </c>
      <c r="O231" s="388" t="s">
        <v>1025</v>
      </c>
      <c r="P231" s="470">
        <v>0</v>
      </c>
      <c r="Q231" s="471" t="s">
        <v>816</v>
      </c>
      <c r="X231" s="472" t="s">
        <v>271</v>
      </c>
      <c r="Y231" s="473">
        <v>20.25</v>
      </c>
      <c r="Z231" s="474">
        <v>10201435.68</v>
      </c>
      <c r="AA231" s="475">
        <f t="shared" si="48"/>
        <v>50377460.14814815</v>
      </c>
      <c r="AB231" s="474">
        <v>1387221.4610283368</v>
      </c>
      <c r="AE231" s="488">
        <v>689</v>
      </c>
      <c r="AF231">
        <f t="shared" si="49"/>
        <v>0</v>
      </c>
      <c r="AH231" s="476">
        <v>10127.664455523869</v>
      </c>
      <c r="AI231">
        <f t="shared" si="50"/>
        <v>10127664.455523869</v>
      </c>
      <c r="AJ231" s="489">
        <v>1394.907548</v>
      </c>
      <c r="AK231">
        <f t="shared" si="51"/>
        <v>1394907.548</v>
      </c>
    </row>
    <row r="232" spans="1:37" ht="15" customHeight="1">
      <c r="A232" s="452" t="s">
        <v>1026</v>
      </c>
      <c r="B232" s="466">
        <v>2813</v>
      </c>
      <c r="C232" s="467">
        <f t="shared" si="39"/>
        <v>6382378.960511111</v>
      </c>
      <c r="D232" s="467">
        <f t="shared" si="40"/>
        <v>370925.93102024734</v>
      </c>
      <c r="E232" s="467">
        <v>0</v>
      </c>
      <c r="F232" s="467">
        <f t="shared" si="41"/>
        <v>6753304.8915313585</v>
      </c>
      <c r="G232" s="468">
        <f t="shared" si="42"/>
        <v>2400.7482728515315</v>
      </c>
      <c r="H232" s="459">
        <f t="shared" si="43"/>
        <v>1384.5817271484684</v>
      </c>
      <c r="I232" s="379">
        <f t="shared" si="44"/>
      </c>
      <c r="J232" s="379">
        <f t="shared" si="45"/>
      </c>
      <c r="K232" s="460">
        <f t="shared" si="46"/>
        <v>1107.6653817187748</v>
      </c>
      <c r="L232" s="487">
        <f t="shared" si="47"/>
        <v>3115862.718774914</v>
      </c>
      <c r="M232" s="487"/>
      <c r="N232" s="477">
        <v>691</v>
      </c>
      <c r="O232" s="388" t="s">
        <v>1026</v>
      </c>
      <c r="P232" s="470">
        <v>0</v>
      </c>
      <c r="Q232" s="471" t="s">
        <v>736</v>
      </c>
      <c r="X232" s="472" t="s">
        <v>272</v>
      </c>
      <c r="Y232" s="473">
        <v>22.5</v>
      </c>
      <c r="Z232" s="474">
        <v>7234434.59</v>
      </c>
      <c r="AA232" s="475">
        <f t="shared" si="48"/>
        <v>32153042.622222222</v>
      </c>
      <c r="AB232" s="474">
        <v>370925.93102024734</v>
      </c>
      <c r="AE232" s="488">
        <v>691</v>
      </c>
      <c r="AF232">
        <f t="shared" si="49"/>
        <v>0</v>
      </c>
      <c r="AH232" s="476">
        <v>6994.366789696848</v>
      </c>
      <c r="AI232">
        <f t="shared" si="50"/>
        <v>6994366.789696848</v>
      </c>
      <c r="AJ232" s="489">
        <v>372.98109600000004</v>
      </c>
      <c r="AK232">
        <f t="shared" si="51"/>
        <v>372981.096</v>
      </c>
    </row>
    <row r="233" spans="1:37" ht="15" customHeight="1">
      <c r="A233" s="452" t="s">
        <v>1027</v>
      </c>
      <c r="B233" s="466">
        <v>29021</v>
      </c>
      <c r="C233" s="467">
        <f t="shared" si="39"/>
        <v>100320713.94797562</v>
      </c>
      <c r="D233" s="467">
        <f t="shared" si="40"/>
        <v>8110300.000680013</v>
      </c>
      <c r="E233" s="467">
        <v>0</v>
      </c>
      <c r="F233" s="467">
        <f t="shared" si="41"/>
        <v>108431013.94865564</v>
      </c>
      <c r="G233" s="468">
        <f t="shared" si="42"/>
        <v>3736.2948881380944</v>
      </c>
      <c r="H233" s="459">
        <f t="shared" si="43"/>
        <v>49.035111861905534</v>
      </c>
      <c r="I233" s="379">
        <f t="shared" si="44"/>
      </c>
      <c r="J233" s="379">
        <f t="shared" si="45"/>
      </c>
      <c r="K233" s="460">
        <f t="shared" si="46"/>
        <v>39.22808948952443</v>
      </c>
      <c r="L233" s="487">
        <f t="shared" si="47"/>
        <v>1138438.3850754884</v>
      </c>
      <c r="M233" s="487"/>
      <c r="N233" s="477">
        <v>694</v>
      </c>
      <c r="O233" s="388" t="s">
        <v>1027</v>
      </c>
      <c r="P233" s="470">
        <v>0</v>
      </c>
      <c r="Q233" s="471" t="s">
        <v>758</v>
      </c>
      <c r="X233" s="472" t="s">
        <v>273</v>
      </c>
      <c r="Y233" s="473">
        <v>20.5</v>
      </c>
      <c r="Z233" s="474">
        <v>103605775.11</v>
      </c>
      <c r="AA233" s="475">
        <f t="shared" si="48"/>
        <v>505394024.9268293</v>
      </c>
      <c r="AB233" s="474">
        <v>8110300.000680013</v>
      </c>
      <c r="AE233" s="488">
        <v>694</v>
      </c>
      <c r="AF233">
        <f t="shared" si="49"/>
        <v>0</v>
      </c>
      <c r="AH233" s="476">
        <v>103719.18771039406</v>
      </c>
      <c r="AI233">
        <f t="shared" si="50"/>
        <v>103719187.71039407</v>
      </c>
      <c r="AJ233" s="489">
        <v>8155.236208</v>
      </c>
      <c r="AK233">
        <f t="shared" si="51"/>
        <v>8155236.208000001</v>
      </c>
    </row>
    <row r="234" spans="1:37" ht="15" customHeight="1">
      <c r="A234" s="452" t="s">
        <v>1028</v>
      </c>
      <c r="B234" s="466">
        <v>1317</v>
      </c>
      <c r="C234" s="467">
        <f t="shared" si="39"/>
        <v>3358034.4526976747</v>
      </c>
      <c r="D234" s="467">
        <f t="shared" si="40"/>
        <v>444858.2669750901</v>
      </c>
      <c r="E234" s="467">
        <v>0</v>
      </c>
      <c r="F234" s="467">
        <f t="shared" si="41"/>
        <v>3802892.7196727647</v>
      </c>
      <c r="G234" s="468">
        <f t="shared" si="42"/>
        <v>2887.541928377194</v>
      </c>
      <c r="H234" s="459">
        <f t="shared" si="43"/>
        <v>897.788071622806</v>
      </c>
      <c r="I234" s="379">
        <f t="shared" si="44"/>
      </c>
      <c r="J234" s="379">
        <f t="shared" si="45"/>
      </c>
      <c r="K234" s="460">
        <f t="shared" si="46"/>
        <v>718.2304572982448</v>
      </c>
      <c r="L234" s="487">
        <f t="shared" si="47"/>
        <v>945909.5122617884</v>
      </c>
      <c r="M234" s="487"/>
      <c r="N234" s="477">
        <v>697</v>
      </c>
      <c r="O234" s="388" t="s">
        <v>1028</v>
      </c>
      <c r="P234" s="470">
        <v>0</v>
      </c>
      <c r="Q234" s="471" t="s">
        <v>787</v>
      </c>
      <c r="X234" s="472" t="s">
        <v>274</v>
      </c>
      <c r="Y234" s="473">
        <v>21.5</v>
      </c>
      <c r="Z234" s="474">
        <v>3637165.78</v>
      </c>
      <c r="AA234" s="475">
        <f t="shared" si="48"/>
        <v>16917050.139534883</v>
      </c>
      <c r="AB234" s="474">
        <v>444858.2669750901</v>
      </c>
      <c r="AE234" s="488">
        <v>697</v>
      </c>
      <c r="AF234">
        <f t="shared" si="49"/>
        <v>0</v>
      </c>
      <c r="AH234" s="476">
        <v>3612.769246291806</v>
      </c>
      <c r="AI234">
        <f t="shared" si="50"/>
        <v>3612769.246291806</v>
      </c>
      <c r="AJ234" s="489">
        <v>447.323064</v>
      </c>
      <c r="AK234">
        <f t="shared" si="51"/>
        <v>447323.064</v>
      </c>
    </row>
    <row r="235" spans="1:37" ht="15" customHeight="1">
      <c r="A235" s="452" t="s">
        <v>1029</v>
      </c>
      <c r="B235" s="466">
        <v>62420</v>
      </c>
      <c r="C235" s="467">
        <f t="shared" si="39"/>
        <v>196742500.63259524</v>
      </c>
      <c r="D235" s="467">
        <f t="shared" si="40"/>
        <v>10371185.258009244</v>
      </c>
      <c r="E235" s="467">
        <v>0</v>
      </c>
      <c r="F235" s="467">
        <f t="shared" si="41"/>
        <v>207113685.8906045</v>
      </c>
      <c r="G235" s="468">
        <f t="shared" si="42"/>
        <v>3318.066098856208</v>
      </c>
      <c r="H235" s="459">
        <f t="shared" si="43"/>
        <v>467.2639011437918</v>
      </c>
      <c r="I235" s="379">
        <f t="shared" si="44"/>
      </c>
      <c r="J235" s="379">
        <f t="shared" si="45"/>
      </c>
      <c r="K235" s="460">
        <f t="shared" si="46"/>
        <v>373.8111209150335</v>
      </c>
      <c r="L235" s="487">
        <f t="shared" si="47"/>
        <v>23333290.16751639</v>
      </c>
      <c r="M235" s="487"/>
      <c r="N235" s="477">
        <v>698</v>
      </c>
      <c r="O235" s="388" t="s">
        <v>1029</v>
      </c>
      <c r="P235" s="470">
        <v>0</v>
      </c>
      <c r="Q235" s="471" t="s">
        <v>749</v>
      </c>
      <c r="X235" s="472" t="s">
        <v>275</v>
      </c>
      <c r="Y235" s="473">
        <v>21</v>
      </c>
      <c r="Z235" s="474">
        <v>208140680.77</v>
      </c>
      <c r="AA235" s="475">
        <f t="shared" si="48"/>
        <v>991146098.9047619</v>
      </c>
      <c r="AB235" s="474">
        <v>10371185.258009244</v>
      </c>
      <c r="AE235" s="488">
        <v>698</v>
      </c>
      <c r="AF235">
        <f t="shared" si="49"/>
        <v>0</v>
      </c>
      <c r="AH235" s="476">
        <v>208947.65602150466</v>
      </c>
      <c r="AI235">
        <f t="shared" si="50"/>
        <v>208947656.02150467</v>
      </c>
      <c r="AJ235" s="489">
        <v>10428.648204</v>
      </c>
      <c r="AK235">
        <f t="shared" si="51"/>
        <v>10428648.204</v>
      </c>
    </row>
    <row r="236" spans="1:37" ht="15" customHeight="1">
      <c r="A236" s="452" t="s">
        <v>1030</v>
      </c>
      <c r="B236" s="466">
        <v>5218</v>
      </c>
      <c r="C236" s="467">
        <f t="shared" si="39"/>
        <v>16675024.63763415</v>
      </c>
      <c r="D236" s="467">
        <f t="shared" si="40"/>
        <v>2012277.971414014</v>
      </c>
      <c r="E236" s="467">
        <v>0</v>
      </c>
      <c r="F236" s="467">
        <f t="shared" si="41"/>
        <v>18687302.609048165</v>
      </c>
      <c r="G236" s="468">
        <f t="shared" si="42"/>
        <v>3581.315179963236</v>
      </c>
      <c r="H236" s="459">
        <f t="shared" si="43"/>
        <v>204.01482003676392</v>
      </c>
      <c r="I236" s="379">
        <f t="shared" si="44"/>
      </c>
      <c r="J236" s="379">
        <f t="shared" si="45"/>
      </c>
      <c r="K236" s="460">
        <f t="shared" si="46"/>
        <v>163.21185602941114</v>
      </c>
      <c r="L236" s="487">
        <f t="shared" si="47"/>
        <v>851639.4647614673</v>
      </c>
      <c r="M236" s="487"/>
      <c r="N236" s="477">
        <v>700</v>
      </c>
      <c r="O236" s="388" t="s">
        <v>1030</v>
      </c>
      <c r="P236" s="470">
        <v>0</v>
      </c>
      <c r="Q236" s="471" t="s">
        <v>816</v>
      </c>
      <c r="X236" s="472" t="s">
        <v>276</v>
      </c>
      <c r="Y236" s="473">
        <v>20.5</v>
      </c>
      <c r="Z236" s="474">
        <v>17221058.19</v>
      </c>
      <c r="AA236" s="475">
        <f t="shared" si="48"/>
        <v>84005161.90243904</v>
      </c>
      <c r="AB236" s="474">
        <v>2012277.971414014</v>
      </c>
      <c r="AE236" s="488">
        <v>700</v>
      </c>
      <c r="AF236">
        <f t="shared" si="49"/>
        <v>0</v>
      </c>
      <c r="AH236" s="476">
        <v>17226.67273555467</v>
      </c>
      <c r="AI236">
        <f t="shared" si="50"/>
        <v>17226672.735554673</v>
      </c>
      <c r="AJ236" s="489">
        <v>2023.4272680000004</v>
      </c>
      <c r="AK236">
        <f t="shared" si="51"/>
        <v>2023427.2680000004</v>
      </c>
    </row>
    <row r="237" spans="1:37" ht="15" customHeight="1">
      <c r="A237" s="452" t="s">
        <v>1031</v>
      </c>
      <c r="B237" s="466">
        <v>4459</v>
      </c>
      <c r="C237" s="467">
        <f t="shared" si="39"/>
        <v>11660080.902863637</v>
      </c>
      <c r="D237" s="467">
        <f t="shared" si="40"/>
        <v>1795135.808753938</v>
      </c>
      <c r="E237" s="467">
        <v>0</v>
      </c>
      <c r="F237" s="467">
        <f t="shared" si="41"/>
        <v>13455216.711617574</v>
      </c>
      <c r="G237" s="468">
        <f t="shared" si="42"/>
        <v>3017.541312316119</v>
      </c>
      <c r="H237" s="459">
        <f t="shared" si="43"/>
        <v>767.7886876838811</v>
      </c>
      <c r="I237" s="379">
        <f t="shared" si="44"/>
      </c>
      <c r="J237" s="379">
        <f t="shared" si="45"/>
      </c>
      <c r="K237" s="460">
        <f t="shared" si="46"/>
        <v>614.230950147105</v>
      </c>
      <c r="L237" s="487">
        <f t="shared" si="47"/>
        <v>2738855.806705941</v>
      </c>
      <c r="M237" s="487"/>
      <c r="N237" s="477">
        <v>702</v>
      </c>
      <c r="O237" s="388" t="s">
        <v>1031</v>
      </c>
      <c r="P237" s="470">
        <v>0</v>
      </c>
      <c r="Q237" s="471" t="s">
        <v>744</v>
      </c>
      <c r="X237" s="472" t="s">
        <v>277</v>
      </c>
      <c r="Y237" s="473">
        <v>22</v>
      </c>
      <c r="Z237" s="474">
        <v>12923011.58</v>
      </c>
      <c r="AA237" s="475">
        <f t="shared" si="48"/>
        <v>58740961.72727273</v>
      </c>
      <c r="AB237" s="474">
        <v>1795135.808753938</v>
      </c>
      <c r="AE237" s="488">
        <v>702</v>
      </c>
      <c r="AF237">
        <f t="shared" si="49"/>
        <v>0</v>
      </c>
      <c r="AH237" s="476">
        <v>12928.716563860771</v>
      </c>
      <c r="AI237">
        <f t="shared" si="50"/>
        <v>12928716.56386077</v>
      </c>
      <c r="AJ237" s="489">
        <v>1805.082</v>
      </c>
      <c r="AK237">
        <f t="shared" si="51"/>
        <v>1805082</v>
      </c>
    </row>
    <row r="238" spans="1:37" ht="15" customHeight="1">
      <c r="A238" s="465" t="s">
        <v>1032</v>
      </c>
      <c r="B238" s="466">
        <v>6263</v>
      </c>
      <c r="C238" s="467">
        <f t="shared" si="39"/>
        <v>22308131.77539241</v>
      </c>
      <c r="D238" s="467">
        <f t="shared" si="40"/>
        <v>1261291.0434342683</v>
      </c>
      <c r="E238" s="467">
        <v>0</v>
      </c>
      <c r="F238" s="467">
        <f t="shared" si="41"/>
        <v>23569422.81882668</v>
      </c>
      <c r="G238" s="468">
        <f t="shared" si="42"/>
        <v>3763.280028552879</v>
      </c>
      <c r="H238" s="459">
        <f t="shared" si="43"/>
        <v>22.049971447121152</v>
      </c>
      <c r="I238" s="379">
        <f t="shared" si="44"/>
      </c>
      <c r="J238" s="379">
        <f t="shared" si="45"/>
      </c>
      <c r="K238" s="460">
        <f t="shared" si="46"/>
        <v>17.639977157696922</v>
      </c>
      <c r="L238" s="487">
        <f t="shared" si="47"/>
        <v>110479.17693865583</v>
      </c>
      <c r="M238" s="487"/>
      <c r="N238" s="469">
        <v>704</v>
      </c>
      <c r="O238" s="388" t="s">
        <v>1032</v>
      </c>
      <c r="P238" s="470">
        <v>0</v>
      </c>
      <c r="Q238" s="471" t="s">
        <v>743</v>
      </c>
      <c r="X238" s="472" t="s">
        <v>278</v>
      </c>
      <c r="Y238" s="473">
        <v>19.75</v>
      </c>
      <c r="Z238" s="474">
        <v>22195748.24</v>
      </c>
      <c r="AA238" s="475">
        <f t="shared" si="48"/>
        <v>112383535.39240506</v>
      </c>
      <c r="AB238" s="474">
        <v>1261291.0434342683</v>
      </c>
      <c r="AE238" s="488">
        <v>704</v>
      </c>
      <c r="AF238">
        <f t="shared" si="49"/>
        <v>0</v>
      </c>
      <c r="AH238" s="476">
        <v>22297.231067207158</v>
      </c>
      <c r="AI238">
        <f t="shared" si="50"/>
        <v>22297231.067207158</v>
      </c>
      <c r="AJ238" s="489">
        <v>1268.2793960000001</v>
      </c>
      <c r="AK238">
        <f t="shared" si="51"/>
        <v>1268279.3960000002</v>
      </c>
    </row>
    <row r="239" spans="1:37" ht="15" customHeight="1">
      <c r="A239" s="452" t="s">
        <v>1033</v>
      </c>
      <c r="B239" s="466">
        <v>2240</v>
      </c>
      <c r="C239" s="467">
        <f t="shared" si="39"/>
        <v>4411209.698418604</v>
      </c>
      <c r="D239" s="467">
        <f t="shared" si="40"/>
        <v>482931.0754620167</v>
      </c>
      <c r="E239" s="467">
        <v>0</v>
      </c>
      <c r="F239" s="467">
        <f t="shared" si="41"/>
        <v>4894140.7738806205</v>
      </c>
      <c r="G239" s="468">
        <f t="shared" si="42"/>
        <v>2184.8842740538485</v>
      </c>
      <c r="H239" s="459">
        <f t="shared" si="43"/>
        <v>1600.4457259461515</v>
      </c>
      <c r="I239" s="379">
        <f t="shared" si="44"/>
      </c>
      <c r="J239" s="379">
        <f t="shared" si="45"/>
      </c>
      <c r="K239" s="460">
        <f t="shared" si="46"/>
        <v>1280.3565807569212</v>
      </c>
      <c r="L239" s="487">
        <f t="shared" si="47"/>
        <v>2867998.740895503</v>
      </c>
      <c r="M239" s="487"/>
      <c r="N239" s="477">
        <v>707</v>
      </c>
      <c r="O239" s="388" t="s">
        <v>1033</v>
      </c>
      <c r="P239" s="470">
        <v>0</v>
      </c>
      <c r="Q239" s="471" t="s">
        <v>805</v>
      </c>
      <c r="X239" s="472" t="s">
        <v>279</v>
      </c>
      <c r="Y239" s="473">
        <v>21.5</v>
      </c>
      <c r="Z239" s="474">
        <v>4777884.56</v>
      </c>
      <c r="AA239" s="475">
        <f t="shared" si="48"/>
        <v>22222718.883720927</v>
      </c>
      <c r="AB239" s="474">
        <v>482931.0754620167</v>
      </c>
      <c r="AE239" s="488">
        <v>707</v>
      </c>
      <c r="AF239">
        <f t="shared" si="49"/>
        <v>0</v>
      </c>
      <c r="AH239" s="476">
        <v>4860.024248133504</v>
      </c>
      <c r="AI239">
        <f t="shared" si="50"/>
        <v>4860024.248133505</v>
      </c>
      <c r="AJ239" s="489">
        <v>485.60682</v>
      </c>
      <c r="AK239">
        <f t="shared" si="51"/>
        <v>485606.82</v>
      </c>
    </row>
    <row r="240" spans="1:37" ht="15" customHeight="1">
      <c r="A240" s="465" t="s">
        <v>264</v>
      </c>
      <c r="B240" s="466">
        <v>27851</v>
      </c>
      <c r="C240" s="467">
        <f t="shared" si="39"/>
        <v>88722126.90697727</v>
      </c>
      <c r="D240" s="467">
        <f t="shared" si="40"/>
        <v>4487691.633281531</v>
      </c>
      <c r="E240" s="467">
        <v>0</v>
      </c>
      <c r="F240" s="467">
        <f t="shared" si="41"/>
        <v>93209818.5402588</v>
      </c>
      <c r="G240" s="468">
        <f t="shared" si="42"/>
        <v>3346.7314832594448</v>
      </c>
      <c r="H240" s="459">
        <f t="shared" si="43"/>
        <v>438.59851674055517</v>
      </c>
      <c r="I240" s="379">
        <f t="shared" si="44"/>
      </c>
      <c r="J240" s="379">
        <f t="shared" si="45"/>
      </c>
      <c r="K240" s="460">
        <f t="shared" si="46"/>
        <v>350.87881339244416</v>
      </c>
      <c r="L240" s="487">
        <f t="shared" si="47"/>
        <v>9772325.831792962</v>
      </c>
      <c r="M240" s="487"/>
      <c r="N240" s="469">
        <v>710</v>
      </c>
      <c r="O240" s="478" t="s">
        <v>1034</v>
      </c>
      <c r="P240" s="470">
        <v>3</v>
      </c>
      <c r="Q240" s="471" t="s">
        <v>741</v>
      </c>
      <c r="X240" s="472" t="s">
        <v>264</v>
      </c>
      <c r="Y240" s="473">
        <v>22</v>
      </c>
      <c r="Z240" s="474">
        <v>98331828.31</v>
      </c>
      <c r="AA240" s="475">
        <f t="shared" si="48"/>
        <v>446962855.95454544</v>
      </c>
      <c r="AB240" s="474">
        <v>4487691.633281531</v>
      </c>
      <c r="AE240" s="488">
        <v>710</v>
      </c>
      <c r="AF240">
        <f t="shared" si="49"/>
        <v>0</v>
      </c>
      <c r="AH240" s="476">
        <v>98618.20601972839</v>
      </c>
      <c r="AI240">
        <f t="shared" si="50"/>
        <v>98618206.01972839</v>
      </c>
      <c r="AJ240" s="489">
        <v>4512.556292</v>
      </c>
      <c r="AK240">
        <f t="shared" si="51"/>
        <v>4512556.292</v>
      </c>
    </row>
    <row r="241" spans="1:37" ht="15" customHeight="1">
      <c r="A241" s="465" t="s">
        <v>1035</v>
      </c>
      <c r="B241" s="466">
        <v>9589</v>
      </c>
      <c r="C241" s="467">
        <f t="shared" si="39"/>
        <v>23278203.21481396</v>
      </c>
      <c r="D241" s="467">
        <f t="shared" si="40"/>
        <v>2216513.0674118674</v>
      </c>
      <c r="E241" s="467">
        <v>0</v>
      </c>
      <c r="F241" s="467">
        <f t="shared" si="41"/>
        <v>25494716.282225825</v>
      </c>
      <c r="G241" s="468">
        <f t="shared" si="42"/>
        <v>2658.7460926296617</v>
      </c>
      <c r="H241" s="459">
        <f t="shared" si="43"/>
        <v>1126.5839073703382</v>
      </c>
      <c r="I241" s="379">
        <f t="shared" si="44"/>
      </c>
      <c r="J241" s="379">
        <f t="shared" si="45"/>
      </c>
      <c r="K241" s="460">
        <f t="shared" si="46"/>
        <v>901.2671258962706</v>
      </c>
      <c r="L241" s="487">
        <f t="shared" si="47"/>
        <v>8642250.470219338</v>
      </c>
      <c r="M241" s="487"/>
      <c r="N241" s="469">
        <v>729</v>
      </c>
      <c r="O241" s="388" t="s">
        <v>1035</v>
      </c>
      <c r="P241" s="470">
        <v>0</v>
      </c>
      <c r="Q241" s="471" t="s">
        <v>769</v>
      </c>
      <c r="X241" s="472" t="s">
        <v>280</v>
      </c>
      <c r="Y241" s="473">
        <v>21.5</v>
      </c>
      <c r="Z241" s="474">
        <v>25213167.21</v>
      </c>
      <c r="AA241" s="475">
        <f t="shared" si="48"/>
        <v>117270545.1627907</v>
      </c>
      <c r="AB241" s="474">
        <v>2216513.0674118674</v>
      </c>
      <c r="AE241" s="488">
        <v>729</v>
      </c>
      <c r="AF241">
        <f t="shared" si="49"/>
        <v>0</v>
      </c>
      <c r="AH241" s="476">
        <v>25291.83841788699</v>
      </c>
      <c r="AI241">
        <f t="shared" si="50"/>
        <v>25291838.417886987</v>
      </c>
      <c r="AJ241" s="489">
        <v>2228.793956</v>
      </c>
      <c r="AK241">
        <f t="shared" si="51"/>
        <v>2228793.956</v>
      </c>
    </row>
    <row r="242" spans="1:37" ht="15" customHeight="1">
      <c r="A242" s="452" t="s">
        <v>1036</v>
      </c>
      <c r="B242" s="466">
        <v>3575</v>
      </c>
      <c r="C242" s="467">
        <f t="shared" si="39"/>
        <v>8534377.090341464</v>
      </c>
      <c r="D242" s="467">
        <f t="shared" si="40"/>
        <v>1077268.449352634</v>
      </c>
      <c r="E242" s="467">
        <v>0</v>
      </c>
      <c r="F242" s="467">
        <f t="shared" si="41"/>
        <v>9611645.539694097</v>
      </c>
      <c r="G242" s="468">
        <f t="shared" si="42"/>
        <v>2688.5721789354116</v>
      </c>
      <c r="H242" s="459">
        <f t="shared" si="43"/>
        <v>1096.7578210645884</v>
      </c>
      <c r="I242" s="379">
        <f t="shared" si="44"/>
      </c>
      <c r="J242" s="379">
        <f t="shared" si="45"/>
      </c>
      <c r="K242" s="460">
        <f t="shared" si="46"/>
        <v>877.4062568516707</v>
      </c>
      <c r="L242" s="487">
        <f t="shared" si="47"/>
        <v>3136727.368244723</v>
      </c>
      <c r="M242" s="487"/>
      <c r="N242" s="477">
        <v>732</v>
      </c>
      <c r="O242" s="388" t="s">
        <v>1036</v>
      </c>
      <c r="P242" s="470">
        <v>0</v>
      </c>
      <c r="Q242" s="471" t="s">
        <v>749</v>
      </c>
      <c r="X242" s="472" t="s">
        <v>281</v>
      </c>
      <c r="Y242" s="473">
        <v>20.5</v>
      </c>
      <c r="Z242" s="474">
        <v>8813840.32</v>
      </c>
      <c r="AA242" s="475">
        <f t="shared" si="48"/>
        <v>42994343.02439024</v>
      </c>
      <c r="AB242" s="474">
        <v>1077268.449352634</v>
      </c>
      <c r="AE242" s="488">
        <v>732</v>
      </c>
      <c r="AF242">
        <f t="shared" si="49"/>
        <v>0</v>
      </c>
      <c r="AH242" s="476">
        <v>8877.189051062574</v>
      </c>
      <c r="AI242">
        <f t="shared" si="50"/>
        <v>8877189.051062575</v>
      </c>
      <c r="AJ242" s="489">
        <v>1083.2371999999998</v>
      </c>
      <c r="AK242">
        <f t="shared" si="51"/>
        <v>1083237.1999999997</v>
      </c>
    </row>
    <row r="243" spans="1:37" ht="15" customHeight="1">
      <c r="A243" s="465" t="s">
        <v>1037</v>
      </c>
      <c r="B243" s="466">
        <v>52984</v>
      </c>
      <c r="C243" s="467">
        <f t="shared" si="39"/>
        <v>155521243.00722894</v>
      </c>
      <c r="D243" s="467">
        <f t="shared" si="40"/>
        <v>11599457.132586915</v>
      </c>
      <c r="E243" s="467">
        <v>0</v>
      </c>
      <c r="F243" s="467">
        <f t="shared" si="41"/>
        <v>167120700.13981587</v>
      </c>
      <c r="G243" s="468">
        <f t="shared" si="42"/>
        <v>3154.172960512907</v>
      </c>
      <c r="H243" s="459">
        <f t="shared" si="43"/>
        <v>631.1570394870928</v>
      </c>
      <c r="I243" s="379">
        <f t="shared" si="44"/>
      </c>
      <c r="J243" s="379">
        <f t="shared" si="45"/>
      </c>
      <c r="K243" s="460">
        <f t="shared" si="46"/>
        <v>504.92563158967425</v>
      </c>
      <c r="L243" s="487">
        <f t="shared" si="47"/>
        <v>26752979.664147303</v>
      </c>
      <c r="M243" s="487"/>
      <c r="N243" s="469">
        <v>734</v>
      </c>
      <c r="O243" s="388" t="s">
        <v>1037</v>
      </c>
      <c r="P243" s="470">
        <v>0</v>
      </c>
      <c r="Q243" s="471" t="s">
        <v>743</v>
      </c>
      <c r="X243" s="472" t="s">
        <v>282</v>
      </c>
      <c r="Y243" s="473">
        <v>20.75</v>
      </c>
      <c r="Z243" s="474">
        <v>162572584</v>
      </c>
      <c r="AA243" s="475">
        <f t="shared" si="48"/>
        <v>783482332.5301205</v>
      </c>
      <c r="AB243" s="474">
        <v>11599457.132586915</v>
      </c>
      <c r="AE243" s="488">
        <v>734</v>
      </c>
      <c r="AF243">
        <f t="shared" si="49"/>
        <v>0</v>
      </c>
      <c r="AH243" s="476">
        <v>162621.7729380327</v>
      </c>
      <c r="AI243">
        <f t="shared" si="50"/>
        <v>162621772.9380327</v>
      </c>
      <c r="AJ243" s="489">
        <v>11663.725484</v>
      </c>
      <c r="AK243">
        <f t="shared" si="51"/>
        <v>11663725.484000001</v>
      </c>
    </row>
    <row r="244" spans="1:37" ht="15" customHeight="1">
      <c r="A244" s="452" t="s">
        <v>1038</v>
      </c>
      <c r="B244" s="466">
        <v>3007</v>
      </c>
      <c r="C244" s="467">
        <f t="shared" si="39"/>
        <v>9048809.154627908</v>
      </c>
      <c r="D244" s="467">
        <f t="shared" si="40"/>
        <v>474285.29457317555</v>
      </c>
      <c r="E244" s="467">
        <v>0</v>
      </c>
      <c r="F244" s="467">
        <f t="shared" si="41"/>
        <v>9523094.449201083</v>
      </c>
      <c r="G244" s="468">
        <f t="shared" si="42"/>
        <v>3166.975207582668</v>
      </c>
      <c r="H244" s="459">
        <f t="shared" si="43"/>
        <v>618.3547924173317</v>
      </c>
      <c r="I244" s="379">
        <f t="shared" si="44"/>
      </c>
      <c r="J244" s="379">
        <f t="shared" si="45"/>
      </c>
      <c r="K244" s="460">
        <f t="shared" si="46"/>
        <v>494.6838339338654</v>
      </c>
      <c r="L244" s="487">
        <f t="shared" si="47"/>
        <v>1487514.2886391333</v>
      </c>
      <c r="M244" s="487"/>
      <c r="N244" s="477">
        <v>738</v>
      </c>
      <c r="O244" s="478" t="s">
        <v>1039</v>
      </c>
      <c r="P244" s="470">
        <v>0</v>
      </c>
      <c r="Q244" s="471" t="s">
        <v>743</v>
      </c>
      <c r="X244" s="472" t="s">
        <v>284</v>
      </c>
      <c r="Y244" s="473">
        <v>21.5</v>
      </c>
      <c r="Z244" s="474">
        <v>9800977.17</v>
      </c>
      <c r="AA244" s="475">
        <f t="shared" si="48"/>
        <v>45585940.325581394</v>
      </c>
      <c r="AB244" s="474">
        <v>474285.29457317555</v>
      </c>
      <c r="AE244" s="488">
        <v>738</v>
      </c>
      <c r="AF244">
        <f t="shared" si="49"/>
        <v>0</v>
      </c>
      <c r="AH244" s="476">
        <v>9898.51210746876</v>
      </c>
      <c r="AI244">
        <f t="shared" si="50"/>
        <v>9898512.10746876</v>
      </c>
      <c r="AJ244" s="489">
        <v>476.913136</v>
      </c>
      <c r="AK244">
        <f t="shared" si="51"/>
        <v>476913.136</v>
      </c>
    </row>
    <row r="245" spans="1:37" ht="15" customHeight="1">
      <c r="A245" s="452" t="s">
        <v>1040</v>
      </c>
      <c r="B245" s="466">
        <v>3480</v>
      </c>
      <c r="C245" s="467">
        <f t="shared" si="39"/>
        <v>8950729.279813955</v>
      </c>
      <c r="D245" s="467">
        <f t="shared" si="40"/>
        <v>1167984.7395529228</v>
      </c>
      <c r="E245" s="467">
        <v>0</v>
      </c>
      <c r="F245" s="467">
        <f t="shared" si="41"/>
        <v>10118714.019366877</v>
      </c>
      <c r="G245" s="468">
        <f t="shared" si="42"/>
        <v>2907.676442346804</v>
      </c>
      <c r="H245" s="459">
        <f t="shared" si="43"/>
        <v>877.653557653196</v>
      </c>
      <c r="I245" s="379">
        <f t="shared" si="44"/>
      </c>
      <c r="J245" s="379">
        <f t="shared" si="45"/>
      </c>
      <c r="K245" s="460">
        <f t="shared" si="46"/>
        <v>702.1228461225569</v>
      </c>
      <c r="L245" s="487">
        <f t="shared" si="47"/>
        <v>2443387.504506498</v>
      </c>
      <c r="M245" s="487"/>
      <c r="N245" s="477">
        <v>739</v>
      </c>
      <c r="O245" s="388" t="s">
        <v>1040</v>
      </c>
      <c r="P245" s="470">
        <v>0</v>
      </c>
      <c r="Q245" s="471" t="s">
        <v>816</v>
      </c>
      <c r="X245" s="472" t="s">
        <v>285</v>
      </c>
      <c r="Y245" s="473">
        <v>21.5</v>
      </c>
      <c r="Z245" s="474">
        <v>9694744.56</v>
      </c>
      <c r="AA245" s="475">
        <f t="shared" si="48"/>
        <v>45091835.1627907</v>
      </c>
      <c r="AB245" s="474">
        <v>1167984.7395529228</v>
      </c>
      <c r="AE245" s="488">
        <v>739</v>
      </c>
      <c r="AF245">
        <f t="shared" si="49"/>
        <v>0</v>
      </c>
      <c r="AH245" s="476">
        <v>9793.28553159689</v>
      </c>
      <c r="AI245">
        <f t="shared" si="50"/>
        <v>9793285.53159689</v>
      </c>
      <c r="AJ245" s="489">
        <v>1174.456116</v>
      </c>
      <c r="AK245">
        <f t="shared" si="51"/>
        <v>1174456.1160000002</v>
      </c>
    </row>
    <row r="246" spans="1:37" ht="15" customHeight="1">
      <c r="A246" s="465" t="s">
        <v>1041</v>
      </c>
      <c r="B246" s="466">
        <v>34664</v>
      </c>
      <c r="C246" s="467">
        <f t="shared" si="39"/>
        <v>98576801.07281819</v>
      </c>
      <c r="D246" s="467">
        <f t="shared" si="40"/>
        <v>9661084.013405005</v>
      </c>
      <c r="E246" s="467">
        <v>0</v>
      </c>
      <c r="F246" s="467">
        <f t="shared" si="41"/>
        <v>108237885.0862232</v>
      </c>
      <c r="G246" s="468">
        <f t="shared" si="42"/>
        <v>3122.486876477706</v>
      </c>
      <c r="H246" s="459">
        <f t="shared" si="43"/>
        <v>662.8431235222938</v>
      </c>
      <c r="I246" s="379">
        <f t="shared" si="44"/>
      </c>
      <c r="J246" s="379">
        <f t="shared" si="45"/>
      </c>
      <c r="K246" s="460">
        <f t="shared" si="46"/>
        <v>530.274498817835</v>
      </c>
      <c r="L246" s="487">
        <f t="shared" si="47"/>
        <v>18381435.227021433</v>
      </c>
      <c r="M246" s="487"/>
      <c r="N246" s="469">
        <v>740</v>
      </c>
      <c r="O246" s="478" t="s">
        <v>1042</v>
      </c>
      <c r="P246" s="470">
        <v>0</v>
      </c>
      <c r="Q246" s="471" t="s">
        <v>746</v>
      </c>
      <c r="X246" s="472" t="s">
        <v>286</v>
      </c>
      <c r="Y246" s="473">
        <v>22</v>
      </c>
      <c r="Z246" s="474">
        <v>109253885.32</v>
      </c>
      <c r="AA246" s="475">
        <f t="shared" si="48"/>
        <v>496608569.6363636</v>
      </c>
      <c r="AB246" s="474">
        <v>9661084.013405005</v>
      </c>
      <c r="AE246" s="488">
        <v>740</v>
      </c>
      <c r="AF246">
        <f t="shared" si="49"/>
        <v>0</v>
      </c>
      <c r="AH246" s="476">
        <v>109734.43654870836</v>
      </c>
      <c r="AI246">
        <f t="shared" si="50"/>
        <v>109734436.54870835</v>
      </c>
      <c r="AJ246" s="489">
        <v>9714.612548</v>
      </c>
      <c r="AK246">
        <f t="shared" si="51"/>
        <v>9714612.547999999</v>
      </c>
    </row>
    <row r="247" spans="1:37" ht="15" customHeight="1">
      <c r="A247" s="452" t="s">
        <v>1043</v>
      </c>
      <c r="B247" s="466">
        <v>1012</v>
      </c>
      <c r="C247" s="467">
        <f t="shared" si="39"/>
        <v>2576270.87308046</v>
      </c>
      <c r="D247" s="467">
        <f t="shared" si="40"/>
        <v>965555.3428354883</v>
      </c>
      <c r="E247" s="467">
        <v>0</v>
      </c>
      <c r="F247" s="467">
        <f t="shared" si="41"/>
        <v>3541826.215915948</v>
      </c>
      <c r="G247" s="468">
        <f t="shared" si="42"/>
        <v>3499.8282765967865</v>
      </c>
      <c r="H247" s="459">
        <f t="shared" si="43"/>
        <v>285.5017234032134</v>
      </c>
      <c r="I247" s="379">
        <f t="shared" si="44"/>
      </c>
      <c r="J247" s="379">
        <f t="shared" si="45"/>
      </c>
      <c r="K247" s="460">
        <f t="shared" si="46"/>
        <v>228.40137872257074</v>
      </c>
      <c r="L247" s="487">
        <f t="shared" si="47"/>
        <v>231142.1952672416</v>
      </c>
      <c r="M247" s="487"/>
      <c r="N247" s="477">
        <v>742</v>
      </c>
      <c r="O247" s="388" t="s">
        <v>1043</v>
      </c>
      <c r="P247" s="470">
        <v>0</v>
      </c>
      <c r="Q247" s="471" t="s">
        <v>749</v>
      </c>
      <c r="X247" s="472" t="s">
        <v>287</v>
      </c>
      <c r="Y247" s="473">
        <v>21.75</v>
      </c>
      <c r="Z247" s="474">
        <v>2822866.07</v>
      </c>
      <c r="AA247" s="475">
        <f t="shared" si="48"/>
        <v>12978694.574712643</v>
      </c>
      <c r="AB247" s="474">
        <v>965555.3428354883</v>
      </c>
      <c r="AE247" s="488">
        <v>742</v>
      </c>
      <c r="AF247">
        <f t="shared" si="49"/>
        <v>0</v>
      </c>
      <c r="AH247" s="476">
        <v>2778.6593471455353</v>
      </c>
      <c r="AI247">
        <f t="shared" si="50"/>
        <v>2778659.3471455355</v>
      </c>
      <c r="AJ247" s="489">
        <v>970.9051320000001</v>
      </c>
      <c r="AK247">
        <f t="shared" si="51"/>
        <v>970905.1320000001</v>
      </c>
    </row>
    <row r="248" spans="1:37" ht="15" customHeight="1">
      <c r="A248" s="465" t="s">
        <v>1044</v>
      </c>
      <c r="B248" s="466">
        <v>62676</v>
      </c>
      <c r="C248" s="467">
        <f t="shared" si="39"/>
        <v>200228348.03550002</v>
      </c>
      <c r="D248" s="467">
        <f t="shared" si="40"/>
        <v>14539449.847762028</v>
      </c>
      <c r="E248" s="467">
        <v>0</v>
      </c>
      <c r="F248" s="467">
        <f t="shared" si="41"/>
        <v>214767797.88326204</v>
      </c>
      <c r="G248" s="468">
        <f t="shared" si="42"/>
        <v>3426.6353609557414</v>
      </c>
      <c r="H248" s="459">
        <f t="shared" si="43"/>
        <v>358.69463904425857</v>
      </c>
      <c r="I248" s="379">
        <f t="shared" si="44"/>
      </c>
      <c r="J248" s="379">
        <f t="shared" si="45"/>
      </c>
      <c r="K248" s="460">
        <f t="shared" si="46"/>
        <v>286.95571123540685</v>
      </c>
      <c r="L248" s="487">
        <f t="shared" si="47"/>
        <v>17985236.15739036</v>
      </c>
      <c r="M248" s="487"/>
      <c r="N248" s="469">
        <v>743</v>
      </c>
      <c r="O248" s="388" t="s">
        <v>1044</v>
      </c>
      <c r="P248" s="470">
        <v>0</v>
      </c>
      <c r="Q248" s="471" t="s">
        <v>734</v>
      </c>
      <c r="X248" s="472" t="s">
        <v>288</v>
      </c>
      <c r="Y248" s="473">
        <v>21</v>
      </c>
      <c r="Z248" s="474">
        <v>211828479.03</v>
      </c>
      <c r="AA248" s="475">
        <f t="shared" si="48"/>
        <v>1008707043</v>
      </c>
      <c r="AB248" s="474">
        <v>14539449.847762028</v>
      </c>
      <c r="AE248" s="488">
        <v>743</v>
      </c>
      <c r="AF248">
        <f t="shared" si="49"/>
        <v>0</v>
      </c>
      <c r="AH248" s="476">
        <v>211412.75392809158</v>
      </c>
      <c r="AI248">
        <f t="shared" si="50"/>
        <v>211412753.9280916</v>
      </c>
      <c r="AJ248" s="489">
        <v>14620.007624</v>
      </c>
      <c r="AK248">
        <f t="shared" si="51"/>
        <v>14620007.624</v>
      </c>
    </row>
    <row r="249" spans="1:37" ht="15" customHeight="1">
      <c r="A249" s="452" t="s">
        <v>1045</v>
      </c>
      <c r="B249" s="466">
        <v>5035</v>
      </c>
      <c r="C249" s="467">
        <f t="shared" si="39"/>
        <v>11270485.960712645</v>
      </c>
      <c r="D249" s="467">
        <f t="shared" si="40"/>
        <v>1908156.16826018</v>
      </c>
      <c r="E249" s="467">
        <v>0</v>
      </c>
      <c r="F249" s="467">
        <f t="shared" si="41"/>
        <v>13178642.128972825</v>
      </c>
      <c r="G249" s="468">
        <f t="shared" si="42"/>
        <v>2617.40657973641</v>
      </c>
      <c r="H249" s="459">
        <f t="shared" si="43"/>
        <v>1167.9234202635898</v>
      </c>
      <c r="I249" s="379">
        <f t="shared" si="44"/>
      </c>
      <c r="J249" s="379">
        <f t="shared" si="45"/>
      </c>
      <c r="K249" s="460">
        <f t="shared" si="46"/>
        <v>934.338736210872</v>
      </c>
      <c r="L249" s="487">
        <f t="shared" si="47"/>
        <v>4704395.536821741</v>
      </c>
      <c r="M249" s="487"/>
      <c r="N249" s="477">
        <v>746</v>
      </c>
      <c r="O249" s="388" t="s">
        <v>1045</v>
      </c>
      <c r="P249" s="470">
        <v>0</v>
      </c>
      <c r="Q249" s="471" t="s">
        <v>736</v>
      </c>
      <c r="X249" s="472" t="s">
        <v>289</v>
      </c>
      <c r="Y249" s="473">
        <v>21.75</v>
      </c>
      <c r="Z249" s="474">
        <v>12349273.03</v>
      </c>
      <c r="AA249" s="475">
        <f t="shared" si="48"/>
        <v>56778266.8045977</v>
      </c>
      <c r="AB249" s="474">
        <v>1908156.16826018</v>
      </c>
      <c r="AE249" s="488">
        <v>746</v>
      </c>
      <c r="AF249">
        <f t="shared" si="49"/>
        <v>0</v>
      </c>
      <c r="AH249" s="476">
        <v>12292.750988380669</v>
      </c>
      <c r="AI249">
        <f t="shared" si="50"/>
        <v>12292750.988380669</v>
      </c>
      <c r="AJ249" s="489">
        <v>1918.7285640000002</v>
      </c>
      <c r="AK249">
        <f t="shared" si="51"/>
        <v>1918728.5640000002</v>
      </c>
    </row>
    <row r="250" spans="1:37" ht="15" customHeight="1">
      <c r="A250" s="452" t="s">
        <v>1046</v>
      </c>
      <c r="B250" s="466">
        <v>1476</v>
      </c>
      <c r="C250" s="467">
        <f t="shared" si="39"/>
        <v>3059960.37375</v>
      </c>
      <c r="D250" s="467">
        <f t="shared" si="40"/>
        <v>573275.6810309662</v>
      </c>
      <c r="E250" s="467">
        <v>0</v>
      </c>
      <c r="F250" s="467">
        <f t="shared" si="41"/>
        <v>3633236.054780966</v>
      </c>
      <c r="G250" s="468">
        <f t="shared" si="42"/>
        <v>2461.54204253453</v>
      </c>
      <c r="H250" s="459">
        <f t="shared" si="43"/>
        <v>1323.7879574654698</v>
      </c>
      <c r="I250" s="379">
        <f t="shared" si="44"/>
      </c>
      <c r="J250" s="379">
        <f t="shared" si="45"/>
      </c>
      <c r="K250" s="460">
        <f t="shared" si="46"/>
        <v>1059.0303659723759</v>
      </c>
      <c r="L250" s="487">
        <f t="shared" si="47"/>
        <v>1563128.8201752268</v>
      </c>
      <c r="M250" s="487"/>
      <c r="N250" s="477">
        <v>747</v>
      </c>
      <c r="O250" s="388" t="s">
        <v>1046</v>
      </c>
      <c r="P250" s="470">
        <v>0</v>
      </c>
      <c r="Q250" s="471" t="s">
        <v>753</v>
      </c>
      <c r="X250" s="472" t="s">
        <v>290</v>
      </c>
      <c r="Y250" s="473">
        <v>22</v>
      </c>
      <c r="Z250" s="474">
        <v>3391391.85</v>
      </c>
      <c r="AA250" s="475">
        <f t="shared" si="48"/>
        <v>15415417.5</v>
      </c>
      <c r="AB250" s="474">
        <v>573275.6810309662</v>
      </c>
      <c r="AE250" s="488">
        <v>747</v>
      </c>
      <c r="AF250">
        <f t="shared" si="49"/>
        <v>0</v>
      </c>
      <c r="AH250" s="476">
        <v>3422.1785848063178</v>
      </c>
      <c r="AI250">
        <f t="shared" si="50"/>
        <v>3422178.584806318</v>
      </c>
      <c r="AJ250" s="489">
        <v>576.451992</v>
      </c>
      <c r="AK250">
        <f t="shared" si="51"/>
        <v>576451.992</v>
      </c>
    </row>
    <row r="251" spans="1:37" ht="15" customHeight="1">
      <c r="A251" s="452" t="s">
        <v>1047</v>
      </c>
      <c r="B251" s="466">
        <v>5343</v>
      </c>
      <c r="C251" s="467">
        <f t="shared" si="39"/>
        <v>13438354.58465909</v>
      </c>
      <c r="D251" s="467">
        <f t="shared" si="40"/>
        <v>831137.6899096085</v>
      </c>
      <c r="E251" s="467">
        <v>0</v>
      </c>
      <c r="F251" s="467">
        <f t="shared" si="41"/>
        <v>14269492.2745687</v>
      </c>
      <c r="G251" s="468">
        <f t="shared" si="42"/>
        <v>2670.6891773476887</v>
      </c>
      <c r="H251" s="459">
        <f t="shared" si="43"/>
        <v>1114.6408226523113</v>
      </c>
      <c r="I251" s="379">
        <f t="shared" si="44"/>
      </c>
      <c r="J251" s="379">
        <f t="shared" si="45"/>
      </c>
      <c r="K251" s="460">
        <f t="shared" si="46"/>
        <v>891.712658121849</v>
      </c>
      <c r="L251" s="487">
        <f t="shared" si="47"/>
        <v>4764420.732345039</v>
      </c>
      <c r="M251" s="487"/>
      <c r="N251" s="477">
        <v>748</v>
      </c>
      <c r="O251" s="388" t="s">
        <v>1047</v>
      </c>
      <c r="P251" s="470">
        <v>0</v>
      </c>
      <c r="Q251" s="471" t="s">
        <v>736</v>
      </c>
      <c r="X251" s="472" t="s">
        <v>291</v>
      </c>
      <c r="Y251" s="473">
        <v>22</v>
      </c>
      <c r="Z251" s="474">
        <v>14893894.25</v>
      </c>
      <c r="AA251" s="475">
        <f t="shared" si="48"/>
        <v>67699519.31818181</v>
      </c>
      <c r="AB251" s="474">
        <v>831137.6899096085</v>
      </c>
      <c r="AE251" s="488">
        <v>748</v>
      </c>
      <c r="AF251">
        <f t="shared" si="49"/>
        <v>0</v>
      </c>
      <c r="AH251" s="476">
        <v>14642.853784146764</v>
      </c>
      <c r="AI251">
        <f t="shared" si="50"/>
        <v>14642853.784146763</v>
      </c>
      <c r="AJ251" s="489">
        <v>835.7427200000001</v>
      </c>
      <c r="AK251">
        <f t="shared" si="51"/>
        <v>835742.7200000001</v>
      </c>
    </row>
    <row r="252" spans="1:37" ht="15" customHeight="1">
      <c r="A252" s="452" t="s">
        <v>1048</v>
      </c>
      <c r="B252" s="466">
        <v>21657</v>
      </c>
      <c r="C252" s="467">
        <f t="shared" si="39"/>
        <v>70777619.36169414</v>
      </c>
      <c r="D252" s="467">
        <f t="shared" si="40"/>
        <v>3940166.891709117</v>
      </c>
      <c r="E252" s="467">
        <v>0</v>
      </c>
      <c r="F252" s="467">
        <f t="shared" si="41"/>
        <v>74717786.25340326</v>
      </c>
      <c r="G252" s="468">
        <f t="shared" si="42"/>
        <v>3450.0524658726167</v>
      </c>
      <c r="H252" s="459">
        <f t="shared" si="43"/>
        <v>335.2775341273832</v>
      </c>
      <c r="I252" s="379">
        <f t="shared" si="44"/>
      </c>
      <c r="J252" s="379">
        <f t="shared" si="45"/>
      </c>
      <c r="K252" s="460">
        <f t="shared" si="46"/>
        <v>268.22202730190656</v>
      </c>
      <c r="L252" s="487">
        <f t="shared" si="47"/>
        <v>5808884.44527739</v>
      </c>
      <c r="M252" s="487"/>
      <c r="N252" s="477">
        <v>749</v>
      </c>
      <c r="O252" s="388" t="s">
        <v>1048</v>
      </c>
      <c r="P252" s="470">
        <v>0</v>
      </c>
      <c r="Q252" s="471" t="s">
        <v>798</v>
      </c>
      <c r="X252" s="472" t="s">
        <v>293</v>
      </c>
      <c r="Y252" s="473">
        <v>21.25</v>
      </c>
      <c r="Z252" s="474">
        <v>75769491.76</v>
      </c>
      <c r="AA252" s="475">
        <f t="shared" si="48"/>
        <v>356562314.16470593</v>
      </c>
      <c r="AB252" s="474">
        <v>3940166.891709117</v>
      </c>
      <c r="AE252" s="488">
        <v>749</v>
      </c>
      <c r="AF252">
        <f t="shared" si="49"/>
        <v>0</v>
      </c>
      <c r="AH252" s="476">
        <v>76118.18937468386</v>
      </c>
      <c r="AI252">
        <f t="shared" si="50"/>
        <v>76118189.37468386</v>
      </c>
      <c r="AJ252" s="489">
        <v>3961.9979160000003</v>
      </c>
      <c r="AK252">
        <f t="shared" si="51"/>
        <v>3961997.916</v>
      </c>
    </row>
    <row r="253" spans="1:37" ht="15" customHeight="1">
      <c r="A253" s="452" t="s">
        <v>1049</v>
      </c>
      <c r="B253" s="466">
        <v>3110</v>
      </c>
      <c r="C253" s="467">
        <f t="shared" si="39"/>
        <v>9325840.950250002</v>
      </c>
      <c r="D253" s="467">
        <f t="shared" si="40"/>
        <v>348144.9162945023</v>
      </c>
      <c r="E253" s="467">
        <v>0</v>
      </c>
      <c r="F253" s="467">
        <f t="shared" si="41"/>
        <v>9673985.866544504</v>
      </c>
      <c r="G253" s="468">
        <f t="shared" si="42"/>
        <v>3110.606387956432</v>
      </c>
      <c r="H253" s="459">
        <f t="shared" si="43"/>
        <v>674.7236120435678</v>
      </c>
      <c r="I253" s="379">
        <f t="shared" si="44"/>
      </c>
      <c r="J253" s="379">
        <f t="shared" si="45"/>
      </c>
      <c r="K253" s="460">
        <f t="shared" si="46"/>
        <v>539.7788896348542</v>
      </c>
      <c r="L253" s="487">
        <f t="shared" si="47"/>
        <v>1678712.3467643964</v>
      </c>
      <c r="M253" s="487"/>
      <c r="N253" s="477">
        <v>751</v>
      </c>
      <c r="O253" s="388" t="s">
        <v>1049</v>
      </c>
      <c r="P253" s="470">
        <v>0</v>
      </c>
      <c r="Q253" s="471" t="s">
        <v>749</v>
      </c>
      <c r="X253" s="472" t="s">
        <v>294</v>
      </c>
      <c r="Y253" s="473">
        <v>22</v>
      </c>
      <c r="Z253" s="474">
        <v>10335944.63</v>
      </c>
      <c r="AA253" s="475">
        <f t="shared" si="48"/>
        <v>46981566.50000001</v>
      </c>
      <c r="AB253" s="474">
        <v>348144.9162945023</v>
      </c>
      <c r="AE253" s="488">
        <v>751</v>
      </c>
      <c r="AF253">
        <f t="shared" si="49"/>
        <v>0</v>
      </c>
      <c r="AH253" s="476">
        <v>10371.303642552697</v>
      </c>
      <c r="AI253">
        <f t="shared" si="50"/>
        <v>10371303.642552696</v>
      </c>
      <c r="AJ253" s="489">
        <v>350.07386</v>
      </c>
      <c r="AK253">
        <f t="shared" si="51"/>
        <v>350073.86000000004</v>
      </c>
    </row>
    <row r="254" spans="1:37" ht="15" customHeight="1">
      <c r="A254" s="452" t="s">
        <v>1050</v>
      </c>
      <c r="B254" s="466">
        <v>20310</v>
      </c>
      <c r="C254" s="467">
        <f t="shared" si="39"/>
        <v>88339499.62558441</v>
      </c>
      <c r="D254" s="467">
        <f t="shared" si="40"/>
        <v>4582660.421942487</v>
      </c>
      <c r="E254" s="467">
        <v>0</v>
      </c>
      <c r="F254" s="467">
        <f t="shared" si="41"/>
        <v>92922160.0475269</v>
      </c>
      <c r="G254" s="468">
        <f t="shared" si="42"/>
        <v>4575.1925183420435</v>
      </c>
      <c r="H254" s="459">
        <f t="shared" si="43"/>
        <v>-789.8625183420436</v>
      </c>
      <c r="I254" s="379">
        <f t="shared" si="44"/>
        <v>6.671858902901405</v>
      </c>
      <c r="J254" s="379">
        <f t="shared" si="45"/>
        <v>36.671858902901405</v>
      </c>
      <c r="K254" s="460">
        <f t="shared" si="46"/>
        <v>-289.65726825329796</v>
      </c>
      <c r="L254" s="487">
        <f t="shared" si="47"/>
        <v>-5882939.118224481</v>
      </c>
      <c r="M254" s="487"/>
      <c r="N254" s="477">
        <v>753</v>
      </c>
      <c r="O254" s="478" t="s">
        <v>1051</v>
      </c>
      <c r="P254" s="470">
        <v>1</v>
      </c>
      <c r="Q254" s="471" t="s">
        <v>741</v>
      </c>
      <c r="U254" s="53"/>
      <c r="X254" s="472" t="s">
        <v>295</v>
      </c>
      <c r="Y254" s="473">
        <v>19.25</v>
      </c>
      <c r="Z254" s="474">
        <v>85669288.05</v>
      </c>
      <c r="AA254" s="475">
        <f t="shared" si="48"/>
        <v>445035262.5974026</v>
      </c>
      <c r="AB254" s="474">
        <v>4582660.421942487</v>
      </c>
      <c r="AE254" s="488">
        <v>753</v>
      </c>
      <c r="AF254">
        <f t="shared" si="49"/>
        <v>0</v>
      </c>
      <c r="AH254" s="476">
        <v>85524.14999167316</v>
      </c>
      <c r="AI254">
        <f t="shared" si="50"/>
        <v>85524149.99167316</v>
      </c>
      <c r="AJ254" s="489">
        <v>4608.051267999999</v>
      </c>
      <c r="AK254">
        <f t="shared" si="51"/>
        <v>4608051.267999999</v>
      </c>
    </row>
    <row r="255" spans="1:37" ht="15" customHeight="1">
      <c r="A255" s="452" t="s">
        <v>1052</v>
      </c>
      <c r="B255" s="466">
        <v>6146</v>
      </c>
      <c r="C255" s="467">
        <f t="shared" si="39"/>
        <v>24395615.987255815</v>
      </c>
      <c r="D255" s="467">
        <f t="shared" si="40"/>
        <v>597056.9536931622</v>
      </c>
      <c r="E255" s="467">
        <v>0</v>
      </c>
      <c r="F255" s="467">
        <f t="shared" si="41"/>
        <v>24992672.940948978</v>
      </c>
      <c r="G255" s="468">
        <f t="shared" si="42"/>
        <v>4066.4941329236867</v>
      </c>
      <c r="H255" s="459">
        <f t="shared" si="43"/>
        <v>-281.1641329236868</v>
      </c>
      <c r="I255" s="379">
        <f t="shared" si="44"/>
        <v>5.6389386017432965</v>
      </c>
      <c r="J255" s="379">
        <f t="shared" si="45"/>
        <v>35.6389386017433</v>
      </c>
      <c r="K255" s="460">
        <f t="shared" si="46"/>
        <v>-100.20391270279664</v>
      </c>
      <c r="L255" s="487">
        <f t="shared" si="47"/>
        <v>-615853.2474713882</v>
      </c>
      <c r="M255" s="487"/>
      <c r="N255" s="477">
        <v>755</v>
      </c>
      <c r="O255" s="478" t="s">
        <v>1053</v>
      </c>
      <c r="P255" s="470">
        <v>1</v>
      </c>
      <c r="Q255" s="471" t="s">
        <v>741</v>
      </c>
      <c r="X255" s="472" t="s">
        <v>296</v>
      </c>
      <c r="Y255" s="473">
        <v>21.5</v>
      </c>
      <c r="Z255" s="474">
        <v>26423463.16</v>
      </c>
      <c r="AA255" s="475">
        <f t="shared" si="48"/>
        <v>122899828.65116279</v>
      </c>
      <c r="AB255" s="474">
        <v>597056.9536931622</v>
      </c>
      <c r="AE255" s="488">
        <v>755</v>
      </c>
      <c r="AF255">
        <f t="shared" si="49"/>
        <v>0</v>
      </c>
      <c r="AH255" s="476">
        <v>26377.948434732938</v>
      </c>
      <c r="AI255">
        <f t="shared" si="50"/>
        <v>26377948.434732936</v>
      </c>
      <c r="AJ255" s="489">
        <v>600.365028</v>
      </c>
      <c r="AK255">
        <f t="shared" si="51"/>
        <v>600365.028</v>
      </c>
    </row>
    <row r="256" spans="1:37" ht="15" customHeight="1">
      <c r="A256" s="452" t="s">
        <v>1054</v>
      </c>
      <c r="B256" s="466">
        <v>8545</v>
      </c>
      <c r="C256" s="467">
        <f t="shared" si="39"/>
        <v>26248742.1845</v>
      </c>
      <c r="D256" s="467">
        <f t="shared" si="40"/>
        <v>2432910.9259887636</v>
      </c>
      <c r="E256" s="467">
        <v>0</v>
      </c>
      <c r="F256" s="467">
        <f t="shared" si="41"/>
        <v>28681653.110488765</v>
      </c>
      <c r="G256" s="468">
        <f t="shared" si="42"/>
        <v>3356.5422013445013</v>
      </c>
      <c r="H256" s="459">
        <f t="shared" si="43"/>
        <v>428.7877986554986</v>
      </c>
      <c r="I256" s="379">
        <f t="shared" si="44"/>
      </c>
      <c r="J256" s="379">
        <f t="shared" si="45"/>
      </c>
      <c r="K256" s="460">
        <f t="shared" si="46"/>
        <v>343.0302389243989</v>
      </c>
      <c r="L256" s="487">
        <f t="shared" si="47"/>
        <v>2931193.3916089884</v>
      </c>
      <c r="M256" s="487"/>
      <c r="N256" s="477">
        <v>758</v>
      </c>
      <c r="O256" s="388" t="s">
        <v>1054</v>
      </c>
      <c r="P256" s="470">
        <v>0</v>
      </c>
      <c r="Q256" s="471" t="s">
        <v>749</v>
      </c>
      <c r="X256" s="472" t="s">
        <v>297</v>
      </c>
      <c r="Y256" s="473">
        <v>20</v>
      </c>
      <c r="Z256" s="474">
        <v>26447095.4</v>
      </c>
      <c r="AA256" s="475">
        <f t="shared" si="48"/>
        <v>132235477</v>
      </c>
      <c r="AB256" s="474">
        <v>2432910.9259887636</v>
      </c>
      <c r="AE256" s="488">
        <v>758</v>
      </c>
      <c r="AF256">
        <f t="shared" si="49"/>
        <v>0</v>
      </c>
      <c r="AH256" s="476">
        <v>26674.433445033723</v>
      </c>
      <c r="AI256">
        <f t="shared" si="50"/>
        <v>26674433.44503372</v>
      </c>
      <c r="AJ256" s="489">
        <v>2446.3907959999997</v>
      </c>
      <c r="AK256">
        <f t="shared" si="51"/>
        <v>2446390.7959999996</v>
      </c>
    </row>
    <row r="257" spans="1:37" ht="15" customHeight="1">
      <c r="A257" s="452" t="s">
        <v>1055</v>
      </c>
      <c r="B257" s="466">
        <v>2114</v>
      </c>
      <c r="C257" s="467">
        <f t="shared" si="39"/>
        <v>4443086.537609195</v>
      </c>
      <c r="D257" s="467">
        <f t="shared" si="40"/>
        <v>588013.8740912447</v>
      </c>
      <c r="E257" s="467">
        <v>0</v>
      </c>
      <c r="F257" s="467">
        <f t="shared" si="41"/>
        <v>5031100.41170044</v>
      </c>
      <c r="G257" s="468">
        <f t="shared" si="42"/>
        <v>2379.8961266321853</v>
      </c>
      <c r="H257" s="459">
        <f t="shared" si="43"/>
        <v>1405.4338733678146</v>
      </c>
      <c r="I257" s="379">
        <f t="shared" si="44"/>
      </c>
      <c r="J257" s="379">
        <f t="shared" si="45"/>
      </c>
      <c r="K257" s="460">
        <f t="shared" si="46"/>
        <v>1124.3470986942518</v>
      </c>
      <c r="L257" s="487">
        <f t="shared" si="47"/>
        <v>2376869.7666396485</v>
      </c>
      <c r="M257" s="487"/>
      <c r="N257" s="477">
        <v>759</v>
      </c>
      <c r="O257" s="388" t="s">
        <v>1055</v>
      </c>
      <c r="P257" s="470">
        <v>0</v>
      </c>
      <c r="Q257" s="471" t="s">
        <v>734</v>
      </c>
      <c r="X257" s="472" t="s">
        <v>298</v>
      </c>
      <c r="Y257" s="473">
        <v>21.75</v>
      </c>
      <c r="Z257" s="474">
        <v>4868369.38</v>
      </c>
      <c r="AA257" s="475">
        <f t="shared" si="48"/>
        <v>22383307.49425287</v>
      </c>
      <c r="AB257" s="474">
        <v>588013.8740912447</v>
      </c>
      <c r="AE257" s="488">
        <v>759</v>
      </c>
      <c r="AF257">
        <f t="shared" si="49"/>
        <v>0</v>
      </c>
      <c r="AH257" s="476">
        <v>4863.566033810513</v>
      </c>
      <c r="AI257">
        <f t="shared" si="50"/>
        <v>4863566.033810513</v>
      </c>
      <c r="AJ257" s="489">
        <v>591.271844</v>
      </c>
      <c r="AK257">
        <f t="shared" si="51"/>
        <v>591271.844</v>
      </c>
    </row>
    <row r="258" spans="1:37" ht="15" customHeight="1">
      <c r="A258" s="452" t="s">
        <v>1056</v>
      </c>
      <c r="B258" s="466">
        <v>8919</v>
      </c>
      <c r="C258" s="467">
        <f t="shared" si="39"/>
        <v>23965461.206925</v>
      </c>
      <c r="D258" s="467">
        <f t="shared" si="40"/>
        <v>1258999.6114213446</v>
      </c>
      <c r="E258" s="467">
        <v>0</v>
      </c>
      <c r="F258" s="467">
        <f t="shared" si="41"/>
        <v>25224460.818346344</v>
      </c>
      <c r="G258" s="468">
        <f t="shared" si="42"/>
        <v>2828.1714114078195</v>
      </c>
      <c r="H258" s="459">
        <f t="shared" si="43"/>
        <v>957.1585885921804</v>
      </c>
      <c r="I258" s="379">
        <f t="shared" si="44"/>
      </c>
      <c r="J258" s="379">
        <f t="shared" si="45"/>
      </c>
      <c r="K258" s="460">
        <f t="shared" si="46"/>
        <v>765.7268708737444</v>
      </c>
      <c r="L258" s="487">
        <f t="shared" si="47"/>
        <v>6829517.961322926</v>
      </c>
      <c r="M258" s="487"/>
      <c r="N258" s="477">
        <v>761</v>
      </c>
      <c r="O258" s="388" t="s">
        <v>1056</v>
      </c>
      <c r="P258" s="470">
        <v>0</v>
      </c>
      <c r="Q258" s="471" t="s">
        <v>743</v>
      </c>
      <c r="X258" s="472" t="s">
        <v>299</v>
      </c>
      <c r="Y258" s="473">
        <v>20</v>
      </c>
      <c r="Z258" s="474">
        <v>24146560.41</v>
      </c>
      <c r="AA258" s="475">
        <f t="shared" si="48"/>
        <v>120732802.05</v>
      </c>
      <c r="AB258" s="474">
        <v>1258999.6114213446</v>
      </c>
      <c r="AE258" s="488">
        <v>761</v>
      </c>
      <c r="AF258">
        <f t="shared" si="49"/>
        <v>0</v>
      </c>
      <c r="AH258" s="476">
        <v>23979.902889211906</v>
      </c>
      <c r="AI258">
        <f t="shared" si="50"/>
        <v>23979902.889211904</v>
      </c>
      <c r="AJ258" s="489">
        <v>1265.9752680000001</v>
      </c>
      <c r="AK258">
        <f t="shared" si="51"/>
        <v>1265975.2680000002</v>
      </c>
    </row>
    <row r="259" spans="1:37" ht="15" customHeight="1">
      <c r="A259" s="452" t="s">
        <v>1057</v>
      </c>
      <c r="B259" s="466">
        <v>4075</v>
      </c>
      <c r="C259" s="467">
        <f t="shared" si="39"/>
        <v>9519578.487414636</v>
      </c>
      <c r="D259" s="467">
        <f t="shared" si="40"/>
        <v>1943633.1671789412</v>
      </c>
      <c r="E259" s="467">
        <v>0</v>
      </c>
      <c r="F259" s="467">
        <f t="shared" si="41"/>
        <v>11463211.654593578</v>
      </c>
      <c r="G259" s="468">
        <f t="shared" si="42"/>
        <v>2813.0580747468903</v>
      </c>
      <c r="H259" s="459">
        <f t="shared" si="43"/>
        <v>972.2719252531097</v>
      </c>
      <c r="I259" s="379">
        <f t="shared" si="44"/>
      </c>
      <c r="J259" s="379">
        <f t="shared" si="45"/>
      </c>
      <c r="K259" s="460">
        <f t="shared" si="46"/>
        <v>777.8175402024877</v>
      </c>
      <c r="L259" s="487">
        <f t="shared" si="47"/>
        <v>3169606.4763251375</v>
      </c>
      <c r="M259" s="487"/>
      <c r="N259" s="477">
        <v>762</v>
      </c>
      <c r="O259" s="388" t="s">
        <v>1057</v>
      </c>
      <c r="P259" s="470">
        <v>0</v>
      </c>
      <c r="Q259" s="471" t="s">
        <v>798</v>
      </c>
      <c r="X259" s="472" t="s">
        <v>300</v>
      </c>
      <c r="Y259" s="473">
        <v>20.5</v>
      </c>
      <c r="Z259" s="474">
        <v>9831302.72</v>
      </c>
      <c r="AA259" s="475">
        <f t="shared" si="48"/>
        <v>47957574.243902445</v>
      </c>
      <c r="AB259" s="474">
        <v>1943633.1671789412</v>
      </c>
      <c r="AE259" s="488">
        <v>762</v>
      </c>
      <c r="AF259">
        <f t="shared" si="49"/>
        <v>0</v>
      </c>
      <c r="AH259" s="476">
        <v>9609.294937390361</v>
      </c>
      <c r="AI259">
        <f t="shared" si="50"/>
        <v>9609294.937390361</v>
      </c>
      <c r="AJ259" s="489">
        <v>1954.4021280000002</v>
      </c>
      <c r="AK259">
        <f t="shared" si="51"/>
        <v>1954402.1280000003</v>
      </c>
    </row>
    <row r="260" spans="1:37" ht="15" customHeight="1">
      <c r="A260" s="452" t="s">
        <v>1058</v>
      </c>
      <c r="B260" s="466">
        <v>10423</v>
      </c>
      <c r="C260" s="467">
        <f t="shared" si="39"/>
        <v>30761554.574705884</v>
      </c>
      <c r="D260" s="467">
        <f t="shared" si="40"/>
        <v>2525328.4025374204</v>
      </c>
      <c r="E260" s="467">
        <v>0</v>
      </c>
      <c r="F260" s="467">
        <f t="shared" si="41"/>
        <v>33286882.977243304</v>
      </c>
      <c r="G260" s="468">
        <f t="shared" si="42"/>
        <v>3193.5990575883434</v>
      </c>
      <c r="H260" s="459">
        <f t="shared" si="43"/>
        <v>591.7309424116565</v>
      </c>
      <c r="I260" s="379">
        <f t="shared" si="44"/>
      </c>
      <c r="J260" s="379">
        <f t="shared" si="45"/>
      </c>
      <c r="K260" s="460">
        <f t="shared" si="46"/>
        <v>473.38475392932526</v>
      </c>
      <c r="L260" s="487">
        <f t="shared" si="47"/>
        <v>4934089.290205358</v>
      </c>
      <c r="M260" s="487"/>
      <c r="N260" s="477">
        <v>765</v>
      </c>
      <c r="O260" s="388" t="s">
        <v>1058</v>
      </c>
      <c r="P260" s="470">
        <v>0</v>
      </c>
      <c r="Q260" s="471" t="s">
        <v>787</v>
      </c>
      <c r="X260" s="472" t="s">
        <v>301</v>
      </c>
      <c r="Y260" s="473">
        <v>21.25</v>
      </c>
      <c r="Z260" s="474">
        <v>32931135.25</v>
      </c>
      <c r="AA260" s="475">
        <f t="shared" si="48"/>
        <v>154970048.2352941</v>
      </c>
      <c r="AB260" s="474">
        <v>2525328.4025374204</v>
      </c>
      <c r="AE260" s="488">
        <v>765</v>
      </c>
      <c r="AF260">
        <f t="shared" si="49"/>
        <v>0</v>
      </c>
      <c r="AH260" s="476">
        <v>32913.472087022375</v>
      </c>
      <c r="AI260">
        <f t="shared" si="50"/>
        <v>32913472.087022375</v>
      </c>
      <c r="AJ260" s="489">
        <v>2539.320324</v>
      </c>
      <c r="AK260">
        <f t="shared" si="51"/>
        <v>2539320.324</v>
      </c>
    </row>
    <row r="261" spans="1:37" ht="15" customHeight="1">
      <c r="A261" s="452" t="s">
        <v>1059</v>
      </c>
      <c r="B261" s="466">
        <v>2588</v>
      </c>
      <c r="C261" s="467">
        <f t="shared" si="39"/>
        <v>5789321.485674419</v>
      </c>
      <c r="D261" s="467">
        <f t="shared" si="40"/>
        <v>1138682.977902019</v>
      </c>
      <c r="E261" s="467">
        <v>0</v>
      </c>
      <c r="F261" s="467">
        <f t="shared" si="41"/>
        <v>6928004.463576438</v>
      </c>
      <c r="G261" s="468">
        <f t="shared" si="42"/>
        <v>2676.9723584143885</v>
      </c>
      <c r="H261" s="459">
        <f t="shared" si="43"/>
        <v>1108.3576415856114</v>
      </c>
      <c r="I261" s="379">
        <f t="shared" si="44"/>
      </c>
      <c r="J261" s="379">
        <f t="shared" si="45"/>
      </c>
      <c r="K261" s="460">
        <f t="shared" si="46"/>
        <v>886.6861132684892</v>
      </c>
      <c r="L261" s="487">
        <f t="shared" si="47"/>
        <v>2294743.66113885</v>
      </c>
      <c r="M261" s="487"/>
      <c r="N261" s="477">
        <v>768</v>
      </c>
      <c r="O261" s="388" t="s">
        <v>1059</v>
      </c>
      <c r="P261" s="470">
        <v>0</v>
      </c>
      <c r="Q261" s="471" t="s">
        <v>746</v>
      </c>
      <c r="X261" s="472" t="s">
        <v>302</v>
      </c>
      <c r="Y261" s="473">
        <v>21.5</v>
      </c>
      <c r="Z261" s="474">
        <v>6270549.72</v>
      </c>
      <c r="AA261" s="475">
        <f t="shared" si="48"/>
        <v>29165347.534883723</v>
      </c>
      <c r="AB261" s="474">
        <v>1138682.977902019</v>
      </c>
      <c r="AE261" s="488">
        <v>768</v>
      </c>
      <c r="AF261">
        <f t="shared" si="49"/>
        <v>0</v>
      </c>
      <c r="AH261" s="476">
        <v>6326.058604886712</v>
      </c>
      <c r="AI261">
        <f t="shared" si="50"/>
        <v>6326058.604886712</v>
      </c>
      <c r="AJ261" s="489">
        <v>1144.992004</v>
      </c>
      <c r="AK261">
        <f t="shared" si="51"/>
        <v>1144992.004</v>
      </c>
    </row>
    <row r="262" spans="1:37" ht="15" customHeight="1">
      <c r="A262" s="452" t="s">
        <v>1060</v>
      </c>
      <c r="B262" s="466">
        <v>8051</v>
      </c>
      <c r="C262" s="467">
        <f t="shared" si="39"/>
        <v>19823338.86465854</v>
      </c>
      <c r="D262" s="467">
        <f t="shared" si="40"/>
        <v>2613963.40837349</v>
      </c>
      <c r="E262" s="467">
        <v>0</v>
      </c>
      <c r="F262" s="467">
        <f t="shared" si="41"/>
        <v>22437302.27303203</v>
      </c>
      <c r="G262" s="468">
        <f t="shared" si="42"/>
        <v>2786.8963200884396</v>
      </c>
      <c r="H262" s="459">
        <f t="shared" si="43"/>
        <v>998.4336799115604</v>
      </c>
      <c r="I262" s="379">
        <f t="shared" si="44"/>
      </c>
      <c r="J262" s="379">
        <f t="shared" si="45"/>
      </c>
      <c r="K262" s="460">
        <f t="shared" si="46"/>
        <v>798.7469439292483</v>
      </c>
      <c r="L262" s="487">
        <f t="shared" si="47"/>
        <v>6430711.645574379</v>
      </c>
      <c r="M262" s="487"/>
      <c r="N262" s="477">
        <v>777</v>
      </c>
      <c r="O262" s="388" t="s">
        <v>1060</v>
      </c>
      <c r="P262" s="470">
        <v>0</v>
      </c>
      <c r="Q262" s="471" t="s">
        <v>787</v>
      </c>
      <c r="X262" s="472" t="s">
        <v>303</v>
      </c>
      <c r="Y262" s="473">
        <v>20.5</v>
      </c>
      <c r="Z262" s="474">
        <v>20472465.83</v>
      </c>
      <c r="AA262" s="475">
        <f t="shared" si="48"/>
        <v>99865686.97560975</v>
      </c>
      <c r="AB262" s="474">
        <v>2613963.40837349</v>
      </c>
      <c r="AE262" s="488">
        <v>777</v>
      </c>
      <c r="AF262">
        <f t="shared" si="49"/>
        <v>0</v>
      </c>
      <c r="AH262" s="476">
        <v>20708.197300175976</v>
      </c>
      <c r="AI262">
        <f t="shared" si="50"/>
        <v>20708197.300175976</v>
      </c>
      <c r="AJ262" s="489">
        <v>2628.446424</v>
      </c>
      <c r="AK262">
        <f t="shared" si="51"/>
        <v>2628446.424</v>
      </c>
    </row>
    <row r="263" spans="1:37" ht="15" customHeight="1">
      <c r="A263" s="452" t="s">
        <v>1061</v>
      </c>
      <c r="B263" s="466">
        <v>7266</v>
      </c>
      <c r="C263" s="467">
        <f t="shared" si="39"/>
        <v>18992815.679471266</v>
      </c>
      <c r="D263" s="467">
        <f t="shared" si="40"/>
        <v>1680325.8288799</v>
      </c>
      <c r="E263" s="467">
        <v>0</v>
      </c>
      <c r="F263" s="467">
        <f t="shared" si="41"/>
        <v>20673141.508351166</v>
      </c>
      <c r="G263" s="468">
        <f t="shared" si="42"/>
        <v>2845.188756998509</v>
      </c>
      <c r="H263" s="459">
        <f t="shared" si="43"/>
        <v>940.1412430014911</v>
      </c>
      <c r="I263" s="379">
        <f t="shared" si="44"/>
      </c>
      <c r="J263" s="379">
        <f t="shared" si="45"/>
      </c>
      <c r="K263" s="460">
        <f t="shared" si="46"/>
        <v>752.112994401193</v>
      </c>
      <c r="L263" s="487">
        <f t="shared" si="47"/>
        <v>5464853.017319068</v>
      </c>
      <c r="M263" s="487"/>
      <c r="N263" s="477">
        <v>778</v>
      </c>
      <c r="O263" s="388" t="s">
        <v>1061</v>
      </c>
      <c r="P263" s="470">
        <v>0</v>
      </c>
      <c r="Q263" s="471" t="s">
        <v>798</v>
      </c>
      <c r="X263" s="472" t="s">
        <v>304</v>
      </c>
      <c r="Y263" s="473">
        <v>21.75</v>
      </c>
      <c r="Z263" s="474">
        <v>20810767.81</v>
      </c>
      <c r="AA263" s="475">
        <f t="shared" si="48"/>
        <v>95681691.08045976</v>
      </c>
      <c r="AB263" s="474">
        <v>1680325.8288799</v>
      </c>
      <c r="AE263" s="488">
        <v>778</v>
      </c>
      <c r="AF263">
        <f t="shared" si="49"/>
        <v>0</v>
      </c>
      <c r="AH263" s="476">
        <v>20480.065177577395</v>
      </c>
      <c r="AI263">
        <f t="shared" si="50"/>
        <v>20480065.177577395</v>
      </c>
      <c r="AJ263" s="489">
        <v>1689.6358999999998</v>
      </c>
      <c r="AK263">
        <f t="shared" si="51"/>
        <v>1689635.8999999997</v>
      </c>
    </row>
    <row r="264" spans="1:37" ht="15" customHeight="1">
      <c r="A264" s="452" t="s">
        <v>1062</v>
      </c>
      <c r="B264" s="466">
        <v>3859</v>
      </c>
      <c r="C264" s="467">
        <f t="shared" si="39"/>
        <v>8983937.148289477</v>
      </c>
      <c r="D264" s="467">
        <f t="shared" si="40"/>
        <v>1348833.6180324533</v>
      </c>
      <c r="E264" s="467">
        <v>0</v>
      </c>
      <c r="F264" s="467">
        <f t="shared" si="41"/>
        <v>10332770.766321931</v>
      </c>
      <c r="G264" s="468">
        <f t="shared" si="42"/>
        <v>2677.5772910914566</v>
      </c>
      <c r="H264" s="459">
        <f t="shared" si="43"/>
        <v>1107.7527089085434</v>
      </c>
      <c r="I264" s="379">
        <f t="shared" si="44"/>
      </c>
      <c r="J264" s="379">
        <f t="shared" si="45"/>
      </c>
      <c r="K264" s="460">
        <f t="shared" si="46"/>
        <v>886.2021671268348</v>
      </c>
      <c r="L264" s="487">
        <f t="shared" si="47"/>
        <v>3419854.162942455</v>
      </c>
      <c r="M264" s="487"/>
      <c r="N264" s="477">
        <v>781</v>
      </c>
      <c r="O264" s="388" t="s">
        <v>1062</v>
      </c>
      <c r="P264" s="470">
        <v>0</v>
      </c>
      <c r="Q264" s="471" t="s">
        <v>739</v>
      </c>
      <c r="X264" s="472" t="s">
        <v>305</v>
      </c>
      <c r="Y264" s="473">
        <v>19</v>
      </c>
      <c r="Z264" s="474">
        <v>8599234.55</v>
      </c>
      <c r="AA264" s="475">
        <f t="shared" si="48"/>
        <v>45259129.210526325</v>
      </c>
      <c r="AB264" s="474">
        <v>1348833.6180324533</v>
      </c>
      <c r="AE264" s="488">
        <v>781</v>
      </c>
      <c r="AF264">
        <f t="shared" si="49"/>
        <v>0</v>
      </c>
      <c r="AH264" s="476">
        <v>8546.006536448687</v>
      </c>
      <c r="AI264">
        <f t="shared" si="50"/>
        <v>8546006.536448687</v>
      </c>
      <c r="AJ264" s="489">
        <v>1356.307012</v>
      </c>
      <c r="AK264">
        <f t="shared" si="51"/>
        <v>1356307.0119999999</v>
      </c>
    </row>
    <row r="265" spans="1:37" ht="15" customHeight="1">
      <c r="A265" s="452" t="s">
        <v>1063</v>
      </c>
      <c r="B265" s="466">
        <v>6903</v>
      </c>
      <c r="C265" s="467">
        <f t="shared" si="39"/>
        <v>21993601.906232562</v>
      </c>
      <c r="D265" s="467">
        <f t="shared" si="40"/>
        <v>1391643.1619997509</v>
      </c>
      <c r="E265" s="467">
        <v>0</v>
      </c>
      <c r="F265" s="467">
        <f t="shared" si="41"/>
        <v>23385245.068232313</v>
      </c>
      <c r="G265" s="468">
        <f t="shared" si="42"/>
        <v>3387.6930418995094</v>
      </c>
      <c r="H265" s="459">
        <f t="shared" si="43"/>
        <v>397.6369581004906</v>
      </c>
      <c r="I265" s="379">
        <f t="shared" si="44"/>
      </c>
      <c r="J265" s="379">
        <f t="shared" si="45"/>
      </c>
      <c r="K265" s="460">
        <f t="shared" si="46"/>
        <v>318.10956648039246</v>
      </c>
      <c r="L265" s="487">
        <f t="shared" si="47"/>
        <v>2195910.337414149</v>
      </c>
      <c r="M265" s="487"/>
      <c r="N265" s="477">
        <v>783</v>
      </c>
      <c r="O265" s="388" t="s">
        <v>1063</v>
      </c>
      <c r="P265" s="470">
        <v>0</v>
      </c>
      <c r="Q265" s="471" t="s">
        <v>753</v>
      </c>
      <c r="X265" s="472" t="s">
        <v>306</v>
      </c>
      <c r="Y265" s="473">
        <v>21.5</v>
      </c>
      <c r="Z265" s="474">
        <v>23821785.44</v>
      </c>
      <c r="AA265" s="475">
        <f t="shared" si="48"/>
        <v>110799002.04651164</v>
      </c>
      <c r="AB265" s="474">
        <v>1391643.1619997509</v>
      </c>
      <c r="AE265" s="488">
        <v>783</v>
      </c>
      <c r="AF265">
        <f t="shared" si="49"/>
        <v>0</v>
      </c>
      <c r="AH265" s="476">
        <v>24068.188600332953</v>
      </c>
      <c r="AI265">
        <f t="shared" si="50"/>
        <v>24068188.600332953</v>
      </c>
      <c r="AJ265" s="489">
        <v>1399.353748</v>
      </c>
      <c r="AK265">
        <f t="shared" si="51"/>
        <v>1399353.748</v>
      </c>
    </row>
    <row r="266" spans="1:37" ht="15" customHeight="1">
      <c r="A266" s="452" t="s">
        <v>1064</v>
      </c>
      <c r="B266" s="466">
        <v>2941</v>
      </c>
      <c r="C266" s="467">
        <f t="shared" si="39"/>
        <v>7089414.14972093</v>
      </c>
      <c r="D266" s="467">
        <f t="shared" si="40"/>
        <v>619650.4434263352</v>
      </c>
      <c r="E266" s="467">
        <v>0</v>
      </c>
      <c r="F266" s="467">
        <f t="shared" si="41"/>
        <v>7709064.593147265</v>
      </c>
      <c r="G266" s="468">
        <f t="shared" si="42"/>
        <v>2621.2392360242316</v>
      </c>
      <c r="H266" s="459">
        <f t="shared" si="43"/>
        <v>1164.0907639757684</v>
      </c>
      <c r="I266" s="379">
        <f t="shared" si="44"/>
      </c>
      <c r="J266" s="379">
        <f t="shared" si="45"/>
      </c>
      <c r="K266" s="460">
        <f t="shared" si="46"/>
        <v>931.2726111806147</v>
      </c>
      <c r="L266" s="487">
        <f t="shared" si="47"/>
        <v>2738872.749482188</v>
      </c>
      <c r="M266" s="487"/>
      <c r="N266" s="477">
        <v>785</v>
      </c>
      <c r="O266" s="388" t="s">
        <v>1064</v>
      </c>
      <c r="P266" s="470">
        <v>0</v>
      </c>
      <c r="Q266" s="471" t="s">
        <v>736</v>
      </c>
      <c r="X266" s="472" t="s">
        <v>330</v>
      </c>
      <c r="Y266" s="473">
        <v>21.5</v>
      </c>
      <c r="Z266" s="474">
        <v>7678710.54</v>
      </c>
      <c r="AA266" s="475">
        <f t="shared" si="48"/>
        <v>35714932.744186044</v>
      </c>
      <c r="AB266" s="474">
        <v>619650.4434263352</v>
      </c>
      <c r="AE266" s="488">
        <v>785</v>
      </c>
      <c r="AF266">
        <f t="shared" si="49"/>
        <v>0</v>
      </c>
      <c r="AH266" s="476">
        <v>7704.37744899502</v>
      </c>
      <c r="AI266">
        <f t="shared" si="50"/>
        <v>7704377.44899502</v>
      </c>
      <c r="AJ266" s="489">
        <v>623.0836999999999</v>
      </c>
      <c r="AK266">
        <f t="shared" si="51"/>
        <v>623083.7</v>
      </c>
    </row>
    <row r="267" spans="1:37" ht="15" customHeight="1">
      <c r="A267" s="452" t="s">
        <v>283</v>
      </c>
      <c r="B267" s="466">
        <v>24820</v>
      </c>
      <c r="C267" s="467">
        <f t="shared" si="39"/>
        <v>67978666.42946988</v>
      </c>
      <c r="D267" s="467">
        <f t="shared" si="40"/>
        <v>4697353.549253856</v>
      </c>
      <c r="E267" s="467">
        <v>0</v>
      </c>
      <c r="F267" s="467">
        <f t="shared" si="41"/>
        <v>72676019.97872373</v>
      </c>
      <c r="G267" s="468">
        <f t="shared" si="42"/>
        <v>2928.12328681401</v>
      </c>
      <c r="H267" s="459">
        <f t="shared" si="43"/>
        <v>857.2067131859899</v>
      </c>
      <c r="I267" s="379">
        <f t="shared" si="44"/>
      </c>
      <c r="J267" s="379">
        <f t="shared" si="45"/>
      </c>
      <c r="K267" s="460">
        <f t="shared" si="46"/>
        <v>685.7653705487919</v>
      </c>
      <c r="L267" s="487">
        <f t="shared" si="47"/>
        <v>17020696.497021016</v>
      </c>
      <c r="M267" s="487"/>
      <c r="N267" s="477">
        <v>790</v>
      </c>
      <c r="O267" s="388" t="s">
        <v>283</v>
      </c>
      <c r="P267" s="470">
        <v>0</v>
      </c>
      <c r="Q267" s="471" t="s">
        <v>744</v>
      </c>
      <c r="X267" s="472" t="s">
        <v>283</v>
      </c>
      <c r="Y267" s="473">
        <v>20.75</v>
      </c>
      <c r="Z267" s="474">
        <v>71060822.59</v>
      </c>
      <c r="AA267" s="475">
        <f t="shared" si="48"/>
        <v>342461795.61445785</v>
      </c>
      <c r="AB267" s="474">
        <v>4697353.549253856</v>
      </c>
      <c r="AE267" s="488">
        <v>790</v>
      </c>
      <c r="AF267">
        <f t="shared" si="49"/>
        <v>0</v>
      </c>
      <c r="AH267" s="476">
        <v>71164.5037743954</v>
      </c>
      <c r="AI267">
        <f t="shared" si="50"/>
        <v>71164503.7743954</v>
      </c>
      <c r="AJ267" s="489">
        <v>4723.379867999999</v>
      </c>
      <c r="AK267">
        <f t="shared" si="51"/>
        <v>4723379.867999999</v>
      </c>
    </row>
    <row r="268" spans="1:37" ht="15" customHeight="1">
      <c r="A268" s="465" t="s">
        <v>292</v>
      </c>
      <c r="B268" s="466">
        <v>5447</v>
      </c>
      <c r="C268" s="467">
        <f t="shared" si="39"/>
        <v>12458018.53834091</v>
      </c>
      <c r="D268" s="467">
        <f t="shared" si="40"/>
        <v>1156581.9860414823</v>
      </c>
      <c r="E268" s="467">
        <v>0</v>
      </c>
      <c r="F268" s="467">
        <f t="shared" si="41"/>
        <v>13614600.524382392</v>
      </c>
      <c r="G268" s="468">
        <f t="shared" si="42"/>
        <v>2499.467693112244</v>
      </c>
      <c r="H268" s="459">
        <f t="shared" si="43"/>
        <v>1285.862306887756</v>
      </c>
      <c r="I268" s="379">
        <f t="shared" si="44"/>
      </c>
      <c r="J268" s="379">
        <f t="shared" si="45"/>
      </c>
      <c r="K268" s="460">
        <f t="shared" si="46"/>
        <v>1028.6898455102048</v>
      </c>
      <c r="L268" s="487">
        <f t="shared" si="47"/>
        <v>5603273.588494086</v>
      </c>
      <c r="M268" s="487"/>
      <c r="N268" s="469">
        <v>791</v>
      </c>
      <c r="O268" s="388" t="s">
        <v>292</v>
      </c>
      <c r="P268" s="470">
        <v>0</v>
      </c>
      <c r="Q268" s="471" t="s">
        <v>736</v>
      </c>
      <c r="X268" s="472" t="s">
        <v>292</v>
      </c>
      <c r="Y268" s="473">
        <v>22</v>
      </c>
      <c r="Z268" s="474">
        <v>13807375.71</v>
      </c>
      <c r="AA268" s="475">
        <f t="shared" si="48"/>
        <v>62760798.68181818</v>
      </c>
      <c r="AB268" s="474">
        <v>1156581.9860414823</v>
      </c>
      <c r="AE268" s="488">
        <v>791</v>
      </c>
      <c r="AF268">
        <f t="shared" si="49"/>
        <v>0</v>
      </c>
      <c r="AH268" s="476">
        <v>13604.149350049043</v>
      </c>
      <c r="AI268">
        <f t="shared" si="50"/>
        <v>13604149.350049043</v>
      </c>
      <c r="AJ268" s="489">
        <v>1162.9901839999998</v>
      </c>
      <c r="AK268">
        <f t="shared" si="51"/>
        <v>1162990.1839999997</v>
      </c>
    </row>
    <row r="269" spans="1:37" ht="15" customHeight="1">
      <c r="A269" s="452" t="s">
        <v>1065</v>
      </c>
      <c r="B269" s="466">
        <v>4774</v>
      </c>
      <c r="C269" s="467">
        <f t="shared" si="39"/>
        <v>16200152.797146343</v>
      </c>
      <c r="D269" s="467">
        <f t="shared" si="40"/>
        <v>871222.9799718542</v>
      </c>
      <c r="E269" s="467">
        <v>0</v>
      </c>
      <c r="F269" s="467">
        <f t="shared" si="41"/>
        <v>17071375.7771182</v>
      </c>
      <c r="G269" s="468">
        <f t="shared" si="42"/>
        <v>3575.906111671177</v>
      </c>
      <c r="H269" s="459">
        <f t="shared" si="43"/>
        <v>209.42388832882307</v>
      </c>
      <c r="I269" s="379">
        <f t="shared" si="44"/>
      </c>
      <c r="J269" s="379">
        <f t="shared" si="45"/>
      </c>
      <c r="K269" s="460">
        <f t="shared" si="46"/>
        <v>167.53911066305847</v>
      </c>
      <c r="L269" s="487">
        <f t="shared" si="47"/>
        <v>799831.7143054411</v>
      </c>
      <c r="M269" s="487"/>
      <c r="N269" s="477">
        <v>831</v>
      </c>
      <c r="O269" s="388" t="s">
        <v>1065</v>
      </c>
      <c r="P269" s="470">
        <v>0</v>
      </c>
      <c r="Q269" s="471" t="s">
        <v>816</v>
      </c>
      <c r="X269" s="472" t="s">
        <v>307</v>
      </c>
      <c r="Y269" s="473">
        <v>20.5</v>
      </c>
      <c r="Z269" s="474">
        <v>16730636.39</v>
      </c>
      <c r="AA269" s="475">
        <f t="shared" si="48"/>
        <v>81612860.43902439</v>
      </c>
      <c r="AB269" s="474">
        <v>871222.9799718542</v>
      </c>
      <c r="AE269" s="488">
        <v>831</v>
      </c>
      <c r="AF269">
        <f t="shared" si="49"/>
        <v>0</v>
      </c>
      <c r="AH269" s="476">
        <v>16829.88099954202</v>
      </c>
      <c r="AI269">
        <f t="shared" si="50"/>
        <v>16829880.99954202</v>
      </c>
      <c r="AJ269" s="489">
        <v>876.0501079999999</v>
      </c>
      <c r="AK269">
        <f t="shared" si="51"/>
        <v>876050.1079999999</v>
      </c>
    </row>
    <row r="270" spans="1:37" ht="15" customHeight="1">
      <c r="A270" s="452" t="s">
        <v>1066</v>
      </c>
      <c r="B270" s="466">
        <v>4058</v>
      </c>
      <c r="C270" s="467">
        <f t="shared" si="39"/>
        <v>9404343.892439025</v>
      </c>
      <c r="D270" s="467">
        <f t="shared" si="40"/>
        <v>1240586.8259343358</v>
      </c>
      <c r="E270" s="467">
        <v>0</v>
      </c>
      <c r="F270" s="467">
        <f t="shared" si="41"/>
        <v>10644930.71837336</v>
      </c>
      <c r="G270" s="468">
        <f t="shared" si="42"/>
        <v>2623.196332768201</v>
      </c>
      <c r="H270" s="459">
        <f t="shared" si="43"/>
        <v>1162.1336672317989</v>
      </c>
      <c r="I270" s="379">
        <f t="shared" si="44"/>
      </c>
      <c r="J270" s="379">
        <f t="shared" si="45"/>
      </c>
      <c r="K270" s="460">
        <f t="shared" si="46"/>
        <v>929.7069337854391</v>
      </c>
      <c r="L270" s="487">
        <f t="shared" si="47"/>
        <v>3772750.737301312</v>
      </c>
      <c r="M270" s="487"/>
      <c r="N270" s="477">
        <v>832</v>
      </c>
      <c r="O270" s="388" t="s">
        <v>1066</v>
      </c>
      <c r="P270" s="470">
        <v>0</v>
      </c>
      <c r="Q270" s="471" t="s">
        <v>736</v>
      </c>
      <c r="X270" s="472" t="s">
        <v>308</v>
      </c>
      <c r="Y270" s="473">
        <v>20.5</v>
      </c>
      <c r="Z270" s="474">
        <v>9712294.7</v>
      </c>
      <c r="AA270" s="475">
        <f t="shared" si="48"/>
        <v>47377047.31707317</v>
      </c>
      <c r="AB270" s="474">
        <v>1240586.8259343358</v>
      </c>
      <c r="AE270" s="488">
        <v>832</v>
      </c>
      <c r="AF270">
        <f t="shared" si="49"/>
        <v>0</v>
      </c>
      <c r="AH270" s="476">
        <v>9860.603629098136</v>
      </c>
      <c r="AI270">
        <f t="shared" si="50"/>
        <v>9860603.629098136</v>
      </c>
      <c r="AJ270" s="489">
        <v>1247.460464</v>
      </c>
      <c r="AK270">
        <f t="shared" si="51"/>
        <v>1247460.464</v>
      </c>
    </row>
    <row r="271" spans="1:37" ht="15" customHeight="1">
      <c r="A271" s="452" t="s">
        <v>1067</v>
      </c>
      <c r="B271" s="466">
        <v>1654</v>
      </c>
      <c r="C271" s="467">
        <f t="shared" si="39"/>
        <v>4865862.403493975</v>
      </c>
      <c r="D271" s="467">
        <f t="shared" si="40"/>
        <v>226664.8051791891</v>
      </c>
      <c r="E271" s="467">
        <v>0</v>
      </c>
      <c r="F271" s="467">
        <f t="shared" si="41"/>
        <v>5092527.208673164</v>
      </c>
      <c r="G271" s="468">
        <f t="shared" si="42"/>
        <v>3078.9160874686604</v>
      </c>
      <c r="H271" s="459">
        <f t="shared" si="43"/>
        <v>706.4139125313395</v>
      </c>
      <c r="I271" s="379">
        <f t="shared" si="44"/>
      </c>
      <c r="J271" s="379">
        <f t="shared" si="45"/>
      </c>
      <c r="K271" s="460">
        <f t="shared" si="46"/>
        <v>565.1311300250717</v>
      </c>
      <c r="L271" s="487">
        <f t="shared" si="47"/>
        <v>934726.8890614685</v>
      </c>
      <c r="M271" s="487"/>
      <c r="N271" s="477">
        <v>833</v>
      </c>
      <c r="O271" s="478" t="s">
        <v>1068</v>
      </c>
      <c r="P271" s="470">
        <v>0</v>
      </c>
      <c r="Q271" s="471" t="s">
        <v>743</v>
      </c>
      <c r="X271" s="472" t="s">
        <v>309</v>
      </c>
      <c r="Y271" s="473">
        <v>20.75</v>
      </c>
      <c r="Z271" s="474">
        <v>5086480.85</v>
      </c>
      <c r="AA271" s="475">
        <f t="shared" si="48"/>
        <v>24513160.72289156</v>
      </c>
      <c r="AB271" s="474">
        <v>226664.8051791891</v>
      </c>
      <c r="AE271" s="488">
        <v>833</v>
      </c>
      <c r="AF271">
        <f t="shared" si="49"/>
        <v>0</v>
      </c>
      <c r="AH271" s="476">
        <v>5116.536085614698</v>
      </c>
      <c r="AI271">
        <f t="shared" si="50"/>
        <v>5116536.085614698</v>
      </c>
      <c r="AJ271" s="489">
        <v>227.920672</v>
      </c>
      <c r="AK271">
        <f t="shared" si="51"/>
        <v>227920.672</v>
      </c>
    </row>
    <row r="272" spans="1:37" ht="15" customHeight="1">
      <c r="A272" s="452" t="s">
        <v>1069</v>
      </c>
      <c r="B272" s="466">
        <v>6155</v>
      </c>
      <c r="C272" s="467">
        <f t="shared" si="39"/>
        <v>18349213.4697284</v>
      </c>
      <c r="D272" s="467">
        <f t="shared" si="40"/>
        <v>1253807.431392713</v>
      </c>
      <c r="E272" s="467">
        <v>0</v>
      </c>
      <c r="F272" s="467">
        <f t="shared" si="41"/>
        <v>19603020.901121113</v>
      </c>
      <c r="G272" s="468">
        <f t="shared" si="42"/>
        <v>3184.89372885802</v>
      </c>
      <c r="H272" s="459">
        <f t="shared" si="43"/>
        <v>600.4362711419799</v>
      </c>
      <c r="I272" s="379">
        <f t="shared" si="44"/>
      </c>
      <c r="J272" s="379">
        <f t="shared" si="45"/>
      </c>
      <c r="K272" s="460">
        <f t="shared" si="46"/>
        <v>480.3490169135839</v>
      </c>
      <c r="L272" s="487">
        <f t="shared" si="47"/>
        <v>2956548.199103109</v>
      </c>
      <c r="M272" s="487"/>
      <c r="N272" s="477">
        <v>834</v>
      </c>
      <c r="O272" s="388" t="s">
        <v>1069</v>
      </c>
      <c r="P272" s="470">
        <v>0</v>
      </c>
      <c r="Q272" s="471" t="s">
        <v>758</v>
      </c>
      <c r="X272" s="472" t="s">
        <v>310</v>
      </c>
      <c r="Y272" s="473">
        <v>20.25</v>
      </c>
      <c r="Z272" s="474">
        <v>18718970.92</v>
      </c>
      <c r="AA272" s="475">
        <f t="shared" si="48"/>
        <v>92439362.56790125</v>
      </c>
      <c r="AB272" s="474">
        <v>1253807.431392713</v>
      </c>
      <c r="AE272" s="488">
        <v>834</v>
      </c>
      <c r="AF272">
        <f t="shared" si="49"/>
        <v>0</v>
      </c>
      <c r="AH272" s="476">
        <v>18580.458021880735</v>
      </c>
      <c r="AI272">
        <f t="shared" si="50"/>
        <v>18580458.021880735</v>
      </c>
      <c r="AJ272" s="489">
        <v>1260.75432</v>
      </c>
      <c r="AK272">
        <f t="shared" si="51"/>
        <v>1260754.32</v>
      </c>
    </row>
    <row r="273" spans="1:37" ht="15" customHeight="1">
      <c r="A273" s="452" t="s">
        <v>1070</v>
      </c>
      <c r="B273" s="466">
        <v>231853</v>
      </c>
      <c r="C273" s="467">
        <f t="shared" si="39"/>
        <v>791470850.9549875</v>
      </c>
      <c r="D273" s="467">
        <f t="shared" si="40"/>
        <v>72842988.12889974</v>
      </c>
      <c r="E273" s="467">
        <v>0</v>
      </c>
      <c r="F273" s="467">
        <f t="shared" si="41"/>
        <v>864313839.0838872</v>
      </c>
      <c r="G273" s="468">
        <f t="shared" si="42"/>
        <v>3727.8527303243313</v>
      </c>
      <c r="H273" s="459">
        <f t="shared" si="43"/>
        <v>57.477269675668595</v>
      </c>
      <c r="I273" s="379">
        <f t="shared" si="44"/>
      </c>
      <c r="J273" s="379">
        <f t="shared" si="45"/>
      </c>
      <c r="K273" s="460">
        <f t="shared" si="46"/>
        <v>45.98181574053488</v>
      </c>
      <c r="L273" s="487">
        <f t="shared" si="47"/>
        <v>10661021.924890233</v>
      </c>
      <c r="M273" s="487"/>
      <c r="N273" s="477">
        <v>837</v>
      </c>
      <c r="O273" s="478" t="s">
        <v>1071</v>
      </c>
      <c r="P273" s="470">
        <v>0</v>
      </c>
      <c r="Q273" s="471" t="s">
        <v>744</v>
      </c>
      <c r="X273" s="472" t="s">
        <v>311</v>
      </c>
      <c r="Y273" s="473">
        <v>19.75</v>
      </c>
      <c r="Z273" s="474">
        <v>787483592.26</v>
      </c>
      <c r="AA273" s="475">
        <f t="shared" si="48"/>
        <v>3987258694.987342</v>
      </c>
      <c r="AB273" s="474">
        <v>72842988.12889974</v>
      </c>
      <c r="AE273" s="488">
        <v>837</v>
      </c>
      <c r="AF273">
        <f t="shared" si="49"/>
        <v>0</v>
      </c>
      <c r="AH273" s="476">
        <v>787481.7690096875</v>
      </c>
      <c r="AI273">
        <f t="shared" si="50"/>
        <v>787481769.0096874</v>
      </c>
      <c r="AJ273" s="489">
        <v>73246.584496</v>
      </c>
      <c r="AK273">
        <f t="shared" si="51"/>
        <v>73246584.49599999</v>
      </c>
    </row>
    <row r="274" spans="1:37" ht="15" customHeight="1">
      <c r="A274" s="452" t="s">
        <v>1072</v>
      </c>
      <c r="B274" s="466">
        <v>1585</v>
      </c>
      <c r="C274" s="467">
        <f t="shared" si="39"/>
        <v>3367179.272168675</v>
      </c>
      <c r="D274" s="467">
        <f t="shared" si="40"/>
        <v>437858.5180250366</v>
      </c>
      <c r="E274" s="467">
        <v>0</v>
      </c>
      <c r="F274" s="467">
        <f t="shared" si="41"/>
        <v>3805037.7901937114</v>
      </c>
      <c r="G274" s="468">
        <f t="shared" si="42"/>
        <v>2400.654757220007</v>
      </c>
      <c r="H274" s="459">
        <f t="shared" si="43"/>
        <v>1384.675242779993</v>
      </c>
      <c r="I274" s="379">
        <f t="shared" si="44"/>
      </c>
      <c r="J274" s="379">
        <f t="shared" si="45"/>
      </c>
      <c r="K274" s="460">
        <f t="shared" si="46"/>
        <v>1107.7401942239944</v>
      </c>
      <c r="L274" s="487">
        <f t="shared" si="47"/>
        <v>1755768.207845031</v>
      </c>
      <c r="M274" s="487"/>
      <c r="N274" s="477">
        <v>844</v>
      </c>
      <c r="O274" s="388" t="s">
        <v>1072</v>
      </c>
      <c r="P274" s="470">
        <v>0</v>
      </c>
      <c r="Q274" s="471" t="s">
        <v>798</v>
      </c>
      <c r="X274" s="472" t="s">
        <v>312</v>
      </c>
      <c r="Y274" s="473">
        <v>20.75</v>
      </c>
      <c r="Z274" s="474">
        <v>3519847.35</v>
      </c>
      <c r="AA274" s="475">
        <f t="shared" si="48"/>
        <v>16963119.759036146</v>
      </c>
      <c r="AB274" s="474">
        <v>437858.5180250366</v>
      </c>
      <c r="AE274" s="488">
        <v>844</v>
      </c>
      <c r="AF274">
        <f t="shared" si="49"/>
        <v>0</v>
      </c>
      <c r="AH274" s="476">
        <v>3542.968048794327</v>
      </c>
      <c r="AI274">
        <f t="shared" si="50"/>
        <v>3542968.048794327</v>
      </c>
      <c r="AJ274" s="489">
        <v>440.284532</v>
      </c>
      <c r="AK274">
        <f t="shared" si="51"/>
        <v>440284.532</v>
      </c>
    </row>
    <row r="275" spans="1:37" ht="15" customHeight="1">
      <c r="A275" s="452" t="s">
        <v>1073</v>
      </c>
      <c r="B275" s="466">
        <v>3068</v>
      </c>
      <c r="C275" s="467">
        <f aca="true" t="shared" si="52" ref="C275:C312">19.85*AA275/100</f>
        <v>8120207.186692309</v>
      </c>
      <c r="D275" s="467">
        <f aca="true" t="shared" si="53" ref="D275:D312">AB275</f>
        <v>473281.85824702</v>
      </c>
      <c r="E275" s="467">
        <v>0</v>
      </c>
      <c r="F275" s="467">
        <f aca="true" t="shared" si="54" ref="F275:F312">C275+D275+E275</f>
        <v>8593489.044939328</v>
      </c>
      <c r="G275" s="468">
        <f aca="true" t="shared" si="55" ref="G275:G312">F275/B275</f>
        <v>2801.006859497825</v>
      </c>
      <c r="H275" s="459">
        <f aca="true" t="shared" si="56" ref="H275:H312">$G$15-G275</f>
        <v>984.3231405021747</v>
      </c>
      <c r="I275" s="379">
        <f aca="true" t="shared" si="57" ref="I275:I312">IF(H275&lt;0,LN(-H275),"")</f>
      </c>
      <c r="J275" s="379">
        <f aca="true" t="shared" si="58" ref="J275:J312">IF(H275&lt;0,30+I275,"")</f>
      </c>
      <c r="K275" s="460">
        <f aca="true" t="shared" si="59" ref="K275:K312">IF(H275&gt;0,H275*0.8,J275*H275/100)</f>
        <v>787.4585124017399</v>
      </c>
      <c r="L275" s="487">
        <f aca="true" t="shared" si="60" ref="L275:L312">K275*B275</f>
        <v>2415922.7160485378</v>
      </c>
      <c r="M275" s="487"/>
      <c r="N275" s="477">
        <v>845</v>
      </c>
      <c r="O275" s="388" t="s">
        <v>1073</v>
      </c>
      <c r="P275" s="470">
        <v>0</v>
      </c>
      <c r="Q275" s="471" t="s">
        <v>749</v>
      </c>
      <c r="X275" s="472" t="s">
        <v>313</v>
      </c>
      <c r="Y275" s="473">
        <v>19.5</v>
      </c>
      <c r="Z275" s="474">
        <v>7977029.73</v>
      </c>
      <c r="AA275" s="475">
        <f aca="true" t="shared" si="61" ref="AA275:AA312">100*Z275/Y275</f>
        <v>40907844.76923077</v>
      </c>
      <c r="AB275" s="474">
        <v>473281.85824702</v>
      </c>
      <c r="AE275" s="488">
        <v>845</v>
      </c>
      <c r="AF275">
        <f aca="true" t="shared" si="62" ref="AF275:AF312">N275-AE275</f>
        <v>0</v>
      </c>
      <c r="AH275" s="476">
        <v>8084.510178728362</v>
      </c>
      <c r="AI275">
        <f aca="true" t="shared" si="63" ref="AI275:AI312">AH275*1000</f>
        <v>8084510.178728362</v>
      </c>
      <c r="AJ275" s="489">
        <v>475.90414000000004</v>
      </c>
      <c r="AK275">
        <f aca="true" t="shared" si="64" ref="AK275:AK312">AJ275*1000</f>
        <v>475904.14</v>
      </c>
    </row>
    <row r="276" spans="1:37" s="1" customFormat="1" ht="15" customHeight="1">
      <c r="A276" s="452" t="s">
        <v>1074</v>
      </c>
      <c r="B276" s="466">
        <v>5269</v>
      </c>
      <c r="C276" s="467">
        <f t="shared" si="52"/>
        <v>12856657.880666668</v>
      </c>
      <c r="D276" s="467">
        <f t="shared" si="53"/>
        <v>872384.4009627389</v>
      </c>
      <c r="E276" s="467">
        <v>0</v>
      </c>
      <c r="F276" s="467">
        <f t="shared" si="54"/>
        <v>13729042.281629406</v>
      </c>
      <c r="G276" s="468">
        <f t="shared" si="55"/>
        <v>2605.625788883926</v>
      </c>
      <c r="H276" s="459">
        <f t="shared" si="56"/>
        <v>1179.704211116074</v>
      </c>
      <c r="I276" s="379">
        <f t="shared" si="57"/>
      </c>
      <c r="J276" s="379">
        <f t="shared" si="58"/>
      </c>
      <c r="K276" s="460">
        <f t="shared" si="59"/>
        <v>943.7633688928593</v>
      </c>
      <c r="L276" s="487">
        <f t="shared" si="60"/>
        <v>4972689.190696475</v>
      </c>
      <c r="M276" s="487"/>
      <c r="N276" s="477">
        <v>846</v>
      </c>
      <c r="O276" s="478" t="s">
        <v>1075</v>
      </c>
      <c r="P276" s="470">
        <v>0</v>
      </c>
      <c r="Q276" s="471" t="s">
        <v>734</v>
      </c>
      <c r="R276"/>
      <c r="S276"/>
      <c r="T276"/>
      <c r="U276"/>
      <c r="V276"/>
      <c r="W276"/>
      <c r="X276" s="472" t="s">
        <v>314</v>
      </c>
      <c r="Y276" s="473">
        <v>22.5</v>
      </c>
      <c r="Z276" s="474">
        <v>14573037.9</v>
      </c>
      <c r="AA276" s="475">
        <f t="shared" si="61"/>
        <v>64769057.333333336</v>
      </c>
      <c r="AB276" s="474">
        <v>872384.4009627389</v>
      </c>
      <c r="AC276"/>
      <c r="AE276" s="488">
        <v>846</v>
      </c>
      <c r="AF276">
        <f t="shared" si="62"/>
        <v>0</v>
      </c>
      <c r="AH276" s="476">
        <v>14351.854436230004</v>
      </c>
      <c r="AI276">
        <f t="shared" si="63"/>
        <v>14351854.436230004</v>
      </c>
      <c r="AJ276" s="489">
        <v>877.2179639999999</v>
      </c>
      <c r="AK276">
        <f t="shared" si="64"/>
        <v>877217.9639999999</v>
      </c>
    </row>
    <row r="277" spans="1:37" ht="15" customHeight="1">
      <c r="A277" s="452" t="s">
        <v>1076</v>
      </c>
      <c r="B277" s="466">
        <v>4571</v>
      </c>
      <c r="C277" s="467">
        <f t="shared" si="52"/>
        <v>10609895.574735634</v>
      </c>
      <c r="D277" s="467">
        <f t="shared" si="53"/>
        <v>927336.8893144503</v>
      </c>
      <c r="E277" s="467">
        <v>0</v>
      </c>
      <c r="F277" s="467">
        <f t="shared" si="54"/>
        <v>11537232.464050084</v>
      </c>
      <c r="G277" s="468">
        <f t="shared" si="55"/>
        <v>2524.006227094746</v>
      </c>
      <c r="H277" s="459">
        <f t="shared" si="56"/>
        <v>1261.323772905254</v>
      </c>
      <c r="I277" s="379">
        <f t="shared" si="57"/>
      </c>
      <c r="J277" s="379">
        <f t="shared" si="58"/>
      </c>
      <c r="K277" s="460">
        <f t="shared" si="59"/>
        <v>1009.0590183242032</v>
      </c>
      <c r="L277" s="487">
        <f t="shared" si="60"/>
        <v>4612408.772759933</v>
      </c>
      <c r="M277" s="487"/>
      <c r="N277" s="477">
        <v>848</v>
      </c>
      <c r="O277" s="388" t="s">
        <v>1076</v>
      </c>
      <c r="P277" s="470">
        <v>0</v>
      </c>
      <c r="Q277" s="471" t="s">
        <v>805</v>
      </c>
      <c r="S277" s="1"/>
      <c r="T277" s="1"/>
      <c r="U277" s="1"/>
      <c r="X277" s="472" t="s">
        <v>315</v>
      </c>
      <c r="Y277" s="473">
        <v>21.75</v>
      </c>
      <c r="Z277" s="474">
        <v>11625452.33</v>
      </c>
      <c r="AA277" s="475">
        <f t="shared" si="61"/>
        <v>53450355.54022989</v>
      </c>
      <c r="AB277" s="474">
        <v>927336.8893144503</v>
      </c>
      <c r="AC277" s="1"/>
      <c r="AE277" s="488">
        <v>848</v>
      </c>
      <c r="AF277">
        <f t="shared" si="62"/>
        <v>0</v>
      </c>
      <c r="AH277" s="476">
        <v>11558.117740086162</v>
      </c>
      <c r="AI277">
        <f t="shared" si="63"/>
        <v>11558117.740086162</v>
      </c>
      <c r="AJ277" s="489">
        <v>932.474924</v>
      </c>
      <c r="AK277">
        <f t="shared" si="64"/>
        <v>932474.924</v>
      </c>
    </row>
    <row r="278" spans="1:37" ht="15" customHeight="1">
      <c r="A278" s="452" t="s">
        <v>1077</v>
      </c>
      <c r="B278" s="466">
        <v>3192</v>
      </c>
      <c r="C278" s="467">
        <f t="shared" si="52"/>
        <v>7319275.13108046</v>
      </c>
      <c r="D278" s="467">
        <f t="shared" si="53"/>
        <v>588953.5556592077</v>
      </c>
      <c r="E278" s="467">
        <v>0</v>
      </c>
      <c r="F278" s="467">
        <f t="shared" si="54"/>
        <v>7908228.686739667</v>
      </c>
      <c r="G278" s="468">
        <f t="shared" si="55"/>
        <v>2477.515252737991</v>
      </c>
      <c r="H278" s="459">
        <f t="shared" si="56"/>
        <v>1307.814747262009</v>
      </c>
      <c r="I278" s="379">
        <f t="shared" si="57"/>
      </c>
      <c r="J278" s="379">
        <f t="shared" si="58"/>
      </c>
      <c r="K278" s="460">
        <f t="shared" si="59"/>
        <v>1046.2517978096073</v>
      </c>
      <c r="L278" s="487">
        <f t="shared" si="60"/>
        <v>3339635.7386082667</v>
      </c>
      <c r="M278" s="487"/>
      <c r="N278" s="477">
        <v>849</v>
      </c>
      <c r="O278" s="388" t="s">
        <v>1077</v>
      </c>
      <c r="P278" s="470">
        <v>0</v>
      </c>
      <c r="Q278" s="471" t="s">
        <v>764</v>
      </c>
      <c r="U278" s="53"/>
      <c r="X278" s="472" t="s">
        <v>316</v>
      </c>
      <c r="Y278" s="473">
        <v>21.75</v>
      </c>
      <c r="Z278" s="474">
        <v>8019860.66</v>
      </c>
      <c r="AA278" s="475">
        <f t="shared" si="61"/>
        <v>36872922.57471264</v>
      </c>
      <c r="AB278" s="474">
        <v>588953.5556592077</v>
      </c>
      <c r="AE278" s="488">
        <v>849</v>
      </c>
      <c r="AF278">
        <f t="shared" si="62"/>
        <v>0</v>
      </c>
      <c r="AH278" s="476">
        <v>7909.048250379086</v>
      </c>
      <c r="AI278">
        <f t="shared" si="63"/>
        <v>7909048.2503790865</v>
      </c>
      <c r="AJ278" s="489">
        <v>592.216732</v>
      </c>
      <c r="AK278">
        <f t="shared" si="64"/>
        <v>592216.732</v>
      </c>
    </row>
    <row r="279" spans="1:37" ht="15" customHeight="1">
      <c r="A279" s="452" t="s">
        <v>1078</v>
      </c>
      <c r="B279" s="466">
        <v>2384</v>
      </c>
      <c r="C279" s="467">
        <f t="shared" si="52"/>
        <v>6405868.400666667</v>
      </c>
      <c r="D279" s="467">
        <f t="shared" si="53"/>
        <v>580468.1899683994</v>
      </c>
      <c r="E279" s="467">
        <v>0</v>
      </c>
      <c r="F279" s="467">
        <f t="shared" si="54"/>
        <v>6986336.590635067</v>
      </c>
      <c r="G279" s="468">
        <f t="shared" si="55"/>
        <v>2930.5103148637027</v>
      </c>
      <c r="H279" s="459">
        <f t="shared" si="56"/>
        <v>854.8196851362973</v>
      </c>
      <c r="I279" s="379">
        <f t="shared" si="57"/>
      </c>
      <c r="J279" s="379">
        <f t="shared" si="58"/>
      </c>
      <c r="K279" s="460">
        <f t="shared" si="59"/>
        <v>683.8557481090379</v>
      </c>
      <c r="L279" s="487">
        <f t="shared" si="60"/>
        <v>1630312.1034919464</v>
      </c>
      <c r="M279" s="487"/>
      <c r="N279" s="477">
        <v>850</v>
      </c>
      <c r="O279" s="388" t="s">
        <v>1078</v>
      </c>
      <c r="P279" s="470">
        <v>0</v>
      </c>
      <c r="Q279" s="471" t="s">
        <v>769</v>
      </c>
      <c r="X279" s="472" t="s">
        <v>317</v>
      </c>
      <c r="Y279" s="473">
        <v>21</v>
      </c>
      <c r="Z279" s="474">
        <v>6776989.24</v>
      </c>
      <c r="AA279" s="475">
        <f t="shared" si="61"/>
        <v>32271377.333333332</v>
      </c>
      <c r="AB279" s="474">
        <v>580468.1899683994</v>
      </c>
      <c r="AE279" s="488">
        <v>850</v>
      </c>
      <c r="AF279">
        <f t="shared" si="62"/>
        <v>0</v>
      </c>
      <c r="AH279" s="476">
        <v>6741.484768742727</v>
      </c>
      <c r="AI279">
        <f t="shared" si="63"/>
        <v>6741484.768742727</v>
      </c>
      <c r="AJ279" s="489">
        <v>583.684352</v>
      </c>
      <c r="AK279">
        <f t="shared" si="64"/>
        <v>583684.352</v>
      </c>
    </row>
    <row r="280" spans="1:37" ht="15" customHeight="1">
      <c r="A280" s="452" t="s">
        <v>1079</v>
      </c>
      <c r="B280" s="466">
        <v>21928</v>
      </c>
      <c r="C280" s="467">
        <f t="shared" si="52"/>
        <v>69420472.59823811</v>
      </c>
      <c r="D280" s="467">
        <f t="shared" si="53"/>
        <v>3106301.2086124513</v>
      </c>
      <c r="E280" s="467">
        <v>0</v>
      </c>
      <c r="F280" s="467">
        <f t="shared" si="54"/>
        <v>72526773.80685057</v>
      </c>
      <c r="G280" s="468">
        <f t="shared" si="55"/>
        <v>3307.496069265349</v>
      </c>
      <c r="H280" s="459">
        <f t="shared" si="56"/>
        <v>477.83393073465095</v>
      </c>
      <c r="I280" s="379">
        <f t="shared" si="57"/>
      </c>
      <c r="J280" s="379">
        <f t="shared" si="58"/>
      </c>
      <c r="K280" s="460">
        <f t="shared" si="59"/>
        <v>382.2671445877208</v>
      </c>
      <c r="L280" s="487">
        <f t="shared" si="60"/>
        <v>8382353.946519542</v>
      </c>
      <c r="M280" s="487"/>
      <c r="N280" s="477">
        <v>851</v>
      </c>
      <c r="O280" s="478" t="s">
        <v>1080</v>
      </c>
      <c r="P280" s="470">
        <v>0</v>
      </c>
      <c r="Q280" s="471" t="s">
        <v>749</v>
      </c>
      <c r="X280" s="472" t="s">
        <v>318</v>
      </c>
      <c r="Y280" s="473">
        <v>21</v>
      </c>
      <c r="Z280" s="474">
        <v>73442313.58</v>
      </c>
      <c r="AA280" s="475">
        <f t="shared" si="61"/>
        <v>349725302.7619048</v>
      </c>
      <c r="AB280" s="474">
        <v>3106301.2086124513</v>
      </c>
      <c r="AE280" s="488">
        <v>851</v>
      </c>
      <c r="AF280">
        <f t="shared" si="62"/>
        <v>0</v>
      </c>
      <c r="AH280" s="476">
        <v>74020.96176850316</v>
      </c>
      <c r="AI280">
        <f t="shared" si="63"/>
        <v>74020961.76850316</v>
      </c>
      <c r="AJ280" s="489">
        <v>3123.512088</v>
      </c>
      <c r="AK280">
        <f t="shared" si="64"/>
        <v>3123512.088</v>
      </c>
    </row>
    <row r="281" spans="1:37" ht="15" customHeight="1">
      <c r="A281" s="452" t="s">
        <v>1081</v>
      </c>
      <c r="B281" s="466">
        <v>189669</v>
      </c>
      <c r="C281" s="467">
        <f t="shared" si="52"/>
        <v>621810209.913359</v>
      </c>
      <c r="D281" s="467">
        <f t="shared" si="53"/>
        <v>98628269.52731884</v>
      </c>
      <c r="E281" s="467">
        <v>0</v>
      </c>
      <c r="F281" s="467">
        <f t="shared" si="54"/>
        <v>720438479.4406779</v>
      </c>
      <c r="G281" s="468">
        <f t="shared" si="55"/>
        <v>3798.3986810742813</v>
      </c>
      <c r="H281" s="459">
        <f t="shared" si="56"/>
        <v>-13.068681074281358</v>
      </c>
      <c r="I281" s="379">
        <f t="shared" si="57"/>
        <v>2.5702186100943454</v>
      </c>
      <c r="J281" s="379">
        <f t="shared" si="58"/>
        <v>32.570218610094344</v>
      </c>
      <c r="K281" s="460">
        <f t="shared" si="59"/>
        <v>-4.256497995349464</v>
      </c>
      <c r="L281" s="487">
        <f t="shared" si="60"/>
        <v>-807325.7182799374</v>
      </c>
      <c r="M281" s="487"/>
      <c r="N281" s="477">
        <v>853</v>
      </c>
      <c r="O281" s="478" t="s">
        <v>1082</v>
      </c>
      <c r="P281" s="470">
        <v>1</v>
      </c>
      <c r="Q281" s="471" t="s">
        <v>743</v>
      </c>
      <c r="X281" s="472" t="s">
        <v>319</v>
      </c>
      <c r="Y281" s="473">
        <v>19.5</v>
      </c>
      <c r="Z281" s="474">
        <v>610846301.93</v>
      </c>
      <c r="AA281" s="475">
        <f t="shared" si="61"/>
        <v>3132545138.102564</v>
      </c>
      <c r="AB281" s="474">
        <v>98628269.52731884</v>
      </c>
      <c r="AE281" s="488">
        <v>853</v>
      </c>
      <c r="AF281">
        <f t="shared" si="62"/>
        <v>0</v>
      </c>
      <c r="AH281" s="476">
        <v>611616.3325305667</v>
      </c>
      <c r="AI281">
        <f t="shared" si="63"/>
        <v>611616332.5305667</v>
      </c>
      <c r="AJ281" s="489">
        <v>99174.732712</v>
      </c>
      <c r="AK281">
        <f t="shared" si="64"/>
        <v>99174732.712</v>
      </c>
    </row>
    <row r="282" spans="1:37" ht="15" customHeight="1">
      <c r="A282" s="452" t="s">
        <v>1083</v>
      </c>
      <c r="B282" s="466">
        <v>3510</v>
      </c>
      <c r="C282" s="467">
        <f t="shared" si="52"/>
        <v>9131268.192404762</v>
      </c>
      <c r="D282" s="467">
        <f t="shared" si="53"/>
        <v>775052.9469666546</v>
      </c>
      <c r="E282" s="467">
        <v>0</v>
      </c>
      <c r="F282" s="467">
        <f t="shared" si="54"/>
        <v>9906321.139371417</v>
      </c>
      <c r="G282" s="468">
        <f t="shared" si="55"/>
        <v>2822.313714920632</v>
      </c>
      <c r="H282" s="459">
        <f t="shared" si="56"/>
        <v>963.0162850793681</v>
      </c>
      <c r="I282" s="379">
        <f t="shared" si="57"/>
      </c>
      <c r="J282" s="379">
        <f t="shared" si="58"/>
      </c>
      <c r="K282" s="460">
        <f t="shared" si="59"/>
        <v>770.4130280634945</v>
      </c>
      <c r="L282" s="487">
        <f t="shared" si="60"/>
        <v>2704149.728502866</v>
      </c>
      <c r="M282" s="487"/>
      <c r="N282" s="477">
        <v>854</v>
      </c>
      <c r="O282" s="388" t="s">
        <v>1083</v>
      </c>
      <c r="P282" s="470">
        <v>0</v>
      </c>
      <c r="Q282" s="471" t="s">
        <v>749</v>
      </c>
      <c r="X282" s="472" t="s">
        <v>236</v>
      </c>
      <c r="Y282" s="473">
        <v>21</v>
      </c>
      <c r="Z282" s="474">
        <v>9660283.73</v>
      </c>
      <c r="AA282" s="475">
        <f t="shared" si="61"/>
        <v>46001351.0952381</v>
      </c>
      <c r="AB282" s="474">
        <v>775052.9469666546</v>
      </c>
      <c r="AE282" s="488">
        <v>854</v>
      </c>
      <c r="AF282">
        <f t="shared" si="62"/>
        <v>0</v>
      </c>
      <c r="AH282" s="476">
        <v>9837.929380905816</v>
      </c>
      <c r="AI282">
        <f t="shared" si="63"/>
        <v>9837929.380905816</v>
      </c>
      <c r="AJ282" s="489">
        <v>779.347232</v>
      </c>
      <c r="AK282">
        <f t="shared" si="64"/>
        <v>779347.232</v>
      </c>
    </row>
    <row r="283" spans="1:37" ht="15" customHeight="1">
      <c r="A283" s="452" t="s">
        <v>1084</v>
      </c>
      <c r="B283" s="466">
        <v>2597</v>
      </c>
      <c r="C283" s="467">
        <f t="shared" si="52"/>
        <v>5902974.891386365</v>
      </c>
      <c r="D283" s="467">
        <f t="shared" si="53"/>
        <v>705019.9342870681</v>
      </c>
      <c r="E283" s="467">
        <v>0</v>
      </c>
      <c r="F283" s="467">
        <f t="shared" si="54"/>
        <v>6607994.825673433</v>
      </c>
      <c r="G283" s="468">
        <f t="shared" si="55"/>
        <v>2544.472401106443</v>
      </c>
      <c r="H283" s="459">
        <f t="shared" si="56"/>
        <v>1240.8575988935568</v>
      </c>
      <c r="I283" s="379">
        <f t="shared" si="57"/>
      </c>
      <c r="J283" s="379">
        <f t="shared" si="58"/>
      </c>
      <c r="K283" s="460">
        <f t="shared" si="59"/>
        <v>992.6860791148455</v>
      </c>
      <c r="L283" s="487">
        <f t="shared" si="60"/>
        <v>2578005.747461254</v>
      </c>
      <c r="M283" s="487"/>
      <c r="N283" s="477">
        <v>857</v>
      </c>
      <c r="O283" s="388" t="s">
        <v>1084</v>
      </c>
      <c r="P283" s="470">
        <v>0</v>
      </c>
      <c r="Q283" s="471" t="s">
        <v>798</v>
      </c>
      <c r="X283" s="472" t="s">
        <v>320</v>
      </c>
      <c r="Y283" s="473">
        <v>22</v>
      </c>
      <c r="Z283" s="474">
        <v>6542339.93</v>
      </c>
      <c r="AA283" s="475">
        <f t="shared" si="61"/>
        <v>29737908.772727273</v>
      </c>
      <c r="AB283" s="474">
        <v>705019.9342870681</v>
      </c>
      <c r="AE283" s="488">
        <v>857</v>
      </c>
      <c r="AF283">
        <f t="shared" si="62"/>
        <v>0</v>
      </c>
      <c r="AH283" s="476">
        <v>6476.853838778494</v>
      </c>
      <c r="AI283">
        <f t="shared" si="63"/>
        <v>6476853.838778494</v>
      </c>
      <c r="AJ283" s="489">
        <v>708.926192</v>
      </c>
      <c r="AK283">
        <f t="shared" si="64"/>
        <v>708926.192</v>
      </c>
    </row>
    <row r="284" spans="1:37" ht="15" customHeight="1">
      <c r="A284" s="452" t="s">
        <v>1085</v>
      </c>
      <c r="B284" s="466">
        <v>38646</v>
      </c>
      <c r="C284" s="467">
        <f t="shared" si="52"/>
        <v>164976410.21851283</v>
      </c>
      <c r="D284" s="467">
        <f t="shared" si="53"/>
        <v>7898754.234433354</v>
      </c>
      <c r="E284" s="467">
        <v>0</v>
      </c>
      <c r="F284" s="467">
        <f t="shared" si="54"/>
        <v>172875164.4529462</v>
      </c>
      <c r="G284" s="468">
        <f t="shared" si="55"/>
        <v>4473.30032740636</v>
      </c>
      <c r="H284" s="459">
        <f t="shared" si="56"/>
        <v>-687.9703274063604</v>
      </c>
      <c r="I284" s="379">
        <f t="shared" si="57"/>
        <v>6.533745708233447</v>
      </c>
      <c r="J284" s="379">
        <f t="shared" si="58"/>
        <v>36.53374570823345</v>
      </c>
      <c r="K284" s="460">
        <f t="shared" si="59"/>
        <v>-251.3413299627408</v>
      </c>
      <c r="L284" s="487">
        <f t="shared" si="60"/>
        <v>-9713337.03774008</v>
      </c>
      <c r="M284" s="487"/>
      <c r="N284" s="477">
        <v>858</v>
      </c>
      <c r="O284" s="478" t="s">
        <v>1086</v>
      </c>
      <c r="P284" s="470">
        <v>0</v>
      </c>
      <c r="Q284" s="471" t="s">
        <v>741</v>
      </c>
      <c r="X284" s="472" t="s">
        <v>321</v>
      </c>
      <c r="Y284" s="473">
        <v>19.5</v>
      </c>
      <c r="Z284" s="474">
        <v>162067506.26</v>
      </c>
      <c r="AA284" s="475">
        <f t="shared" si="61"/>
        <v>831115416.7179487</v>
      </c>
      <c r="AB284" s="474">
        <v>7898754.234433354</v>
      </c>
      <c r="AE284" s="488">
        <v>858</v>
      </c>
      <c r="AF284">
        <f t="shared" si="62"/>
        <v>0</v>
      </c>
      <c r="AH284" s="476">
        <v>161716.37168085127</v>
      </c>
      <c r="AI284">
        <f t="shared" si="63"/>
        <v>161716371.68085128</v>
      </c>
      <c r="AJ284" s="489">
        <v>7942.518344</v>
      </c>
      <c r="AK284">
        <f t="shared" si="64"/>
        <v>7942518.3440000005</v>
      </c>
    </row>
    <row r="285" spans="1:37" ht="15" customHeight="1">
      <c r="A285" s="452" t="s">
        <v>1087</v>
      </c>
      <c r="B285" s="466">
        <v>6730</v>
      </c>
      <c r="C285" s="467">
        <f t="shared" si="52"/>
        <v>16339451.37052381</v>
      </c>
      <c r="D285" s="467">
        <f t="shared" si="53"/>
        <v>406337.3055398134</v>
      </c>
      <c r="E285" s="467">
        <v>0</v>
      </c>
      <c r="F285" s="467">
        <f t="shared" si="54"/>
        <v>16745788.676063623</v>
      </c>
      <c r="G285" s="468">
        <f t="shared" si="55"/>
        <v>2488.2301153140597</v>
      </c>
      <c r="H285" s="459">
        <f t="shared" si="56"/>
        <v>1297.0998846859402</v>
      </c>
      <c r="I285" s="379">
        <f t="shared" si="57"/>
      </c>
      <c r="J285" s="379">
        <f t="shared" si="58"/>
      </c>
      <c r="K285" s="460">
        <f t="shared" si="59"/>
        <v>1037.6799077487522</v>
      </c>
      <c r="L285" s="487">
        <f t="shared" si="60"/>
        <v>6983585.779149102</v>
      </c>
      <c r="M285" s="487"/>
      <c r="N285" s="477">
        <v>859</v>
      </c>
      <c r="O285" s="388" t="s">
        <v>1087</v>
      </c>
      <c r="P285" s="470">
        <v>0</v>
      </c>
      <c r="Q285" s="471" t="s">
        <v>736</v>
      </c>
      <c r="X285" s="472" t="s">
        <v>322</v>
      </c>
      <c r="Y285" s="473">
        <v>21</v>
      </c>
      <c r="Z285" s="474">
        <v>17286069.46</v>
      </c>
      <c r="AA285" s="475">
        <f t="shared" si="61"/>
        <v>82314616.47619048</v>
      </c>
      <c r="AB285" s="474">
        <v>406337.3055398134</v>
      </c>
      <c r="AE285" s="488">
        <v>859</v>
      </c>
      <c r="AF285">
        <f t="shared" si="62"/>
        <v>0</v>
      </c>
      <c r="AH285" s="476">
        <v>17090.696718504616</v>
      </c>
      <c r="AI285">
        <f t="shared" si="63"/>
        <v>17090696.718504615</v>
      </c>
      <c r="AJ285" s="489">
        <v>408.588672</v>
      </c>
      <c r="AK285">
        <f t="shared" si="64"/>
        <v>408588.67199999996</v>
      </c>
    </row>
    <row r="286" spans="1:37" ht="15" customHeight="1">
      <c r="A286" s="452" t="s">
        <v>1088</v>
      </c>
      <c r="B286" s="466">
        <v>13237</v>
      </c>
      <c r="C286" s="467">
        <f t="shared" si="52"/>
        <v>42418265.871880956</v>
      </c>
      <c r="D286" s="467">
        <f t="shared" si="53"/>
        <v>2351399.6263012276</v>
      </c>
      <c r="E286" s="467">
        <v>0</v>
      </c>
      <c r="F286" s="467">
        <f t="shared" si="54"/>
        <v>44769665.498182185</v>
      </c>
      <c r="G286" s="468">
        <f t="shared" si="55"/>
        <v>3382.1610257748875</v>
      </c>
      <c r="H286" s="459">
        <f t="shared" si="56"/>
        <v>403.1689742251124</v>
      </c>
      <c r="I286" s="379">
        <f t="shared" si="57"/>
      </c>
      <c r="J286" s="379">
        <f t="shared" si="58"/>
      </c>
      <c r="K286" s="460">
        <f t="shared" si="59"/>
        <v>322.5351793800899</v>
      </c>
      <c r="L286" s="487">
        <f t="shared" si="60"/>
        <v>4269398.1694542505</v>
      </c>
      <c r="M286" s="487"/>
      <c r="N286" s="477">
        <v>886</v>
      </c>
      <c r="O286" s="478" t="s">
        <v>1089</v>
      </c>
      <c r="P286" s="470">
        <v>0</v>
      </c>
      <c r="Q286" s="471" t="s">
        <v>753</v>
      </c>
      <c r="X286" s="472" t="s">
        <v>323</v>
      </c>
      <c r="Y286" s="473">
        <v>21</v>
      </c>
      <c r="Z286" s="474">
        <v>44875747.27</v>
      </c>
      <c r="AA286" s="475">
        <f t="shared" si="61"/>
        <v>213694034.6190476</v>
      </c>
      <c r="AB286" s="474">
        <v>2351399.6263012276</v>
      </c>
      <c r="AE286" s="488">
        <v>886</v>
      </c>
      <c r="AF286">
        <f t="shared" si="62"/>
        <v>0</v>
      </c>
      <c r="AH286" s="476">
        <v>44856.44769333414</v>
      </c>
      <c r="AI286">
        <f t="shared" si="63"/>
        <v>44856447.69333414</v>
      </c>
      <c r="AJ286" s="489">
        <v>2364.4278719999998</v>
      </c>
      <c r="AK286">
        <f t="shared" si="64"/>
        <v>2364427.872</v>
      </c>
    </row>
    <row r="287" spans="1:37" ht="15" customHeight="1">
      <c r="A287" s="452" t="s">
        <v>1090</v>
      </c>
      <c r="B287" s="466">
        <v>4829</v>
      </c>
      <c r="C287" s="467">
        <f t="shared" si="52"/>
        <v>11965748.70218391</v>
      </c>
      <c r="D287" s="467">
        <f t="shared" si="53"/>
        <v>808855.8693315876</v>
      </c>
      <c r="E287" s="467">
        <v>0</v>
      </c>
      <c r="F287" s="467">
        <f t="shared" si="54"/>
        <v>12774604.571515497</v>
      </c>
      <c r="G287" s="468">
        <f t="shared" si="55"/>
        <v>2645.3933674705936</v>
      </c>
      <c r="H287" s="459">
        <f t="shared" si="56"/>
        <v>1139.9366325294063</v>
      </c>
      <c r="I287" s="379">
        <f t="shared" si="57"/>
      </c>
      <c r="J287" s="379">
        <f t="shared" si="58"/>
      </c>
      <c r="K287" s="460">
        <f t="shared" si="59"/>
        <v>911.9493060235251</v>
      </c>
      <c r="L287" s="487">
        <f t="shared" si="60"/>
        <v>4403803.198787603</v>
      </c>
      <c r="M287" s="487"/>
      <c r="N287" s="477">
        <v>887</v>
      </c>
      <c r="O287" s="388" t="s">
        <v>1090</v>
      </c>
      <c r="P287" s="470">
        <v>0</v>
      </c>
      <c r="Q287" s="471" t="s">
        <v>744</v>
      </c>
      <c r="X287" s="472" t="s">
        <v>324</v>
      </c>
      <c r="Y287" s="473">
        <v>21.75</v>
      </c>
      <c r="Z287" s="474">
        <v>13111084.85</v>
      </c>
      <c r="AA287" s="475">
        <f t="shared" si="61"/>
        <v>60280849.88505747</v>
      </c>
      <c r="AB287" s="474">
        <v>808855.8693315876</v>
      </c>
      <c r="AE287" s="488">
        <v>887</v>
      </c>
      <c r="AF287">
        <f t="shared" si="62"/>
        <v>0</v>
      </c>
      <c r="AH287" s="476">
        <v>13200.675778354469</v>
      </c>
      <c r="AI287">
        <f t="shared" si="63"/>
        <v>13200675.77835447</v>
      </c>
      <c r="AJ287" s="489">
        <v>813.3374440000001</v>
      </c>
      <c r="AK287">
        <f t="shared" si="64"/>
        <v>813337.4440000001</v>
      </c>
    </row>
    <row r="288" spans="1:37" ht="15" customHeight="1">
      <c r="A288" s="452" t="s">
        <v>1091</v>
      </c>
      <c r="B288" s="466">
        <v>2768</v>
      </c>
      <c r="C288" s="467">
        <f t="shared" si="52"/>
        <v>6367575.104000001</v>
      </c>
      <c r="D288" s="467">
        <f t="shared" si="53"/>
        <v>843127.5106959003</v>
      </c>
      <c r="E288" s="467">
        <v>0</v>
      </c>
      <c r="F288" s="467">
        <f t="shared" si="54"/>
        <v>7210702.614695901</v>
      </c>
      <c r="G288" s="468">
        <f t="shared" si="55"/>
        <v>2605.022620916149</v>
      </c>
      <c r="H288" s="459">
        <f t="shared" si="56"/>
        <v>1180.3073790838507</v>
      </c>
      <c r="I288" s="379">
        <f t="shared" si="57"/>
      </c>
      <c r="J288" s="379">
        <f t="shared" si="58"/>
      </c>
      <c r="K288" s="460">
        <f t="shared" si="59"/>
        <v>944.2459032670806</v>
      </c>
      <c r="L288" s="487">
        <f t="shared" si="60"/>
        <v>2613672.6602432793</v>
      </c>
      <c r="M288" s="487"/>
      <c r="N288" s="477">
        <v>889</v>
      </c>
      <c r="O288" s="388" t="s">
        <v>1091</v>
      </c>
      <c r="P288" s="470">
        <v>0</v>
      </c>
      <c r="Q288" s="471" t="s">
        <v>736</v>
      </c>
      <c r="X288" s="472" t="s">
        <v>325</v>
      </c>
      <c r="Y288" s="473">
        <v>20.5</v>
      </c>
      <c r="Z288" s="474">
        <v>6576085.12</v>
      </c>
      <c r="AA288" s="475">
        <f t="shared" si="61"/>
        <v>32078464</v>
      </c>
      <c r="AB288" s="474">
        <v>843127.5106959003</v>
      </c>
      <c r="AE288" s="488">
        <v>889</v>
      </c>
      <c r="AF288">
        <f t="shared" si="62"/>
        <v>0</v>
      </c>
      <c r="AH288" s="476">
        <v>6679.4421112376</v>
      </c>
      <c r="AI288">
        <f t="shared" si="63"/>
        <v>6679442.1112376</v>
      </c>
      <c r="AJ288" s="489">
        <v>847.7989719999999</v>
      </c>
      <c r="AK288">
        <f t="shared" si="64"/>
        <v>847798.972</v>
      </c>
    </row>
    <row r="289" spans="1:37" ht="15" customHeight="1">
      <c r="A289" s="452" t="s">
        <v>1092</v>
      </c>
      <c r="B289" s="466">
        <v>1242</v>
      </c>
      <c r="C289" s="467">
        <f t="shared" si="52"/>
        <v>3520591.0185952378</v>
      </c>
      <c r="D289" s="467">
        <f t="shared" si="53"/>
        <v>148429.67742070497</v>
      </c>
      <c r="E289" s="467">
        <v>0</v>
      </c>
      <c r="F289" s="467">
        <f t="shared" si="54"/>
        <v>3669020.696015943</v>
      </c>
      <c r="G289" s="468">
        <f t="shared" si="55"/>
        <v>2954.122943652128</v>
      </c>
      <c r="H289" s="459">
        <f t="shared" si="56"/>
        <v>831.2070563478719</v>
      </c>
      <c r="I289" s="379">
        <f t="shared" si="57"/>
      </c>
      <c r="J289" s="379">
        <f t="shared" si="58"/>
      </c>
      <c r="K289" s="460">
        <f t="shared" si="59"/>
        <v>664.9656450782976</v>
      </c>
      <c r="L289" s="487">
        <f t="shared" si="60"/>
        <v>825887.3311872457</v>
      </c>
      <c r="M289" s="487"/>
      <c r="N289" s="477">
        <v>890</v>
      </c>
      <c r="O289" s="388" t="s">
        <v>1092</v>
      </c>
      <c r="P289" s="470">
        <v>0</v>
      </c>
      <c r="Q289" s="471" t="s">
        <v>749</v>
      </c>
      <c r="X289" s="472" t="s">
        <v>326</v>
      </c>
      <c r="Y289" s="473">
        <v>21</v>
      </c>
      <c r="Z289" s="474">
        <v>3724554.73</v>
      </c>
      <c r="AA289" s="475">
        <f t="shared" si="61"/>
        <v>17735974.904761903</v>
      </c>
      <c r="AB289" s="474">
        <v>148429.67742070497</v>
      </c>
      <c r="AE289" s="488">
        <v>890</v>
      </c>
      <c r="AF289">
        <f t="shared" si="62"/>
        <v>0</v>
      </c>
      <c r="AH289" s="476">
        <v>3807.89628314965</v>
      </c>
      <c r="AI289">
        <f t="shared" si="63"/>
        <v>3807896.2831496503</v>
      </c>
      <c r="AJ289" s="489">
        <v>149.252072</v>
      </c>
      <c r="AK289">
        <f t="shared" si="64"/>
        <v>149252.072</v>
      </c>
    </row>
    <row r="290" spans="1:37" s="1" customFormat="1" ht="15" customHeight="1">
      <c r="A290" s="452" t="s">
        <v>1093</v>
      </c>
      <c r="B290" s="466">
        <v>3747</v>
      </c>
      <c r="C290" s="467">
        <f t="shared" si="52"/>
        <v>9253096.730292683</v>
      </c>
      <c r="D290" s="467">
        <f t="shared" si="53"/>
        <v>528621.3622862928</v>
      </c>
      <c r="E290" s="467">
        <v>0</v>
      </c>
      <c r="F290" s="467">
        <f t="shared" si="54"/>
        <v>9781718.092578975</v>
      </c>
      <c r="G290" s="468">
        <f t="shared" si="55"/>
        <v>2610.546595297298</v>
      </c>
      <c r="H290" s="459">
        <f t="shared" si="56"/>
        <v>1174.7834047027018</v>
      </c>
      <c r="I290" s="379">
        <f t="shared" si="57"/>
      </c>
      <c r="J290" s="379">
        <f t="shared" si="58"/>
      </c>
      <c r="K290" s="460">
        <f t="shared" si="59"/>
        <v>939.8267237621615</v>
      </c>
      <c r="L290" s="487">
        <f t="shared" si="60"/>
        <v>3521530.733936819</v>
      </c>
      <c r="M290" s="487"/>
      <c r="N290" s="477">
        <v>892</v>
      </c>
      <c r="O290" s="388" t="s">
        <v>1093</v>
      </c>
      <c r="P290" s="470">
        <v>0</v>
      </c>
      <c r="Q290" s="471" t="s">
        <v>769</v>
      </c>
      <c r="R290"/>
      <c r="S290"/>
      <c r="T290"/>
      <c r="U290"/>
      <c r="V290"/>
      <c r="W290"/>
      <c r="X290" s="472" t="s">
        <v>327</v>
      </c>
      <c r="Y290" s="473">
        <v>20.5</v>
      </c>
      <c r="Z290" s="474">
        <v>9556094.86</v>
      </c>
      <c r="AA290" s="475">
        <f t="shared" si="61"/>
        <v>46615096.87804878</v>
      </c>
      <c r="AB290" s="474">
        <v>528621.3622862928</v>
      </c>
      <c r="AC290"/>
      <c r="AD290"/>
      <c r="AE290" s="488">
        <v>892</v>
      </c>
      <c r="AF290">
        <f t="shared" si="62"/>
        <v>0</v>
      </c>
      <c r="AG290"/>
      <c r="AH290" s="476">
        <v>9565.720626143553</v>
      </c>
      <c r="AI290">
        <f t="shared" si="63"/>
        <v>9565720.626143552</v>
      </c>
      <c r="AJ290" s="489">
        <v>531.5502600000001</v>
      </c>
      <c r="AK290">
        <f t="shared" si="64"/>
        <v>531550.2600000001</v>
      </c>
    </row>
    <row r="291" spans="1:37" ht="15" customHeight="1">
      <c r="A291" s="452" t="s">
        <v>1094</v>
      </c>
      <c r="B291" s="466">
        <v>7521</v>
      </c>
      <c r="C291" s="467">
        <f t="shared" si="52"/>
        <v>20412996.750611767</v>
      </c>
      <c r="D291" s="467">
        <f t="shared" si="53"/>
        <v>2716139.2891717013</v>
      </c>
      <c r="E291" s="467">
        <v>0</v>
      </c>
      <c r="F291" s="467">
        <f t="shared" si="54"/>
        <v>23129136.03978347</v>
      </c>
      <c r="G291" s="468">
        <f t="shared" si="55"/>
        <v>3075.2740379980683</v>
      </c>
      <c r="H291" s="459">
        <f t="shared" si="56"/>
        <v>710.0559620019317</v>
      </c>
      <c r="I291" s="379">
        <f t="shared" si="57"/>
      </c>
      <c r="J291" s="379">
        <f t="shared" si="58"/>
      </c>
      <c r="K291" s="460">
        <f t="shared" si="59"/>
        <v>568.0447696015453</v>
      </c>
      <c r="L291" s="487">
        <f t="shared" si="60"/>
        <v>4272264.712173223</v>
      </c>
      <c r="M291" s="487"/>
      <c r="N291" s="477">
        <v>893</v>
      </c>
      <c r="O291" s="478" t="s">
        <v>1095</v>
      </c>
      <c r="P291" s="470">
        <v>3</v>
      </c>
      <c r="Q291" s="471" t="s">
        <v>814</v>
      </c>
      <c r="X291" s="472" t="s">
        <v>328</v>
      </c>
      <c r="Y291" s="473">
        <v>21.25</v>
      </c>
      <c r="Z291" s="474">
        <v>21852704.33</v>
      </c>
      <c r="AA291" s="475">
        <f t="shared" si="61"/>
        <v>102836255.67058824</v>
      </c>
      <c r="AB291" s="474">
        <v>2716139.2891717013</v>
      </c>
      <c r="AD291" s="1"/>
      <c r="AE291" s="488">
        <v>893</v>
      </c>
      <c r="AF291">
        <f t="shared" si="62"/>
        <v>0</v>
      </c>
      <c r="AG291" s="1"/>
      <c r="AH291" s="476">
        <v>21623.269529414258</v>
      </c>
      <c r="AI291">
        <f t="shared" si="63"/>
        <v>21623269.52941426</v>
      </c>
      <c r="AJ291" s="489">
        <v>2731.188424</v>
      </c>
      <c r="AK291">
        <f t="shared" si="64"/>
        <v>2731188.424</v>
      </c>
    </row>
    <row r="292" spans="1:37" ht="15" customHeight="1">
      <c r="A292" s="452" t="s">
        <v>1096</v>
      </c>
      <c r="B292" s="466">
        <v>15752</v>
      </c>
      <c r="C292" s="467">
        <f t="shared" si="52"/>
        <v>53014353.836313255</v>
      </c>
      <c r="D292" s="467">
        <f t="shared" si="53"/>
        <v>3848172.888847575</v>
      </c>
      <c r="E292" s="467">
        <v>0</v>
      </c>
      <c r="F292" s="467">
        <f t="shared" si="54"/>
        <v>56862526.72516083</v>
      </c>
      <c r="G292" s="468">
        <f t="shared" si="55"/>
        <v>3609.8607621356546</v>
      </c>
      <c r="H292" s="459">
        <f t="shared" si="56"/>
        <v>175.46923786434536</v>
      </c>
      <c r="I292" s="379">
        <f t="shared" si="57"/>
      </c>
      <c r="J292" s="379">
        <f t="shared" si="58"/>
      </c>
      <c r="K292" s="460">
        <f t="shared" si="59"/>
        <v>140.3753902914763</v>
      </c>
      <c r="L292" s="487">
        <f t="shared" si="60"/>
        <v>2211193.1478713346</v>
      </c>
      <c r="M292" s="487"/>
      <c r="N292" s="477">
        <v>895</v>
      </c>
      <c r="O292" s="478" t="s">
        <v>1097</v>
      </c>
      <c r="P292" s="470">
        <v>0</v>
      </c>
      <c r="Q292" s="471" t="s">
        <v>743</v>
      </c>
      <c r="S292" s="1"/>
      <c r="T292" s="1"/>
      <c r="U292" s="1"/>
      <c r="X292" s="472" t="s">
        <v>329</v>
      </c>
      <c r="Y292" s="473">
        <v>20.75</v>
      </c>
      <c r="Z292" s="474">
        <v>55418027.31</v>
      </c>
      <c r="AA292" s="475">
        <f t="shared" si="61"/>
        <v>267074830.40963855</v>
      </c>
      <c r="AB292" s="474">
        <v>3848172.888847575</v>
      </c>
      <c r="AC292" s="1"/>
      <c r="AE292" s="488">
        <v>895</v>
      </c>
      <c r="AF292">
        <f t="shared" si="62"/>
        <v>0</v>
      </c>
      <c r="AH292" s="476">
        <v>55605.06588200657</v>
      </c>
      <c r="AI292">
        <f t="shared" si="63"/>
        <v>55605065.88200657</v>
      </c>
      <c r="AJ292" s="489">
        <v>3869.494208</v>
      </c>
      <c r="AK292">
        <f t="shared" si="64"/>
        <v>3869494.208</v>
      </c>
    </row>
    <row r="293" spans="1:37" ht="15" customHeight="1">
      <c r="A293" s="452" t="s">
        <v>1098</v>
      </c>
      <c r="B293" s="466">
        <v>67392</v>
      </c>
      <c r="C293" s="467">
        <f t="shared" si="52"/>
        <v>226093456.74352506</v>
      </c>
      <c r="D293" s="467">
        <f t="shared" si="53"/>
        <v>24544863.214103203</v>
      </c>
      <c r="E293" s="467">
        <v>0</v>
      </c>
      <c r="F293" s="467">
        <f t="shared" si="54"/>
        <v>250638319.95762825</v>
      </c>
      <c r="G293" s="468">
        <f t="shared" si="55"/>
        <v>3719.1108730654714</v>
      </c>
      <c r="H293" s="459">
        <f t="shared" si="56"/>
        <v>66.2191269345285</v>
      </c>
      <c r="I293" s="379">
        <f t="shared" si="57"/>
      </c>
      <c r="J293" s="379">
        <f t="shared" si="58"/>
      </c>
      <c r="K293" s="460">
        <f t="shared" si="59"/>
        <v>52.975301547622806</v>
      </c>
      <c r="L293" s="487">
        <f t="shared" si="60"/>
        <v>3570111.521897396</v>
      </c>
      <c r="M293" s="487"/>
      <c r="N293" s="477">
        <v>905</v>
      </c>
      <c r="O293" s="478" t="s">
        <v>1099</v>
      </c>
      <c r="P293" s="470">
        <v>1</v>
      </c>
      <c r="Q293" s="471" t="s">
        <v>814</v>
      </c>
      <c r="X293" s="472" t="s">
        <v>331</v>
      </c>
      <c r="Y293" s="473">
        <v>20</v>
      </c>
      <c r="Z293" s="474">
        <v>227801971.53</v>
      </c>
      <c r="AA293" s="475">
        <f t="shared" si="61"/>
        <v>1139009857.65</v>
      </c>
      <c r="AB293" s="474">
        <v>24544863.214103203</v>
      </c>
      <c r="AE293" s="488">
        <v>905</v>
      </c>
      <c r="AF293">
        <f t="shared" si="62"/>
        <v>0</v>
      </c>
      <c r="AH293" s="476">
        <v>227115.1851212672</v>
      </c>
      <c r="AI293">
        <f t="shared" si="63"/>
        <v>227115185.1212672</v>
      </c>
      <c r="AJ293" s="489">
        <v>24680.857328000002</v>
      </c>
      <c r="AK293">
        <f t="shared" si="64"/>
        <v>24680857.328</v>
      </c>
    </row>
    <row r="294" spans="1:37" ht="15" customHeight="1">
      <c r="A294" s="452" t="s">
        <v>1100</v>
      </c>
      <c r="B294" s="466">
        <v>21136</v>
      </c>
      <c r="C294" s="467">
        <f t="shared" si="52"/>
        <v>69992073.73546834</v>
      </c>
      <c r="D294" s="467">
        <f t="shared" si="53"/>
        <v>4403440.000776319</v>
      </c>
      <c r="E294" s="467">
        <v>0</v>
      </c>
      <c r="F294" s="467">
        <f t="shared" si="54"/>
        <v>74395513.73624466</v>
      </c>
      <c r="G294" s="468">
        <f t="shared" si="55"/>
        <v>3519.848303190985</v>
      </c>
      <c r="H294" s="459">
        <f t="shared" si="56"/>
        <v>265.4816968090149</v>
      </c>
      <c r="I294" s="379">
        <f t="shared" si="57"/>
      </c>
      <c r="J294" s="379">
        <f t="shared" si="58"/>
      </c>
      <c r="K294" s="460">
        <f t="shared" si="59"/>
        <v>212.38535744721196</v>
      </c>
      <c r="L294" s="487">
        <f t="shared" si="60"/>
        <v>4488976.915004272</v>
      </c>
      <c r="M294" s="487"/>
      <c r="N294" s="477">
        <v>908</v>
      </c>
      <c r="O294" s="388" t="s">
        <v>1100</v>
      </c>
      <c r="P294" s="470">
        <v>0</v>
      </c>
      <c r="Q294" s="471" t="s">
        <v>744</v>
      </c>
      <c r="X294" s="472" t="s">
        <v>332</v>
      </c>
      <c r="Y294" s="473">
        <v>19.75</v>
      </c>
      <c r="Z294" s="474">
        <v>69639468.83</v>
      </c>
      <c r="AA294" s="475">
        <f t="shared" si="61"/>
        <v>352604905.4683544</v>
      </c>
      <c r="AB294" s="474">
        <v>4403440.000776319</v>
      </c>
      <c r="AE294" s="488">
        <v>908</v>
      </c>
      <c r="AF294">
        <f t="shared" si="62"/>
        <v>0</v>
      </c>
      <c r="AH294" s="476">
        <v>70065.66859290226</v>
      </c>
      <c r="AI294">
        <f t="shared" si="63"/>
        <v>70065668.59290226</v>
      </c>
      <c r="AJ294" s="489">
        <v>4427.837852</v>
      </c>
      <c r="AK294">
        <f t="shared" si="64"/>
        <v>4427837.852</v>
      </c>
    </row>
    <row r="295" spans="1:37" ht="15" customHeight="1">
      <c r="A295" s="452" t="s">
        <v>1102</v>
      </c>
      <c r="B295" s="466">
        <v>21155</v>
      </c>
      <c r="C295" s="467">
        <f t="shared" si="52"/>
        <v>65372491.84488096</v>
      </c>
      <c r="D295" s="467">
        <f t="shared" si="53"/>
        <v>3926048.1107130377</v>
      </c>
      <c r="E295" s="467">
        <v>0</v>
      </c>
      <c r="F295" s="467">
        <f t="shared" si="54"/>
        <v>69298539.955594</v>
      </c>
      <c r="G295" s="468">
        <f t="shared" si="55"/>
        <v>3275.752302320681</v>
      </c>
      <c r="H295" s="459">
        <f t="shared" si="56"/>
        <v>509.57769767931904</v>
      </c>
      <c r="I295" s="379">
        <f t="shared" si="57"/>
      </c>
      <c r="J295" s="379">
        <f t="shared" si="58"/>
      </c>
      <c r="K295" s="460">
        <f t="shared" si="59"/>
        <v>407.66215814345526</v>
      </c>
      <c r="L295" s="487">
        <f t="shared" si="60"/>
        <v>8624092.955524797</v>
      </c>
      <c r="M295" s="487"/>
      <c r="N295" s="477">
        <v>915</v>
      </c>
      <c r="O295" s="388" t="s">
        <v>1102</v>
      </c>
      <c r="P295" s="470">
        <v>0</v>
      </c>
      <c r="Q295" s="471" t="s">
        <v>798</v>
      </c>
      <c r="X295" s="472" t="s">
        <v>335</v>
      </c>
      <c r="Y295" s="473">
        <v>21</v>
      </c>
      <c r="Z295" s="474">
        <v>69159815.05</v>
      </c>
      <c r="AA295" s="475">
        <f t="shared" si="61"/>
        <v>329332452.61904764</v>
      </c>
      <c r="AB295" s="474">
        <v>3926048.1107130377</v>
      </c>
      <c r="AE295" s="488">
        <v>915</v>
      </c>
      <c r="AF295">
        <f t="shared" si="62"/>
        <v>0</v>
      </c>
      <c r="AH295" s="476">
        <v>69689.0921368445</v>
      </c>
      <c r="AI295">
        <f t="shared" si="63"/>
        <v>69689092.1368445</v>
      </c>
      <c r="AJ295" s="489">
        <v>3947.8009080000006</v>
      </c>
      <c r="AK295">
        <f t="shared" si="64"/>
        <v>3947800.9080000008</v>
      </c>
    </row>
    <row r="296" spans="1:37" ht="15" customHeight="1">
      <c r="A296" s="452" t="s">
        <v>1103</v>
      </c>
      <c r="B296" s="466">
        <v>2316</v>
      </c>
      <c r="C296" s="467">
        <f t="shared" si="52"/>
        <v>6405470.984337079</v>
      </c>
      <c r="D296" s="467">
        <f t="shared" si="53"/>
        <v>461726.7289938586</v>
      </c>
      <c r="E296" s="467">
        <v>0</v>
      </c>
      <c r="F296" s="467">
        <f t="shared" si="54"/>
        <v>6867197.713330938</v>
      </c>
      <c r="G296" s="468">
        <f t="shared" si="55"/>
        <v>2965.1112751860696</v>
      </c>
      <c r="H296" s="459">
        <f t="shared" si="56"/>
        <v>820.2187248139303</v>
      </c>
      <c r="I296" s="379">
        <f t="shared" si="57"/>
      </c>
      <c r="J296" s="379">
        <f t="shared" si="58"/>
      </c>
      <c r="K296" s="460">
        <f t="shared" si="59"/>
        <v>656.1749798511443</v>
      </c>
      <c r="L296" s="487">
        <f t="shared" si="60"/>
        <v>1519701.25333525</v>
      </c>
      <c r="M296" s="487"/>
      <c r="N296" s="477">
        <v>918</v>
      </c>
      <c r="O296" s="388" t="s">
        <v>1103</v>
      </c>
      <c r="P296" s="470">
        <v>0</v>
      </c>
      <c r="Q296" s="471" t="s">
        <v>743</v>
      </c>
      <c r="X296" s="472" t="s">
        <v>336</v>
      </c>
      <c r="Y296" s="473">
        <v>22.25</v>
      </c>
      <c r="Z296" s="474">
        <v>7179935.99</v>
      </c>
      <c r="AA296" s="475">
        <f t="shared" si="61"/>
        <v>32269375.235955056</v>
      </c>
      <c r="AB296" s="474">
        <v>461726.7289938586</v>
      </c>
      <c r="AE296" s="488">
        <v>918</v>
      </c>
      <c r="AF296">
        <f t="shared" si="62"/>
        <v>0</v>
      </c>
      <c r="AH296" s="476">
        <v>7183.512241155464</v>
      </c>
      <c r="AI296">
        <f t="shared" si="63"/>
        <v>7183512.241155464</v>
      </c>
      <c r="AJ296" s="489">
        <v>464.28498799999994</v>
      </c>
      <c r="AK296">
        <f t="shared" si="64"/>
        <v>464284.98799999995</v>
      </c>
    </row>
    <row r="297" spans="1:37" ht="15" customHeight="1">
      <c r="A297" s="452" t="s">
        <v>1104</v>
      </c>
      <c r="B297" s="466">
        <v>2094</v>
      </c>
      <c r="C297" s="467">
        <f t="shared" si="52"/>
        <v>4439816.909069768</v>
      </c>
      <c r="D297" s="467">
        <f t="shared" si="53"/>
        <v>560108.3603411663</v>
      </c>
      <c r="E297" s="467">
        <v>0</v>
      </c>
      <c r="F297" s="467">
        <f t="shared" si="54"/>
        <v>4999925.269410934</v>
      </c>
      <c r="G297" s="468">
        <f t="shared" si="55"/>
        <v>2387.7389061179247</v>
      </c>
      <c r="H297" s="459">
        <f t="shared" si="56"/>
        <v>1397.5910938820753</v>
      </c>
      <c r="I297" s="379">
        <f t="shared" si="57"/>
      </c>
      <c r="J297" s="379">
        <f t="shared" si="58"/>
      </c>
      <c r="K297" s="460">
        <f t="shared" si="59"/>
        <v>1118.0728751056602</v>
      </c>
      <c r="L297" s="487">
        <f t="shared" si="60"/>
        <v>2341244.6004712526</v>
      </c>
      <c r="M297" s="487"/>
      <c r="N297" s="477">
        <v>921</v>
      </c>
      <c r="O297" s="388" t="s">
        <v>1104</v>
      </c>
      <c r="P297" s="470">
        <v>0</v>
      </c>
      <c r="Q297" s="471" t="s">
        <v>798</v>
      </c>
      <c r="X297" s="472" t="s">
        <v>337</v>
      </c>
      <c r="Y297" s="473">
        <v>21.5</v>
      </c>
      <c r="Z297" s="474">
        <v>4808869.7</v>
      </c>
      <c r="AA297" s="475">
        <f t="shared" si="61"/>
        <v>22366835.81395349</v>
      </c>
      <c r="AB297" s="474">
        <v>560108.3603411663</v>
      </c>
      <c r="AE297" s="488">
        <v>921</v>
      </c>
      <c r="AF297">
        <f t="shared" si="62"/>
        <v>0</v>
      </c>
      <c r="AH297" s="476">
        <v>4902.528751654883</v>
      </c>
      <c r="AI297">
        <f t="shared" si="63"/>
        <v>4902528.751654883</v>
      </c>
      <c r="AJ297" s="489">
        <v>563.211716</v>
      </c>
      <c r="AK297">
        <f t="shared" si="64"/>
        <v>563211.716</v>
      </c>
    </row>
    <row r="298" spans="1:37" ht="15" customHeight="1">
      <c r="A298" s="452" t="s">
        <v>1105</v>
      </c>
      <c r="B298" s="466">
        <v>4460</v>
      </c>
      <c r="C298" s="467">
        <f t="shared" si="52"/>
        <v>13863449.616000002</v>
      </c>
      <c r="D298" s="467">
        <f t="shared" si="53"/>
        <v>512271.5386816765</v>
      </c>
      <c r="E298" s="467">
        <v>0</v>
      </c>
      <c r="F298" s="467">
        <f t="shared" si="54"/>
        <v>14375721.154681679</v>
      </c>
      <c r="G298" s="468">
        <f t="shared" si="55"/>
        <v>3223.2558642784034</v>
      </c>
      <c r="H298" s="459">
        <f t="shared" si="56"/>
        <v>562.0741357215966</v>
      </c>
      <c r="I298" s="379">
        <f t="shared" si="57"/>
      </c>
      <c r="J298" s="379">
        <f t="shared" si="58"/>
      </c>
      <c r="K298" s="460">
        <f t="shared" si="59"/>
        <v>449.6593085772773</v>
      </c>
      <c r="L298" s="487">
        <f t="shared" si="60"/>
        <v>2005480.5162546567</v>
      </c>
      <c r="M298" s="487"/>
      <c r="N298" s="477">
        <v>922</v>
      </c>
      <c r="O298" s="388" t="s">
        <v>1105</v>
      </c>
      <c r="P298" s="470">
        <v>0</v>
      </c>
      <c r="Q298" s="471" t="s">
        <v>744</v>
      </c>
      <c r="X298" s="472" t="s">
        <v>338</v>
      </c>
      <c r="Y298" s="473">
        <v>21.5</v>
      </c>
      <c r="Z298" s="474">
        <v>15015827.04</v>
      </c>
      <c r="AA298" s="475">
        <f t="shared" si="61"/>
        <v>69841056</v>
      </c>
      <c r="AB298" s="474">
        <v>512271.5386816765</v>
      </c>
      <c r="AE298" s="488">
        <v>922</v>
      </c>
      <c r="AF298">
        <f t="shared" si="62"/>
        <v>0</v>
      </c>
      <c r="AH298" s="476">
        <v>14939.48006355946</v>
      </c>
      <c r="AI298">
        <f t="shared" si="63"/>
        <v>14939480.06355946</v>
      </c>
      <c r="AJ298" s="489">
        <v>515.109848</v>
      </c>
      <c r="AK298">
        <f t="shared" si="64"/>
        <v>515109.84800000006</v>
      </c>
    </row>
    <row r="299" spans="1:37" ht="15" customHeight="1">
      <c r="A299" s="452" t="s">
        <v>1106</v>
      </c>
      <c r="B299" s="466">
        <v>3216</v>
      </c>
      <c r="C299" s="467">
        <f t="shared" si="52"/>
        <v>8076472.5756363645</v>
      </c>
      <c r="D299" s="467">
        <f t="shared" si="53"/>
        <v>616558.8050642506</v>
      </c>
      <c r="E299" s="467">
        <v>0</v>
      </c>
      <c r="F299" s="467">
        <f t="shared" si="54"/>
        <v>8693031.380700614</v>
      </c>
      <c r="G299" s="468">
        <f t="shared" si="55"/>
        <v>2703.0570213621313</v>
      </c>
      <c r="H299" s="459">
        <f t="shared" si="56"/>
        <v>1082.2729786378686</v>
      </c>
      <c r="I299" s="379">
        <f t="shared" si="57"/>
      </c>
      <c r="J299" s="379">
        <f t="shared" si="58"/>
      </c>
      <c r="K299" s="460">
        <f t="shared" si="59"/>
        <v>865.818382910295</v>
      </c>
      <c r="L299" s="487">
        <f t="shared" si="60"/>
        <v>2784471.9194395086</v>
      </c>
      <c r="M299" s="487"/>
      <c r="N299" s="477">
        <v>924</v>
      </c>
      <c r="O299" s="478" t="s">
        <v>1107</v>
      </c>
      <c r="P299" s="470">
        <v>0</v>
      </c>
      <c r="Q299" s="471" t="s">
        <v>764</v>
      </c>
      <c r="X299" s="472" t="s">
        <v>339</v>
      </c>
      <c r="Y299" s="473">
        <v>22</v>
      </c>
      <c r="Z299" s="474">
        <v>8951254.24</v>
      </c>
      <c r="AA299" s="475">
        <f t="shared" si="61"/>
        <v>40687519.27272727</v>
      </c>
      <c r="AB299" s="474">
        <v>616558.8050642506</v>
      </c>
      <c r="AE299" s="488">
        <v>924</v>
      </c>
      <c r="AF299">
        <f t="shared" si="62"/>
        <v>0</v>
      </c>
      <c r="AH299" s="476">
        <v>8911.116845126116</v>
      </c>
      <c r="AI299">
        <f t="shared" si="63"/>
        <v>8911116.845126117</v>
      </c>
      <c r="AJ299" s="489">
        <v>619.974932</v>
      </c>
      <c r="AK299">
        <f t="shared" si="64"/>
        <v>619974.9319999999</v>
      </c>
    </row>
    <row r="300" spans="1:37" ht="15" customHeight="1">
      <c r="A300" s="452" t="s">
        <v>1108</v>
      </c>
      <c r="B300" s="466">
        <v>3685</v>
      </c>
      <c r="C300" s="467">
        <f t="shared" si="52"/>
        <v>9227105.542595237</v>
      </c>
      <c r="D300" s="467">
        <f t="shared" si="53"/>
        <v>3224143.372264688</v>
      </c>
      <c r="E300" s="467">
        <v>0</v>
      </c>
      <c r="F300" s="467">
        <f t="shared" si="54"/>
        <v>12451248.914859924</v>
      </c>
      <c r="G300" s="468">
        <f t="shared" si="55"/>
        <v>3378.9006553215536</v>
      </c>
      <c r="H300" s="459">
        <f t="shared" si="56"/>
        <v>406.42934467844634</v>
      </c>
      <c r="I300" s="379">
        <f t="shared" si="57"/>
      </c>
      <c r="J300" s="379">
        <f t="shared" si="58"/>
      </c>
      <c r="K300" s="460">
        <f t="shared" si="59"/>
        <v>325.1434757427571</v>
      </c>
      <c r="L300" s="487">
        <f t="shared" si="60"/>
        <v>1198153.70811206</v>
      </c>
      <c r="M300" s="487"/>
      <c r="N300" s="477">
        <v>925</v>
      </c>
      <c r="O300" s="388" t="s">
        <v>1108</v>
      </c>
      <c r="P300" s="470">
        <v>0</v>
      </c>
      <c r="Q300" s="471" t="s">
        <v>798</v>
      </c>
      <c r="X300" s="472" t="s">
        <v>340</v>
      </c>
      <c r="Y300" s="473">
        <v>21</v>
      </c>
      <c r="Z300" s="474">
        <v>9761673.37</v>
      </c>
      <c r="AA300" s="475">
        <f t="shared" si="61"/>
        <v>46484158.904761896</v>
      </c>
      <c r="AB300" s="474">
        <v>3224143.372264688</v>
      </c>
      <c r="AE300" s="488">
        <v>925</v>
      </c>
      <c r="AF300">
        <f t="shared" si="62"/>
        <v>0</v>
      </c>
      <c r="AH300" s="476">
        <v>9476.84154447349</v>
      </c>
      <c r="AI300">
        <f t="shared" si="63"/>
        <v>9476841.54447349</v>
      </c>
      <c r="AJ300" s="489">
        <v>3242.007172</v>
      </c>
      <c r="AK300">
        <f t="shared" si="64"/>
        <v>3242007.1720000003</v>
      </c>
    </row>
    <row r="301" spans="1:37" ht="15" customHeight="1">
      <c r="A301" s="452" t="s">
        <v>1109</v>
      </c>
      <c r="B301" s="466">
        <v>29054</v>
      </c>
      <c r="C301" s="467">
        <f t="shared" si="52"/>
        <v>109848411.23063415</v>
      </c>
      <c r="D301" s="467">
        <f t="shared" si="53"/>
        <v>3658199.414418408</v>
      </c>
      <c r="E301" s="467">
        <v>0</v>
      </c>
      <c r="F301" s="467">
        <f t="shared" si="54"/>
        <v>113506610.64505257</v>
      </c>
      <c r="G301" s="468">
        <f t="shared" si="55"/>
        <v>3906.7464254509728</v>
      </c>
      <c r="H301" s="459">
        <f t="shared" si="56"/>
        <v>-121.41642545097284</v>
      </c>
      <c r="I301" s="379">
        <f t="shared" si="57"/>
        <v>4.799226169728274</v>
      </c>
      <c r="J301" s="379">
        <f t="shared" si="58"/>
        <v>34.79922616972827</v>
      </c>
      <c r="K301" s="460">
        <f t="shared" si="59"/>
        <v>-42.25197649988356</v>
      </c>
      <c r="L301" s="487">
        <f t="shared" si="60"/>
        <v>-1227588.925227617</v>
      </c>
      <c r="M301" s="487"/>
      <c r="N301" s="477">
        <v>927</v>
      </c>
      <c r="O301" s="478" t="s">
        <v>1110</v>
      </c>
      <c r="P301" s="470">
        <v>0</v>
      </c>
      <c r="Q301" s="471" t="s">
        <v>741</v>
      </c>
      <c r="X301" s="472" t="s">
        <v>341</v>
      </c>
      <c r="Y301" s="473">
        <v>20.5</v>
      </c>
      <c r="Z301" s="474">
        <v>113445462.48</v>
      </c>
      <c r="AA301" s="475">
        <f t="shared" si="61"/>
        <v>553392499.902439</v>
      </c>
      <c r="AB301" s="474">
        <v>3658199.414418408</v>
      </c>
      <c r="AE301" s="494">
        <v>927</v>
      </c>
      <c r="AF301">
        <f t="shared" si="62"/>
        <v>0</v>
      </c>
      <c r="AH301" s="476">
        <v>113379.67718944681</v>
      </c>
      <c r="AI301">
        <f t="shared" si="63"/>
        <v>113379677.1894468</v>
      </c>
      <c r="AJ301" s="495">
        <v>3678.4681599999994</v>
      </c>
      <c r="AK301">
        <f t="shared" si="64"/>
        <v>3678468.159999999</v>
      </c>
    </row>
    <row r="302" spans="1:37" ht="15" customHeight="1">
      <c r="A302" s="452" t="s">
        <v>1111</v>
      </c>
      <c r="B302" s="466">
        <v>6411</v>
      </c>
      <c r="C302" s="467">
        <f t="shared" si="52"/>
        <v>15523093.143428572</v>
      </c>
      <c r="D302" s="467">
        <f t="shared" si="53"/>
        <v>2250233.3516444806</v>
      </c>
      <c r="E302" s="467">
        <v>0</v>
      </c>
      <c r="F302" s="467">
        <f t="shared" si="54"/>
        <v>17773326.49507305</v>
      </c>
      <c r="G302" s="468">
        <f t="shared" si="55"/>
        <v>2772.317344419443</v>
      </c>
      <c r="H302" s="459">
        <f t="shared" si="56"/>
        <v>1013.0126555805568</v>
      </c>
      <c r="I302" s="379">
        <f t="shared" si="57"/>
      </c>
      <c r="J302" s="379">
        <f t="shared" si="58"/>
      </c>
      <c r="K302" s="460">
        <f t="shared" si="59"/>
        <v>810.4101244644455</v>
      </c>
      <c r="L302" s="487">
        <f t="shared" si="60"/>
        <v>5195539.307941561</v>
      </c>
      <c r="M302" s="487"/>
      <c r="N302" s="477">
        <v>931</v>
      </c>
      <c r="O302" s="388" t="s">
        <v>1111</v>
      </c>
      <c r="P302" s="470">
        <v>0</v>
      </c>
      <c r="Q302" s="471" t="s">
        <v>769</v>
      </c>
      <c r="X302" s="472" t="s">
        <v>342</v>
      </c>
      <c r="Y302" s="473">
        <v>21</v>
      </c>
      <c r="Z302" s="474">
        <v>16422415.92</v>
      </c>
      <c r="AA302" s="475">
        <f t="shared" si="61"/>
        <v>78201980.57142857</v>
      </c>
      <c r="AB302" s="474">
        <v>2250233.3516444806</v>
      </c>
      <c r="AE302" s="488">
        <v>931</v>
      </c>
      <c r="AF302">
        <f t="shared" si="62"/>
        <v>0</v>
      </c>
      <c r="AH302" s="476">
        <v>16521.662709735847</v>
      </c>
      <c r="AI302">
        <f t="shared" si="63"/>
        <v>16521662.709735846</v>
      </c>
      <c r="AJ302" s="489">
        <v>2262.701072</v>
      </c>
      <c r="AK302">
        <f t="shared" si="64"/>
        <v>2262701.0719999997</v>
      </c>
    </row>
    <row r="303" spans="1:37" ht="15" customHeight="1">
      <c r="A303" s="452" t="s">
        <v>1112</v>
      </c>
      <c r="B303" s="466">
        <v>2974</v>
      </c>
      <c r="C303" s="467">
        <f t="shared" si="52"/>
        <v>8025816.331842698</v>
      </c>
      <c r="D303" s="467">
        <f t="shared" si="53"/>
        <v>592808.0075503988</v>
      </c>
      <c r="E303" s="467">
        <v>0</v>
      </c>
      <c r="F303" s="467">
        <f t="shared" si="54"/>
        <v>8618624.339393098</v>
      </c>
      <c r="G303" s="468">
        <f t="shared" si="55"/>
        <v>2897.990699190685</v>
      </c>
      <c r="H303" s="459">
        <f t="shared" si="56"/>
        <v>887.3393008093149</v>
      </c>
      <c r="I303" s="379">
        <f t="shared" si="57"/>
      </c>
      <c r="J303" s="379">
        <f t="shared" si="58"/>
      </c>
      <c r="K303" s="460">
        <f t="shared" si="59"/>
        <v>709.8714406474519</v>
      </c>
      <c r="L303" s="487">
        <f t="shared" si="60"/>
        <v>2111157.664485522</v>
      </c>
      <c r="M303" s="487"/>
      <c r="N303" s="477">
        <v>934</v>
      </c>
      <c r="O303" s="388" t="s">
        <v>1112</v>
      </c>
      <c r="P303" s="470">
        <v>0</v>
      </c>
      <c r="Q303" s="471" t="s">
        <v>734</v>
      </c>
      <c r="X303" s="472" t="s">
        <v>343</v>
      </c>
      <c r="Y303" s="473">
        <v>22.25</v>
      </c>
      <c r="Z303" s="474">
        <v>8996192.11</v>
      </c>
      <c r="AA303" s="475">
        <f t="shared" si="61"/>
        <v>40432324.08988764</v>
      </c>
      <c r="AB303" s="474">
        <v>592808.0075503988</v>
      </c>
      <c r="AE303" s="488">
        <v>934</v>
      </c>
      <c r="AF303">
        <f t="shared" si="62"/>
        <v>0</v>
      </c>
      <c r="AH303" s="476">
        <v>8807.852171499771</v>
      </c>
      <c r="AI303">
        <f t="shared" si="63"/>
        <v>8807852.171499772</v>
      </c>
      <c r="AJ303" s="489">
        <v>596.09254</v>
      </c>
      <c r="AK303">
        <f t="shared" si="64"/>
        <v>596092.54</v>
      </c>
    </row>
    <row r="304" spans="1:37" ht="15" customHeight="1">
      <c r="A304" s="452" t="s">
        <v>1113</v>
      </c>
      <c r="B304" s="466">
        <v>3207</v>
      </c>
      <c r="C304" s="467">
        <f t="shared" si="52"/>
        <v>8367995.050475001</v>
      </c>
      <c r="D304" s="467">
        <f t="shared" si="53"/>
        <v>996489.48804586</v>
      </c>
      <c r="E304" s="467">
        <v>0</v>
      </c>
      <c r="F304" s="467">
        <f t="shared" si="54"/>
        <v>9364484.538520861</v>
      </c>
      <c r="G304" s="468">
        <f t="shared" si="55"/>
        <v>2920.0138879079705</v>
      </c>
      <c r="H304" s="459">
        <f t="shared" si="56"/>
        <v>865.3161120920295</v>
      </c>
      <c r="I304" s="379">
        <f t="shared" si="57"/>
      </c>
      <c r="J304" s="379">
        <f t="shared" si="58"/>
      </c>
      <c r="K304" s="460">
        <f t="shared" si="59"/>
        <v>692.2528896736236</v>
      </c>
      <c r="L304" s="487">
        <f t="shared" si="60"/>
        <v>2220055.017183311</v>
      </c>
      <c r="M304" s="487"/>
      <c r="N304" s="477">
        <v>935</v>
      </c>
      <c r="O304" s="388" t="s">
        <v>1113</v>
      </c>
      <c r="P304" s="470">
        <v>0</v>
      </c>
      <c r="Q304" s="471" t="s">
        <v>767</v>
      </c>
      <c r="X304" s="472" t="s">
        <v>344</v>
      </c>
      <c r="Y304" s="473">
        <v>20</v>
      </c>
      <c r="Z304" s="474">
        <v>8431229.27</v>
      </c>
      <c r="AA304" s="475">
        <f t="shared" si="61"/>
        <v>42156146.35</v>
      </c>
      <c r="AB304" s="474">
        <v>996489.48804586</v>
      </c>
      <c r="AE304" s="488">
        <v>935</v>
      </c>
      <c r="AF304">
        <f t="shared" si="62"/>
        <v>0</v>
      </c>
      <c r="AH304" s="476">
        <v>8317.349329741694</v>
      </c>
      <c r="AI304">
        <f t="shared" si="63"/>
        <v>8317349.329741693</v>
      </c>
      <c r="AJ304" s="489">
        <v>1002.0106720000001</v>
      </c>
      <c r="AK304">
        <f t="shared" si="64"/>
        <v>1002010.6720000001</v>
      </c>
    </row>
    <row r="305" spans="1:37" ht="15" customHeight="1">
      <c r="A305" s="452" t="s">
        <v>1114</v>
      </c>
      <c r="B305" s="466">
        <v>6844</v>
      </c>
      <c r="C305" s="467">
        <f t="shared" si="52"/>
        <v>17344270.836506024</v>
      </c>
      <c r="D305" s="467">
        <f t="shared" si="53"/>
        <v>2313386.6463263878</v>
      </c>
      <c r="E305" s="467">
        <v>0</v>
      </c>
      <c r="F305" s="467">
        <f t="shared" si="54"/>
        <v>19657657.482832413</v>
      </c>
      <c r="G305" s="468">
        <f t="shared" si="55"/>
        <v>2872.24685605383</v>
      </c>
      <c r="H305" s="459">
        <f t="shared" si="56"/>
        <v>913.0831439461699</v>
      </c>
      <c r="I305" s="379">
        <f t="shared" si="57"/>
      </c>
      <c r="J305" s="379">
        <f t="shared" si="58"/>
      </c>
      <c r="K305" s="460">
        <f t="shared" si="59"/>
        <v>730.466515156936</v>
      </c>
      <c r="L305" s="487">
        <f t="shared" si="60"/>
        <v>4999312.82973407</v>
      </c>
      <c r="M305" s="487"/>
      <c r="N305" s="477">
        <v>936</v>
      </c>
      <c r="O305" s="478" t="s">
        <v>1115</v>
      </c>
      <c r="P305" s="470">
        <v>0</v>
      </c>
      <c r="Q305" s="471" t="s">
        <v>744</v>
      </c>
      <c r="X305" s="472" t="s">
        <v>345</v>
      </c>
      <c r="Y305" s="473">
        <v>20.75</v>
      </c>
      <c r="Z305" s="474">
        <v>18130660.95</v>
      </c>
      <c r="AA305" s="475">
        <f t="shared" si="61"/>
        <v>87376679.27710843</v>
      </c>
      <c r="AB305" s="474">
        <v>2313386.6463263878</v>
      </c>
      <c r="AE305" s="488">
        <v>936</v>
      </c>
      <c r="AF305">
        <f t="shared" si="62"/>
        <v>0</v>
      </c>
      <c r="AH305" s="476">
        <v>18127.941830535878</v>
      </c>
      <c r="AI305">
        <f t="shared" si="63"/>
        <v>18127941.830535877</v>
      </c>
      <c r="AJ305" s="489">
        <v>2326.204276</v>
      </c>
      <c r="AK305">
        <f t="shared" si="64"/>
        <v>2326204.276</v>
      </c>
    </row>
    <row r="306" spans="1:37" ht="15" customHeight="1">
      <c r="A306" s="452" t="s">
        <v>346</v>
      </c>
      <c r="B306" s="466">
        <v>6616</v>
      </c>
      <c r="C306" s="467">
        <f t="shared" si="52"/>
        <v>17781244.664238095</v>
      </c>
      <c r="D306" s="467">
        <f t="shared" si="53"/>
        <v>1850604.3180223978</v>
      </c>
      <c r="E306" s="467">
        <v>0</v>
      </c>
      <c r="F306" s="467">
        <f t="shared" si="54"/>
        <v>19631848.98226049</v>
      </c>
      <c r="G306" s="468">
        <f t="shared" si="55"/>
        <v>2967.3290481046693</v>
      </c>
      <c r="H306" s="459">
        <f t="shared" si="56"/>
        <v>818.0009518953307</v>
      </c>
      <c r="I306" s="379">
        <f t="shared" si="57"/>
      </c>
      <c r="J306" s="379">
        <f t="shared" si="58"/>
      </c>
      <c r="K306" s="460">
        <f t="shared" si="59"/>
        <v>654.4007615162645</v>
      </c>
      <c r="L306" s="487">
        <f t="shared" si="60"/>
        <v>4329515.438191606</v>
      </c>
      <c r="M306" s="487"/>
      <c r="N306" s="477">
        <v>946</v>
      </c>
      <c r="O306" s="478" t="s">
        <v>1116</v>
      </c>
      <c r="P306" s="470">
        <v>3</v>
      </c>
      <c r="Q306" s="471" t="s">
        <v>814</v>
      </c>
      <c r="X306" s="472" t="s">
        <v>346</v>
      </c>
      <c r="Y306" s="473">
        <v>21</v>
      </c>
      <c r="Z306" s="474">
        <v>18811392.34</v>
      </c>
      <c r="AA306" s="475">
        <f t="shared" si="61"/>
        <v>89578058.76190476</v>
      </c>
      <c r="AB306" s="474">
        <v>1850604.3180223978</v>
      </c>
      <c r="AE306" s="488">
        <v>946</v>
      </c>
      <c r="AF306">
        <f t="shared" si="62"/>
        <v>0</v>
      </c>
      <c r="AH306" s="476">
        <v>18653.3934631033</v>
      </c>
      <c r="AI306">
        <f t="shared" si="63"/>
        <v>18653393.4631033</v>
      </c>
      <c r="AJ306" s="489">
        <v>1860.85784</v>
      </c>
      <c r="AK306">
        <f t="shared" si="64"/>
        <v>1860857.8399999999</v>
      </c>
    </row>
    <row r="307" spans="1:37" ht="15" customHeight="1">
      <c r="A307" s="452" t="s">
        <v>1117</v>
      </c>
      <c r="B307" s="466">
        <v>4118</v>
      </c>
      <c r="C307" s="467">
        <f t="shared" si="52"/>
        <v>10586752.5113</v>
      </c>
      <c r="D307" s="467">
        <f t="shared" si="53"/>
        <v>697517.8127995859</v>
      </c>
      <c r="E307" s="467">
        <v>0</v>
      </c>
      <c r="F307" s="467">
        <f t="shared" si="54"/>
        <v>11284270.324099585</v>
      </c>
      <c r="G307" s="468">
        <f t="shared" si="55"/>
        <v>2740.2307732150525</v>
      </c>
      <c r="H307" s="459">
        <f t="shared" si="56"/>
        <v>1045.0992267849474</v>
      </c>
      <c r="I307" s="379">
        <f t="shared" si="57"/>
      </c>
      <c r="J307" s="379">
        <f t="shared" si="58"/>
      </c>
      <c r="K307" s="460">
        <f t="shared" si="59"/>
        <v>836.079381427958</v>
      </c>
      <c r="L307" s="487">
        <f t="shared" si="60"/>
        <v>3442974.892720331</v>
      </c>
      <c r="M307" s="487"/>
      <c r="N307" s="477">
        <v>976</v>
      </c>
      <c r="O307" s="478" t="s">
        <v>1118</v>
      </c>
      <c r="P307" s="470">
        <v>0</v>
      </c>
      <c r="Q307" s="471" t="s">
        <v>749</v>
      </c>
      <c r="X307" s="472" t="s">
        <v>347</v>
      </c>
      <c r="Y307" s="473">
        <v>20</v>
      </c>
      <c r="Z307" s="474">
        <v>10666753.16</v>
      </c>
      <c r="AA307" s="475">
        <f t="shared" si="61"/>
        <v>53333765.8</v>
      </c>
      <c r="AB307" s="474">
        <v>697517.8127995859</v>
      </c>
      <c r="AE307" s="488">
        <v>976</v>
      </c>
      <c r="AF307">
        <f t="shared" si="62"/>
        <v>0</v>
      </c>
      <c r="AH307" s="476">
        <v>10912.750191719202</v>
      </c>
      <c r="AI307">
        <f t="shared" si="63"/>
        <v>10912750.191719202</v>
      </c>
      <c r="AJ307" s="489">
        <v>701.382504</v>
      </c>
      <c r="AK307">
        <f t="shared" si="64"/>
        <v>701382.5040000001</v>
      </c>
    </row>
    <row r="308" spans="1:37" ht="15" customHeight="1">
      <c r="A308" s="452" t="s">
        <v>1119</v>
      </c>
      <c r="B308" s="466">
        <v>15251</v>
      </c>
      <c r="C308" s="467">
        <f t="shared" si="52"/>
        <v>42370233.77151163</v>
      </c>
      <c r="D308" s="467">
        <f t="shared" si="53"/>
        <v>3278723.0542004583</v>
      </c>
      <c r="E308" s="467">
        <v>0</v>
      </c>
      <c r="F308" s="467">
        <f t="shared" si="54"/>
        <v>45648956.825712085</v>
      </c>
      <c r="G308" s="468">
        <f t="shared" si="55"/>
        <v>2993.1779441159324</v>
      </c>
      <c r="H308" s="459">
        <f t="shared" si="56"/>
        <v>792.1520558840675</v>
      </c>
      <c r="I308" s="379">
        <f t="shared" si="57"/>
      </c>
      <c r="J308" s="379">
        <f t="shared" si="58"/>
      </c>
      <c r="K308" s="460">
        <f t="shared" si="59"/>
        <v>633.7216447072541</v>
      </c>
      <c r="L308" s="487">
        <f t="shared" si="60"/>
        <v>9664888.803430332</v>
      </c>
      <c r="M308" s="487"/>
      <c r="N308" s="477">
        <v>977</v>
      </c>
      <c r="O308" s="388" t="s">
        <v>1119</v>
      </c>
      <c r="P308" s="470">
        <v>0</v>
      </c>
      <c r="Q308" s="471" t="s">
        <v>736</v>
      </c>
      <c r="X308" s="472" t="s">
        <v>348</v>
      </c>
      <c r="Y308" s="473">
        <v>21.5</v>
      </c>
      <c r="Z308" s="474">
        <v>45892192.75</v>
      </c>
      <c r="AA308" s="475">
        <f t="shared" si="61"/>
        <v>213452059.30232558</v>
      </c>
      <c r="AB308" s="474">
        <v>3278723.0542004583</v>
      </c>
      <c r="AE308" s="494">
        <v>977</v>
      </c>
      <c r="AF308">
        <f t="shared" si="62"/>
        <v>0</v>
      </c>
      <c r="AH308" s="476">
        <v>45831.466980963945</v>
      </c>
      <c r="AI308">
        <f t="shared" si="63"/>
        <v>45831466.980963945</v>
      </c>
      <c r="AJ308" s="489">
        <v>3296.88926</v>
      </c>
      <c r="AK308">
        <f t="shared" si="64"/>
        <v>3296889.26</v>
      </c>
    </row>
    <row r="309" spans="1:37" ht="15" customHeight="1">
      <c r="A309" s="452" t="s">
        <v>1120</v>
      </c>
      <c r="B309" s="466">
        <v>32878</v>
      </c>
      <c r="C309" s="467">
        <f t="shared" si="52"/>
        <v>110244046.58670732</v>
      </c>
      <c r="D309" s="467">
        <f t="shared" si="53"/>
        <v>5822770.8633493325</v>
      </c>
      <c r="E309" s="467">
        <v>0</v>
      </c>
      <c r="F309" s="467">
        <f t="shared" si="54"/>
        <v>116066817.45005666</v>
      </c>
      <c r="G309" s="468">
        <f t="shared" si="55"/>
        <v>3530.227430198207</v>
      </c>
      <c r="H309" s="459">
        <f t="shared" si="56"/>
        <v>255.10256980179292</v>
      </c>
      <c r="I309" s="379">
        <f t="shared" si="57"/>
      </c>
      <c r="J309" s="379">
        <f t="shared" si="58"/>
      </c>
      <c r="K309" s="460">
        <f t="shared" si="59"/>
        <v>204.08205584143434</v>
      </c>
      <c r="L309" s="487">
        <f t="shared" si="60"/>
        <v>6709809.8319546785</v>
      </c>
      <c r="M309" s="487"/>
      <c r="N309" s="477">
        <v>980</v>
      </c>
      <c r="O309" s="388" t="s">
        <v>1120</v>
      </c>
      <c r="P309" s="470">
        <v>0</v>
      </c>
      <c r="Q309" s="471" t="s">
        <v>744</v>
      </c>
      <c r="X309" s="472" t="s">
        <v>349</v>
      </c>
      <c r="Y309" s="473">
        <v>20.5</v>
      </c>
      <c r="Z309" s="474">
        <v>113854053.15</v>
      </c>
      <c r="AA309" s="475">
        <f t="shared" si="61"/>
        <v>555385625.1219512</v>
      </c>
      <c r="AB309" s="474">
        <v>5822770.8633493325</v>
      </c>
      <c r="AE309" s="488">
        <v>980</v>
      </c>
      <c r="AF309">
        <f t="shared" si="62"/>
        <v>0</v>
      </c>
      <c r="AH309" s="476">
        <v>114186.71417845109</v>
      </c>
      <c r="AI309">
        <f t="shared" si="63"/>
        <v>114186714.17845109</v>
      </c>
      <c r="AJ309" s="489">
        <v>5855.032708000001</v>
      </c>
      <c r="AK309">
        <f t="shared" si="64"/>
        <v>5855032.708000001</v>
      </c>
    </row>
    <row r="310" spans="1:37" ht="15" customHeight="1">
      <c r="A310" s="452" t="s">
        <v>1121</v>
      </c>
      <c r="B310" s="466">
        <v>2372</v>
      </c>
      <c r="C310" s="467">
        <f t="shared" si="52"/>
        <v>6494694.042372094</v>
      </c>
      <c r="D310" s="467">
        <f t="shared" si="53"/>
        <v>282165.84620109625</v>
      </c>
      <c r="E310" s="467">
        <v>0</v>
      </c>
      <c r="F310" s="467">
        <f t="shared" si="54"/>
        <v>6776859.88857319</v>
      </c>
      <c r="G310" s="468">
        <f t="shared" si="55"/>
        <v>2857.023561793082</v>
      </c>
      <c r="H310" s="459">
        <f t="shared" si="56"/>
        <v>928.3064382069178</v>
      </c>
      <c r="I310" s="379">
        <f t="shared" si="57"/>
      </c>
      <c r="J310" s="379">
        <f t="shared" si="58"/>
      </c>
      <c r="K310" s="460">
        <f t="shared" si="59"/>
        <v>742.6451505655343</v>
      </c>
      <c r="L310" s="487">
        <f t="shared" si="60"/>
        <v>1761554.2971414474</v>
      </c>
      <c r="M310" s="487"/>
      <c r="N310" s="477">
        <v>981</v>
      </c>
      <c r="O310" s="388" t="s">
        <v>1121</v>
      </c>
      <c r="P310" s="470">
        <v>0</v>
      </c>
      <c r="Q310" s="471" t="s">
        <v>758</v>
      </c>
      <c r="X310" s="472" t="s">
        <v>350</v>
      </c>
      <c r="Y310" s="473">
        <v>21.5</v>
      </c>
      <c r="Z310" s="474">
        <v>7034555.26</v>
      </c>
      <c r="AA310" s="475">
        <f t="shared" si="61"/>
        <v>32718861.674418606</v>
      </c>
      <c r="AB310" s="474">
        <v>282165.84620109625</v>
      </c>
      <c r="AE310" s="488">
        <v>981</v>
      </c>
      <c r="AF310">
        <f t="shared" si="62"/>
        <v>0</v>
      </c>
      <c r="AH310" s="476">
        <v>6919.195842013918</v>
      </c>
      <c r="AI310">
        <f t="shared" si="63"/>
        <v>6919195.842013918</v>
      </c>
      <c r="AJ310" s="489">
        <v>283.729224</v>
      </c>
      <c r="AK310">
        <f t="shared" si="64"/>
        <v>283729.224</v>
      </c>
    </row>
    <row r="311" spans="1:37" ht="15" customHeight="1">
      <c r="A311" s="452" t="s">
        <v>1122</v>
      </c>
      <c r="B311" s="466">
        <v>5906</v>
      </c>
      <c r="C311" s="467">
        <f t="shared" si="52"/>
        <v>15521156.121136362</v>
      </c>
      <c r="D311" s="467">
        <f t="shared" si="53"/>
        <v>1564702.181241482</v>
      </c>
      <c r="E311" s="467">
        <v>0</v>
      </c>
      <c r="F311" s="467">
        <f t="shared" si="54"/>
        <v>17085858.302377842</v>
      </c>
      <c r="G311" s="468">
        <f t="shared" si="55"/>
        <v>2892.966187331162</v>
      </c>
      <c r="H311" s="459">
        <f t="shared" si="56"/>
        <v>892.3638126688379</v>
      </c>
      <c r="I311" s="379">
        <f t="shared" si="57"/>
      </c>
      <c r="J311" s="379">
        <f t="shared" si="58"/>
      </c>
      <c r="K311" s="460">
        <f t="shared" si="59"/>
        <v>713.8910501350704</v>
      </c>
      <c r="L311" s="487">
        <f t="shared" si="60"/>
        <v>4216240.542097726</v>
      </c>
      <c r="M311" s="487"/>
      <c r="N311" s="477">
        <v>989</v>
      </c>
      <c r="O311" s="478" t="s">
        <v>1123</v>
      </c>
      <c r="P311" s="470">
        <v>0</v>
      </c>
      <c r="Q311" s="471" t="s">
        <v>734</v>
      </c>
      <c r="X311" s="472" t="s">
        <v>351</v>
      </c>
      <c r="Y311" s="473">
        <v>22</v>
      </c>
      <c r="Z311" s="474">
        <v>17202288.9</v>
      </c>
      <c r="AA311" s="475">
        <f t="shared" si="61"/>
        <v>78192222.27272727</v>
      </c>
      <c r="AB311" s="474">
        <v>1564702.181241482</v>
      </c>
      <c r="AE311" s="488">
        <v>989</v>
      </c>
      <c r="AF311">
        <f t="shared" si="62"/>
        <v>0</v>
      </c>
      <c r="AH311" s="476">
        <v>17247.546984120745</v>
      </c>
      <c r="AI311">
        <f t="shared" si="63"/>
        <v>17247546.984120745</v>
      </c>
      <c r="AJ311" s="489">
        <v>1573.371624</v>
      </c>
      <c r="AK311">
        <f t="shared" si="64"/>
        <v>1573371.624</v>
      </c>
    </row>
    <row r="312" spans="1:37" ht="15" customHeight="1" thickBot="1">
      <c r="A312" s="452" t="s">
        <v>1124</v>
      </c>
      <c r="B312" s="466">
        <v>19144</v>
      </c>
      <c r="C312" s="467">
        <f t="shared" si="52"/>
        <v>56463643.80023256</v>
      </c>
      <c r="D312" s="467">
        <f t="shared" si="53"/>
        <v>9330020.13731128</v>
      </c>
      <c r="E312" s="467">
        <v>0</v>
      </c>
      <c r="F312" s="467">
        <f t="shared" si="54"/>
        <v>65793663.93754384</v>
      </c>
      <c r="G312" s="468">
        <f t="shared" si="55"/>
        <v>3436.7772637663934</v>
      </c>
      <c r="H312" s="459">
        <f t="shared" si="56"/>
        <v>348.55273623360654</v>
      </c>
      <c r="I312" s="379">
        <f t="shared" si="57"/>
      </c>
      <c r="J312" s="379">
        <f t="shared" si="58"/>
      </c>
      <c r="K312" s="460">
        <f t="shared" si="59"/>
        <v>278.8421889868852</v>
      </c>
      <c r="L312" s="487">
        <f t="shared" si="60"/>
        <v>5338154.8659649305</v>
      </c>
      <c r="M312" s="487"/>
      <c r="N312" s="477">
        <v>992</v>
      </c>
      <c r="O312" s="388" t="s">
        <v>1124</v>
      </c>
      <c r="P312" s="470">
        <v>0</v>
      </c>
      <c r="Q312" s="471" t="s">
        <v>769</v>
      </c>
      <c r="X312" s="472" t="s">
        <v>352</v>
      </c>
      <c r="Y312" s="473">
        <v>21.5</v>
      </c>
      <c r="Z312" s="474">
        <v>61157095.3</v>
      </c>
      <c r="AA312" s="475">
        <f t="shared" si="61"/>
        <v>284451606.04651165</v>
      </c>
      <c r="AB312" s="474">
        <v>9330020.13731128</v>
      </c>
      <c r="AE312" s="496">
        <v>992</v>
      </c>
      <c r="AF312">
        <f t="shared" si="62"/>
        <v>0</v>
      </c>
      <c r="AH312" s="476">
        <v>61070.414952016115</v>
      </c>
      <c r="AI312">
        <f t="shared" si="63"/>
        <v>61070414.952016115</v>
      </c>
      <c r="AJ312" s="497">
        <v>9381.714368</v>
      </c>
      <c r="AK312">
        <f t="shared" si="64"/>
        <v>9381714.368</v>
      </c>
    </row>
    <row r="313" ht="13.5" thickTop="1">
      <c r="AB313">
        <v>126758.74367405464</v>
      </c>
    </row>
    <row r="315" spans="1:37" ht="15" customHeight="1">
      <c r="A315" s="452" t="s">
        <v>966</v>
      </c>
      <c r="B315" s="466">
        <v>7765</v>
      </c>
      <c r="C315" s="467">
        <f>19.85*AA315/100</f>
        <v>19132145.180975612</v>
      </c>
      <c r="D315" s="467">
        <f>AB315</f>
        <v>2634156.466023281</v>
      </c>
      <c r="E315" s="467">
        <v>0</v>
      </c>
      <c r="F315" s="467">
        <f>C315+D315+E315</f>
        <v>21766301.646998893</v>
      </c>
      <c r="G315" s="468">
        <f>F315/B315</f>
        <v>2803.129639021107</v>
      </c>
      <c r="H315" s="459">
        <f>$G$15-G315</f>
        <v>982.2003609788931</v>
      </c>
      <c r="I315" s="379">
        <f>IF(H315&lt;0,LN(-H315),"")</f>
      </c>
      <c r="J315" s="379">
        <f>IF(H315&lt;0,30+I315,"")</f>
      </c>
      <c r="K315" s="460">
        <f>IF(H315&gt;0,H315*0.8,J315*H315/100)</f>
        <v>785.7602887831144</v>
      </c>
      <c r="L315" s="487">
        <f>K315*B315</f>
        <v>6101428.642400884</v>
      </c>
      <c r="M315" s="487"/>
      <c r="N315" s="477">
        <v>541</v>
      </c>
      <c r="O315" s="388" t="s">
        <v>966</v>
      </c>
      <c r="P315" s="470">
        <v>0</v>
      </c>
      <c r="Q315" s="471" t="s">
        <v>805</v>
      </c>
      <c r="X315" s="472" t="s">
        <v>220</v>
      </c>
      <c r="Y315" s="473">
        <v>20.5</v>
      </c>
      <c r="Z315" s="474">
        <v>19758638.6</v>
      </c>
      <c r="AA315" s="475">
        <f>100*Z315/Y315</f>
        <v>96383602.92682928</v>
      </c>
      <c r="AB315" s="474">
        <v>2634156.466023281</v>
      </c>
      <c r="AE315" s="488">
        <v>541</v>
      </c>
      <c r="AF315">
        <f>N315-AE315</f>
        <v>0</v>
      </c>
      <c r="AH315" s="476">
        <v>19580.867754706018</v>
      </c>
      <c r="AI315">
        <f>AH315*1000</f>
        <v>19580867.754706018</v>
      </c>
      <c r="AJ315" s="489">
        <v>2648.751364</v>
      </c>
      <c r="AK315">
        <f>AJ315*1000</f>
        <v>2648751.364</v>
      </c>
    </row>
    <row r="316" spans="1:37" ht="15" customHeight="1">
      <c r="A316" s="452" t="s">
        <v>1101</v>
      </c>
      <c r="B316" s="466">
        <v>2218</v>
      </c>
      <c r="C316" s="467">
        <f>19.85*AA316/100</f>
        <v>4920321.680238095</v>
      </c>
      <c r="D316" s="467">
        <f>AB316</f>
        <v>818007.5750757625</v>
      </c>
      <c r="E316" s="467">
        <v>0</v>
      </c>
      <c r="F316" s="467">
        <f>C316+D316+E316</f>
        <v>5738329.255313857</v>
      </c>
      <c r="G316" s="468">
        <f>F316/B316</f>
        <v>2587.163776065761</v>
      </c>
      <c r="H316" s="459">
        <f>$G$15-G316</f>
        <v>1198.166223934239</v>
      </c>
      <c r="I316" s="379">
        <f>IF(H316&lt;0,LN(-H316),"")</f>
      </c>
      <c r="J316" s="379">
        <f>IF(H316&lt;0,30+I316,"")</f>
      </c>
      <c r="K316" s="460">
        <f>IF(H316&gt;0,H316*0.8,J316*H316/100)</f>
        <v>958.5329791473913</v>
      </c>
      <c r="L316" s="487">
        <f>K316*B316</f>
        <v>2126026.147748914</v>
      </c>
      <c r="M316" s="487"/>
      <c r="N316" s="477">
        <v>911</v>
      </c>
      <c r="O316" s="388" t="s">
        <v>1101</v>
      </c>
      <c r="P316" s="470">
        <v>0</v>
      </c>
      <c r="Q316" s="471" t="s">
        <v>805</v>
      </c>
      <c r="X316" s="472" t="s">
        <v>333</v>
      </c>
      <c r="Y316" s="473">
        <v>21</v>
      </c>
      <c r="Z316" s="474">
        <v>5205378.1</v>
      </c>
      <c r="AA316" s="475">
        <f>100*Z316/Y316</f>
        <v>24787514.761904757</v>
      </c>
      <c r="AB316" s="474">
        <v>818007.5750757625</v>
      </c>
      <c r="AE316" s="488">
        <v>911</v>
      </c>
      <c r="AF316">
        <f>N316-AE316</f>
        <v>0</v>
      </c>
      <c r="AH316" s="476">
        <v>5151.989709398979</v>
      </c>
      <c r="AI316">
        <f>AH316*1000</f>
        <v>5151989.709398979</v>
      </c>
      <c r="AJ316" s="489">
        <v>822.5398559999999</v>
      </c>
      <c r="AK316">
        <f>AJ316*1000</f>
        <v>822539.8559999999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O109"/>
  <sheetViews>
    <sheetView zoomScalePageLayoutView="0" workbookViewId="0" topLeftCell="A1">
      <selection activeCell="F42" sqref="F42"/>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3" max="13" width="8.7109375" style="229" customWidth="1"/>
    <col min="15" max="15" width="14.140625" style="0" bestFit="1" customWidth="1"/>
  </cols>
  <sheetData>
    <row r="1" spans="1:11" ht="15.75">
      <c r="A1" s="80" t="s">
        <v>1157</v>
      </c>
      <c r="E1" s="29"/>
      <c r="F1" s="8"/>
      <c r="G1" s="8"/>
      <c r="H1" s="8"/>
      <c r="I1" s="8"/>
      <c r="J1" s="8"/>
      <c r="K1" s="104" t="s">
        <v>386</v>
      </c>
    </row>
    <row r="2" spans="5:11" ht="12.75">
      <c r="E2" s="61"/>
      <c r="F2" s="8"/>
      <c r="G2" s="8"/>
      <c r="H2" s="8"/>
      <c r="I2" s="8"/>
      <c r="J2" s="8"/>
      <c r="K2" s="8"/>
    </row>
    <row r="3" spans="2:11" ht="18">
      <c r="B3" s="509" t="s">
        <v>1158</v>
      </c>
      <c r="C3" s="510"/>
      <c r="D3" s="510"/>
      <c r="E3" s="510"/>
      <c r="F3" s="510"/>
      <c r="G3" s="510"/>
      <c r="H3" s="510"/>
      <c r="I3" s="510"/>
      <c r="J3" s="510"/>
      <c r="K3" s="511"/>
    </row>
    <row r="4" spans="5:10" ht="12.75">
      <c r="E4" s="8"/>
      <c r="F4" s="8"/>
      <c r="G4" s="8"/>
      <c r="H4" s="8"/>
      <c r="I4" s="8"/>
      <c r="J4" s="8"/>
    </row>
    <row r="5" spans="2:11" ht="12.75">
      <c r="B5" s="55" t="s">
        <v>40</v>
      </c>
      <c r="C5" s="28"/>
      <c r="D5" s="28"/>
      <c r="E5" s="40"/>
      <c r="F5" s="56" t="s">
        <v>364</v>
      </c>
      <c r="G5" s="8"/>
      <c r="H5" s="8"/>
      <c r="I5" s="8"/>
      <c r="J5" s="8"/>
      <c r="K5" s="8"/>
    </row>
    <row r="6" spans="2:11" ht="12.75">
      <c r="B6" s="28"/>
      <c r="C6" s="28"/>
      <c r="D6" s="28"/>
      <c r="E6" s="102"/>
      <c r="F6" s="56" t="s">
        <v>363</v>
      </c>
      <c r="G6" s="8"/>
      <c r="H6" s="8"/>
      <c r="I6" s="8"/>
      <c r="J6" s="8"/>
      <c r="K6" s="8"/>
    </row>
    <row r="7" spans="2:11" ht="12.75">
      <c r="B7" s="28"/>
      <c r="C7" s="28"/>
      <c r="D7" s="28"/>
      <c r="E7" s="8"/>
      <c r="F7" s="56"/>
      <c r="G7" s="8"/>
      <c r="H7" s="8"/>
      <c r="I7" s="8"/>
      <c r="J7" s="8"/>
      <c r="K7" s="8"/>
    </row>
    <row r="8" spans="2:11" ht="12.75">
      <c r="B8" s="116"/>
      <c r="C8" s="28"/>
      <c r="D8" s="28"/>
      <c r="E8" s="8"/>
      <c r="F8" s="56"/>
      <c r="G8" s="8"/>
      <c r="H8" s="8"/>
      <c r="I8" s="8"/>
      <c r="J8" s="8"/>
      <c r="K8" s="8"/>
    </row>
    <row r="9" spans="2:13" s="5" customFormat="1" ht="12.75">
      <c r="B9" s="85" t="s">
        <v>0</v>
      </c>
      <c r="F9" s="11" t="str">
        <f>'2.Yhteenveto'!G11</f>
        <v>Akaa</v>
      </c>
      <c r="G9" s="88"/>
      <c r="H9" s="28"/>
      <c r="I9" s="28"/>
      <c r="M9" s="229"/>
    </row>
    <row r="10" spans="2:13" s="5" customFormat="1" ht="12.75">
      <c r="B10" s="85" t="str">
        <f>'2.Yhteenveto'!B12</f>
        <v>Asukasluku 31.12.2018:</v>
      </c>
      <c r="F10" s="150">
        <f>'2.Yhteenveto'!$H$12</f>
        <v>16611</v>
      </c>
      <c r="G10" s="88"/>
      <c r="H10" s="28"/>
      <c r="I10" s="28"/>
      <c r="M10" s="229"/>
    </row>
    <row r="11" spans="3:11" ht="12.75">
      <c r="C11" s="36" t="s">
        <v>414</v>
      </c>
      <c r="F11" s="173"/>
      <c r="G11" s="116"/>
      <c r="H11" s="8"/>
      <c r="I11" s="8"/>
      <c r="J11" s="8"/>
      <c r="K11" s="27"/>
    </row>
    <row r="12" spans="3:11" ht="12.75">
      <c r="C12" s="36"/>
      <c r="F12" s="8"/>
      <c r="G12" s="116"/>
      <c r="H12" s="8"/>
      <c r="I12" s="8"/>
      <c r="J12" s="8"/>
      <c r="K12" s="27"/>
    </row>
    <row r="13" spans="2:11" ht="14.25">
      <c r="B13" s="28" t="s">
        <v>498</v>
      </c>
      <c r="F13" s="222">
        <f>INDEX(muutla_12,MATCH(F9,kunta,0),1,1)</f>
        <v>56.64256973334243</v>
      </c>
      <c r="G13" s="28" t="s">
        <v>564</v>
      </c>
      <c r="H13" s="72"/>
      <c r="I13" s="8"/>
      <c r="J13" s="8"/>
      <c r="K13" s="27"/>
    </row>
    <row r="14" spans="5:11" ht="12.75">
      <c r="E14" s="8"/>
      <c r="F14" s="9"/>
      <c r="G14" s="8"/>
      <c r="H14" s="8"/>
      <c r="I14" s="8"/>
      <c r="J14" s="8"/>
      <c r="K14" s="8"/>
    </row>
    <row r="15" spans="2:11" ht="12.75">
      <c r="B15" s="27" t="s">
        <v>415</v>
      </c>
      <c r="F15" s="8"/>
      <c r="G15" s="8"/>
      <c r="H15" s="8"/>
      <c r="I15" s="8"/>
      <c r="J15" s="8"/>
      <c r="K15" s="19"/>
    </row>
    <row r="16" spans="2:11" ht="12.75">
      <c r="B16" s="72" t="s">
        <v>1159</v>
      </c>
      <c r="F16" s="8"/>
      <c r="G16" s="8"/>
      <c r="H16" s="8"/>
      <c r="I16" s="8"/>
      <c r="J16" s="8"/>
      <c r="K16" s="19"/>
    </row>
    <row r="17" spans="5:11" ht="12.75">
      <c r="E17" s="36"/>
      <c r="F17" s="60"/>
      <c r="G17" s="8"/>
      <c r="H17" s="73"/>
      <c r="I17" s="73"/>
      <c r="J17" s="8"/>
      <c r="K17" s="19"/>
    </row>
    <row r="18" spans="3:11" ht="12.75">
      <c r="C18" s="28" t="s">
        <v>54</v>
      </c>
      <c r="G18" s="72" t="s">
        <v>685</v>
      </c>
      <c r="J18" s="8"/>
      <c r="K18" s="351">
        <f>'9.Lukio'!J58</f>
        <v>0</v>
      </c>
    </row>
    <row r="19" spans="3:11" ht="12.75">
      <c r="C19" s="28" t="s">
        <v>16</v>
      </c>
      <c r="F19" s="8"/>
      <c r="G19" s="72" t="s">
        <v>684</v>
      </c>
      <c r="J19" s="8"/>
      <c r="K19" s="30"/>
    </row>
    <row r="20" spans="5:11" ht="12.75">
      <c r="E20" s="8"/>
      <c r="F20" s="8"/>
      <c r="G20" s="8"/>
      <c r="H20" s="8"/>
      <c r="I20" s="8"/>
      <c r="J20" s="8"/>
      <c r="K20" s="19"/>
    </row>
    <row r="21" spans="2:11" ht="12.75">
      <c r="B21" s="117" t="s">
        <v>373</v>
      </c>
      <c r="C21" s="90"/>
      <c r="D21" s="90"/>
      <c r="E21" s="90"/>
      <c r="F21" s="113"/>
      <c r="G21" s="112"/>
      <c r="H21" s="131"/>
      <c r="I21" s="131"/>
      <c r="J21" s="112"/>
      <c r="K21" s="114">
        <f>SUM(K18:K19)</f>
        <v>0</v>
      </c>
    </row>
    <row r="22" spans="5:11" ht="12.75">
      <c r="E22" s="8"/>
      <c r="F22" s="8"/>
      <c r="G22" s="8"/>
      <c r="H22" s="8"/>
      <c r="I22" s="8"/>
      <c r="J22" s="8"/>
      <c r="K22" s="19"/>
    </row>
    <row r="23" spans="5:11" ht="12.75">
      <c r="E23" s="8"/>
      <c r="F23" s="8"/>
      <c r="G23" s="8"/>
      <c r="H23" s="8"/>
      <c r="I23" s="8"/>
      <c r="J23" s="8"/>
      <c r="K23" s="19"/>
    </row>
    <row r="24" spans="2:11" ht="12.75">
      <c r="B24" s="27" t="s">
        <v>683</v>
      </c>
      <c r="E24" s="8"/>
      <c r="F24" s="8"/>
      <c r="G24" s="8"/>
      <c r="H24" s="8"/>
      <c r="I24" s="8"/>
      <c r="J24" s="8"/>
      <c r="K24" s="19"/>
    </row>
    <row r="25" spans="2:11" ht="12.75">
      <c r="B25" s="27"/>
      <c r="E25" s="8"/>
      <c r="F25" s="8"/>
      <c r="G25" s="8"/>
      <c r="H25" s="8"/>
      <c r="I25" s="8"/>
      <c r="J25" s="8"/>
      <c r="K25" s="19"/>
    </row>
    <row r="26" spans="3:15" ht="12.75">
      <c r="C26" s="5" t="s">
        <v>680</v>
      </c>
      <c r="E26" s="8"/>
      <c r="F26" s="8"/>
      <c r="G26" s="344">
        <f>O26/O28</f>
        <v>-83.90417136620306</v>
      </c>
      <c r="H26" s="8" t="s">
        <v>1</v>
      </c>
      <c r="I26" s="8"/>
      <c r="J26" s="19"/>
      <c r="K26" s="87">
        <f>G26*$F$10</f>
        <v>-1393732.1905639991</v>
      </c>
      <c r="O26" s="499">
        <v>-460477000</v>
      </c>
    </row>
    <row r="27" spans="3:15" ht="12.75">
      <c r="C27" s="5" t="s">
        <v>681</v>
      </c>
      <c r="E27" s="8"/>
      <c r="F27" s="8"/>
      <c r="G27" s="344">
        <f>O27/O28</f>
        <v>-178.636621217063</v>
      </c>
      <c r="H27" s="8" t="s">
        <v>1</v>
      </c>
      <c r="I27" s="8"/>
      <c r="J27" s="19"/>
      <c r="K27" s="87">
        <f>G27*$F$10</f>
        <v>-2967332.9150366336</v>
      </c>
      <c r="O27" s="499">
        <v>-980381000</v>
      </c>
    </row>
    <row r="28" spans="2:15" s="5" customFormat="1" ht="12.75">
      <c r="B28" s="28"/>
      <c r="C28" s="66"/>
      <c r="G28" s="345"/>
      <c r="H28" s="28"/>
      <c r="I28" s="28"/>
      <c r="J28" s="87"/>
      <c r="K28" s="87"/>
      <c r="M28" s="229"/>
      <c r="O28" s="499">
        <v>5488130</v>
      </c>
    </row>
    <row r="29" spans="2:13" s="5" customFormat="1" ht="12.75">
      <c r="B29" s="117" t="s">
        <v>682</v>
      </c>
      <c r="C29" s="90"/>
      <c r="D29" s="90"/>
      <c r="E29" s="90"/>
      <c r="F29" s="113"/>
      <c r="G29" s="112"/>
      <c r="H29" s="131">
        <f>SUM(G26:G27)</f>
        <v>-262.54079258326607</v>
      </c>
      <c r="I29" s="352" t="s">
        <v>1</v>
      </c>
      <c r="J29" s="112"/>
      <c r="K29" s="114">
        <f>SUM(K26:K27)</f>
        <v>-4361065.105600633</v>
      </c>
      <c r="M29" s="229"/>
    </row>
    <row r="30" ht="14.25">
      <c r="E30" s="47"/>
    </row>
    <row r="31" ht="14.25">
      <c r="E31" s="47"/>
    </row>
    <row r="32" spans="2:11" ht="12.75">
      <c r="B32" s="27" t="s">
        <v>374</v>
      </c>
      <c r="F32" s="8"/>
      <c r="G32" s="8"/>
      <c r="H32" s="8"/>
      <c r="I32" s="8"/>
      <c r="J32" s="8"/>
      <c r="K32" s="33"/>
    </row>
    <row r="33" spans="5:11" ht="12.75">
      <c r="E33" s="8"/>
      <c r="F33" s="8"/>
      <c r="G33" s="8"/>
      <c r="H33" s="8"/>
      <c r="I33" s="235"/>
      <c r="J33" s="8"/>
      <c r="K33" s="19"/>
    </row>
    <row r="34" spans="5:11" ht="12.75">
      <c r="E34" s="28" t="s">
        <v>565</v>
      </c>
      <c r="F34" s="97">
        <v>6817</v>
      </c>
      <c r="G34" s="8"/>
      <c r="H34" s="116" t="s">
        <v>1167</v>
      </c>
      <c r="I34" s="8"/>
      <c r="J34" s="8"/>
      <c r="K34" s="19"/>
    </row>
    <row r="35" spans="5:11" ht="13.5" thickBot="1">
      <c r="E35" s="106" t="s">
        <v>566</v>
      </c>
      <c r="F35" s="505">
        <f>-160.78-33.3-41.99-84.7</f>
        <v>-320.77</v>
      </c>
      <c r="G35" s="8"/>
      <c r="H35" s="8"/>
      <c r="I35" s="8"/>
      <c r="J35" s="8"/>
      <c r="K35" s="19"/>
    </row>
    <row r="36" spans="5:11" ht="13.5" thickTop="1">
      <c r="E36" s="28" t="s">
        <v>1168</v>
      </c>
      <c r="F36" s="237">
        <f>F34+F35</f>
        <v>6496.23</v>
      </c>
      <c r="G36" s="8"/>
      <c r="H36" s="8"/>
      <c r="I36" s="235"/>
      <c r="J36" s="8"/>
      <c r="K36" s="19"/>
    </row>
    <row r="37" spans="5:11" ht="12.75">
      <c r="E37" s="28" t="s">
        <v>608</v>
      </c>
      <c r="F37" s="236">
        <v>0.9897</v>
      </c>
      <c r="G37" s="8"/>
      <c r="H37" s="8"/>
      <c r="I37" s="8"/>
      <c r="J37" s="8"/>
      <c r="K37" s="19"/>
    </row>
    <row r="38" spans="5:11" ht="12.75">
      <c r="E38" s="8"/>
      <c r="F38" s="8"/>
      <c r="G38" s="8"/>
      <c r="H38" s="8"/>
      <c r="I38" s="8"/>
      <c r="J38" s="8"/>
      <c r="K38" s="19"/>
    </row>
    <row r="39" spans="3:11" ht="12.75">
      <c r="C39" s="2"/>
      <c r="D39" s="2"/>
      <c r="E39" s="50"/>
      <c r="F39" s="132" t="s">
        <v>377</v>
      </c>
      <c r="G39" s="105"/>
      <c r="H39" s="105"/>
      <c r="I39" s="132" t="s">
        <v>378</v>
      </c>
      <c r="J39" s="105"/>
      <c r="K39" s="133"/>
    </row>
    <row r="40" spans="3:11" ht="12.75">
      <c r="C40" s="2"/>
      <c r="D40" s="2"/>
      <c r="E40" s="50"/>
      <c r="F40" s="132" t="s">
        <v>4</v>
      </c>
      <c r="G40" s="105" t="s">
        <v>376</v>
      </c>
      <c r="H40" s="105"/>
      <c r="I40" s="132" t="s">
        <v>5</v>
      </c>
      <c r="J40" s="105" t="s">
        <v>6</v>
      </c>
      <c r="K40" s="105" t="s">
        <v>361</v>
      </c>
    </row>
    <row r="41" spans="5:11" ht="12.75">
      <c r="E41" s="8"/>
      <c r="F41" s="8"/>
      <c r="G41" s="66"/>
      <c r="J41" s="8"/>
      <c r="K41" s="19"/>
    </row>
    <row r="42" spans="3:13" ht="12.75">
      <c r="C42" s="27" t="s">
        <v>29</v>
      </c>
      <c r="F42" s="44">
        <f>$F$36</f>
        <v>6496.23</v>
      </c>
      <c r="G42" s="116" t="s">
        <v>38</v>
      </c>
      <c r="I42" s="30"/>
      <c r="J42" s="8">
        <v>1.26</v>
      </c>
      <c r="K42" s="19">
        <f>F42*I42*J42*$F$37</f>
        <v>0</v>
      </c>
      <c r="M42" s="229">
        <f>J42*F42</f>
        <v>8185.2498</v>
      </c>
    </row>
    <row r="43" spans="3:11" ht="12.75">
      <c r="C43" s="27"/>
      <c r="F43" s="44"/>
      <c r="G43" s="116"/>
      <c r="I43" s="8"/>
      <c r="J43" s="8"/>
      <c r="K43" s="19"/>
    </row>
    <row r="44" spans="3:11" ht="12.75">
      <c r="C44" s="27" t="s">
        <v>28</v>
      </c>
      <c r="F44" s="8"/>
      <c r="J44" s="8"/>
      <c r="K44" s="19"/>
    </row>
    <row r="45" spans="4:13" ht="12.75">
      <c r="D45" s="28" t="s">
        <v>568</v>
      </c>
      <c r="F45" s="44">
        <f>$F$36</f>
        <v>6496.23</v>
      </c>
      <c r="G45" s="116" t="s">
        <v>38</v>
      </c>
      <c r="I45" s="30"/>
      <c r="J45" s="8">
        <v>4.76</v>
      </c>
      <c r="K45" s="19">
        <f>F45*I45*J45*$F$37</f>
        <v>0</v>
      </c>
      <c r="M45" s="229">
        <f>J45*F45</f>
        <v>30922.054799999998</v>
      </c>
    </row>
    <row r="46" spans="4:13" ht="12.75">
      <c r="D46" s="28" t="s">
        <v>609</v>
      </c>
      <c r="F46" s="44">
        <f>$F$36</f>
        <v>6496.23</v>
      </c>
      <c r="G46" s="116" t="s">
        <v>38</v>
      </c>
      <c r="I46" s="30"/>
      <c r="J46" s="8">
        <v>2.97</v>
      </c>
      <c r="K46" s="19">
        <f>F46*I46*J46*$F$37</f>
        <v>0</v>
      </c>
      <c r="M46" s="229">
        <f>J46*F46</f>
        <v>19293.8031</v>
      </c>
    </row>
    <row r="47" spans="5:11" ht="12.75">
      <c r="E47" s="8"/>
      <c r="F47" s="8"/>
      <c r="G47" s="66"/>
      <c r="J47" s="8"/>
      <c r="K47" s="19"/>
    </row>
    <row r="48" spans="3:13" ht="12.75">
      <c r="C48" s="27" t="s">
        <v>45</v>
      </c>
      <c r="F48" s="44">
        <f>$F$36</f>
        <v>6496.23</v>
      </c>
      <c r="G48" s="116" t="s">
        <v>38</v>
      </c>
      <c r="I48" s="30"/>
      <c r="J48" s="8">
        <v>0.46</v>
      </c>
      <c r="K48" s="19">
        <f>F48*I48*J48*$F$37</f>
        <v>0</v>
      </c>
      <c r="M48" s="229">
        <f>J48*F48</f>
        <v>2988.2658</v>
      </c>
    </row>
    <row r="49" spans="3:13" ht="12.75">
      <c r="C49" s="27" t="s">
        <v>567</v>
      </c>
      <c r="F49" s="44">
        <f>$F$36</f>
        <v>6496.23</v>
      </c>
      <c r="G49" s="116" t="s">
        <v>38</v>
      </c>
      <c r="I49" s="30"/>
      <c r="J49" s="8">
        <v>1.86</v>
      </c>
      <c r="K49" s="19">
        <f>F49*I49*J49*$F$37</f>
        <v>0</v>
      </c>
      <c r="M49" s="229">
        <f>J49*F49</f>
        <v>12082.987799999999</v>
      </c>
    </row>
    <row r="50" spans="5:11" ht="12.75">
      <c r="E50" s="27"/>
      <c r="F50" s="60"/>
      <c r="G50" s="116"/>
      <c r="I50" s="33"/>
      <c r="J50" s="8"/>
      <c r="K50" s="19"/>
    </row>
    <row r="51" spans="3:11" ht="12.75">
      <c r="C51" s="27" t="s">
        <v>30</v>
      </c>
      <c r="G51" s="66"/>
      <c r="K51" s="64"/>
    </row>
    <row r="52" spans="4:13" ht="12.75">
      <c r="D52" s="28" t="s">
        <v>589</v>
      </c>
      <c r="F52" s="44">
        <f>$F$34+$F$35</f>
        <v>6496.23</v>
      </c>
      <c r="G52" s="116" t="s">
        <v>38</v>
      </c>
      <c r="I52" s="30"/>
      <c r="J52" s="8">
        <v>1.41</v>
      </c>
      <c r="K52" s="19">
        <f>F52*I52*J52*$F$37</f>
        <v>0</v>
      </c>
      <c r="M52" s="229">
        <f>J52*F52</f>
        <v>9159.684299999999</v>
      </c>
    </row>
    <row r="53" spans="4:11" ht="12.75">
      <c r="D53" s="28"/>
      <c r="F53" s="44"/>
      <c r="G53" s="116"/>
      <c r="I53" s="116" t="s">
        <v>611</v>
      </c>
      <c r="J53" s="8"/>
      <c r="K53" s="19"/>
    </row>
    <row r="54" spans="4:13" ht="12.75">
      <c r="D54" s="28" t="s">
        <v>610</v>
      </c>
      <c r="F54" s="44">
        <f>$F$34+$F$35</f>
        <v>6496.23</v>
      </c>
      <c r="G54" s="116" t="s">
        <v>38</v>
      </c>
      <c r="I54" s="30"/>
      <c r="J54" s="8">
        <v>0.046</v>
      </c>
      <c r="K54" s="19">
        <f>F54*I54*J54*$F$37</f>
        <v>0</v>
      </c>
      <c r="M54" s="229">
        <f>J54*F54</f>
        <v>298.82658</v>
      </c>
    </row>
    <row r="55" spans="4:13" ht="14.25">
      <c r="D55" s="28" t="s">
        <v>612</v>
      </c>
      <c r="F55" s="44">
        <v>234.7</v>
      </c>
      <c r="G55" s="116" t="s">
        <v>44</v>
      </c>
      <c r="I55" s="30"/>
      <c r="J55" s="176" t="s">
        <v>41</v>
      </c>
      <c r="K55" s="19">
        <f>F55*I55*$F$37</f>
        <v>0</v>
      </c>
      <c r="M55" s="229">
        <f>F55</f>
        <v>234.7</v>
      </c>
    </row>
    <row r="56" spans="5:11" ht="12.75">
      <c r="E56" s="238" t="s">
        <v>613</v>
      </c>
      <c r="G56" s="116"/>
      <c r="I56" s="8"/>
      <c r="K56" s="19"/>
    </row>
    <row r="57" spans="2:11" ht="14.25">
      <c r="B57" s="134"/>
      <c r="K57" s="64"/>
    </row>
    <row r="58" spans="3:11" ht="12.75">
      <c r="C58" s="27" t="s">
        <v>43</v>
      </c>
      <c r="F58" s="60"/>
      <c r="G58" s="116"/>
      <c r="I58" s="33"/>
      <c r="J58" s="8"/>
      <c r="K58" s="19"/>
    </row>
    <row r="59" spans="4:13" ht="12.75">
      <c r="D59" s="27" t="s">
        <v>42</v>
      </c>
      <c r="F59" s="44">
        <v>3100</v>
      </c>
      <c r="G59" s="116" t="s">
        <v>44</v>
      </c>
      <c r="I59" s="30"/>
      <c r="J59" s="8"/>
      <c r="K59" s="19">
        <f>F59*I59</f>
        <v>0</v>
      </c>
      <c r="M59" s="229">
        <v>3100</v>
      </c>
    </row>
    <row r="60" spans="3:11" ht="12.75">
      <c r="C60" s="27"/>
      <c r="F60" s="60"/>
      <c r="G60" s="116"/>
      <c r="I60" s="33"/>
      <c r="J60" s="8"/>
      <c r="K60" s="19"/>
    </row>
    <row r="61" spans="3:11" ht="12.75">
      <c r="C61" s="27" t="s">
        <v>667</v>
      </c>
      <c r="G61" s="66"/>
      <c r="I61" s="116" t="s">
        <v>614</v>
      </c>
      <c r="K61" s="64"/>
    </row>
    <row r="62" spans="4:13" ht="12.75">
      <c r="D62" s="27" t="s">
        <v>37</v>
      </c>
      <c r="F62" s="44">
        <f>$F$34+$F$35</f>
        <v>6496.23</v>
      </c>
      <c r="G62" s="116" t="s">
        <v>38</v>
      </c>
      <c r="I62" s="30"/>
      <c r="J62" s="8">
        <v>0.186</v>
      </c>
      <c r="K62" s="19">
        <f>F62*I62*J62*$F$37</f>
        <v>0</v>
      </c>
      <c r="M62" s="229">
        <f>J62*F62</f>
        <v>1208.2987799999999</v>
      </c>
    </row>
    <row r="63" spans="4:11" ht="12.75">
      <c r="D63" s="28"/>
      <c r="F63" s="44"/>
      <c r="G63" s="116"/>
      <c r="J63" s="8"/>
      <c r="K63" s="19"/>
    </row>
    <row r="64" spans="5:11" ht="12.75">
      <c r="E64" s="8"/>
      <c r="F64" s="8"/>
      <c r="G64" s="8"/>
      <c r="H64" s="8"/>
      <c r="I64" s="8"/>
      <c r="J64" s="8"/>
      <c r="K64" s="19"/>
    </row>
    <row r="65" spans="2:11" ht="12.75">
      <c r="B65" s="89" t="s">
        <v>379</v>
      </c>
      <c r="C65" s="90"/>
      <c r="D65" s="90"/>
      <c r="E65" s="111"/>
      <c r="F65" s="112"/>
      <c r="G65" s="112"/>
      <c r="H65" s="112"/>
      <c r="I65" s="112"/>
      <c r="J65" s="112"/>
      <c r="K65" s="114">
        <f>SUM(K42:K63)</f>
        <v>0</v>
      </c>
    </row>
    <row r="66" spans="5:11" ht="12.75">
      <c r="E66" s="8"/>
      <c r="F66" s="8"/>
      <c r="G66" s="8"/>
      <c r="H66" s="8"/>
      <c r="I66" s="8"/>
      <c r="J66" s="8"/>
      <c r="K66" s="19"/>
    </row>
    <row r="67" spans="5:11" ht="14.25">
      <c r="E67" s="47"/>
      <c r="K67" s="64"/>
    </row>
    <row r="68" spans="5:11" ht="14.25">
      <c r="E68" s="47"/>
      <c r="K68" s="122" t="s">
        <v>387</v>
      </c>
    </row>
    <row r="69" spans="2:11" ht="12.75">
      <c r="B69" s="1" t="s">
        <v>375</v>
      </c>
      <c r="E69" s="27"/>
      <c r="F69" s="27"/>
      <c r="G69" s="8"/>
      <c r="H69" s="27"/>
      <c r="I69" s="27"/>
      <c r="J69" s="27"/>
      <c r="K69" s="19"/>
    </row>
    <row r="70" spans="5:11" ht="12.75">
      <c r="E70" s="8"/>
      <c r="F70" s="27"/>
      <c r="G70" s="8"/>
      <c r="H70" s="27"/>
      <c r="I70" s="27"/>
      <c r="J70" s="27"/>
      <c r="K70" s="19"/>
    </row>
    <row r="71" spans="3:11" ht="12.75">
      <c r="C71" s="2"/>
      <c r="D71" s="2"/>
      <c r="E71" s="50"/>
      <c r="F71" s="132" t="s">
        <v>377</v>
      </c>
      <c r="G71" s="132"/>
      <c r="H71" s="132" t="s">
        <v>380</v>
      </c>
      <c r="I71" s="132" t="s">
        <v>381</v>
      </c>
      <c r="J71" s="132" t="s">
        <v>383</v>
      </c>
      <c r="K71" s="223"/>
    </row>
    <row r="72" spans="3:11" ht="12.75">
      <c r="C72" s="2"/>
      <c r="D72" s="2"/>
      <c r="E72" s="50"/>
      <c r="F72" s="132" t="s">
        <v>4</v>
      </c>
      <c r="G72" s="132" t="s">
        <v>376</v>
      </c>
      <c r="H72" s="132" t="s">
        <v>5</v>
      </c>
      <c r="I72" s="132" t="s">
        <v>382</v>
      </c>
      <c r="J72" s="132" t="s">
        <v>6</v>
      </c>
      <c r="K72" s="223" t="s">
        <v>361</v>
      </c>
    </row>
    <row r="73" spans="5:11" ht="12.75">
      <c r="E73" s="8"/>
      <c r="F73" s="27"/>
      <c r="G73" s="8"/>
      <c r="H73" s="27"/>
      <c r="I73" s="27"/>
      <c r="J73" s="27"/>
      <c r="K73" s="19"/>
    </row>
    <row r="74" spans="3:11" ht="12.75">
      <c r="C74" s="27" t="s">
        <v>7</v>
      </c>
      <c r="F74" s="44">
        <v>26</v>
      </c>
      <c r="G74" s="116" t="s">
        <v>615</v>
      </c>
      <c r="H74" s="40"/>
      <c r="I74" s="32">
        <v>0.57</v>
      </c>
      <c r="J74" s="27"/>
      <c r="K74" s="19">
        <f>F74*H74*I74</f>
        <v>0</v>
      </c>
    </row>
    <row r="75" spans="5:11" ht="12.75">
      <c r="E75" s="28"/>
      <c r="F75" s="44"/>
      <c r="G75" s="116"/>
      <c r="H75" s="8"/>
      <c r="I75" s="8"/>
      <c r="J75" s="8"/>
      <c r="K75" s="19"/>
    </row>
    <row r="76" spans="3:11" ht="12.75">
      <c r="C76" s="27" t="s">
        <v>624</v>
      </c>
      <c r="F76" s="44"/>
      <c r="G76" s="116"/>
      <c r="H76" s="8"/>
      <c r="I76" s="8"/>
      <c r="J76" s="8"/>
      <c r="K76" s="19"/>
    </row>
    <row r="77" spans="4:11" ht="12.75">
      <c r="D77" s="28" t="s">
        <v>625</v>
      </c>
      <c r="F77" s="44">
        <v>79.54</v>
      </c>
      <c r="G77" s="116" t="s">
        <v>617</v>
      </c>
      <c r="H77" s="30"/>
      <c r="I77" s="34">
        <v>0.57</v>
      </c>
      <c r="J77" s="26"/>
      <c r="K77" s="19">
        <f>F77*H77*I77</f>
        <v>0</v>
      </c>
    </row>
    <row r="78" spans="4:11" ht="12.75">
      <c r="D78" s="8"/>
      <c r="F78" s="44"/>
      <c r="G78" s="116"/>
      <c r="H78" s="116"/>
      <c r="I78" s="34"/>
      <c r="J78" s="26"/>
      <c r="K78" s="19"/>
    </row>
    <row r="79" spans="3:11" ht="12.75">
      <c r="C79" s="27" t="s">
        <v>8</v>
      </c>
      <c r="F79" s="44">
        <v>84.37</v>
      </c>
      <c r="G79" s="116" t="s">
        <v>617</v>
      </c>
      <c r="H79" s="30"/>
      <c r="I79" s="34">
        <v>0.57</v>
      </c>
      <c r="J79" s="8"/>
      <c r="K79" s="19">
        <f>F79*H79*I79</f>
        <v>0</v>
      </c>
    </row>
    <row r="80" spans="4:6" ht="12.75">
      <c r="D80" s="28"/>
      <c r="F80" s="44"/>
    </row>
    <row r="81" spans="3:11" ht="12.75">
      <c r="C81" s="27" t="s">
        <v>616</v>
      </c>
      <c r="F81" s="44">
        <v>297.48</v>
      </c>
      <c r="G81" s="239" t="s">
        <v>618</v>
      </c>
      <c r="H81" s="30"/>
      <c r="I81" s="34">
        <v>0.57</v>
      </c>
      <c r="J81" s="8"/>
      <c r="K81" s="19">
        <f>F81*H81*I81</f>
        <v>0</v>
      </c>
    </row>
    <row r="82" spans="3:11" ht="12.75">
      <c r="C82" s="27"/>
      <c r="F82" s="234" t="s">
        <v>623</v>
      </c>
      <c r="G82" s="239"/>
      <c r="H82" s="34"/>
      <c r="I82" s="34"/>
      <c r="J82" s="8"/>
      <c r="K82" s="19"/>
    </row>
    <row r="83" spans="5:11" ht="12.75">
      <c r="E83" s="8"/>
      <c r="F83" s="44"/>
      <c r="G83" s="116"/>
      <c r="H83" s="8"/>
      <c r="I83" s="8"/>
      <c r="J83" s="8"/>
      <c r="K83" s="19"/>
    </row>
    <row r="84" spans="3:11" ht="12.75">
      <c r="C84" s="27" t="s">
        <v>619</v>
      </c>
      <c r="F84" s="44">
        <v>153.65</v>
      </c>
      <c r="G84" s="116" t="s">
        <v>617</v>
      </c>
      <c r="H84" s="30"/>
      <c r="I84" s="34">
        <v>0.65</v>
      </c>
      <c r="J84" s="8"/>
      <c r="K84" s="19">
        <f>F84*H84*I84</f>
        <v>0</v>
      </c>
    </row>
    <row r="85" spans="5:11" ht="12.75">
      <c r="E85" s="8"/>
      <c r="F85" s="44"/>
      <c r="G85" s="116"/>
      <c r="H85" s="8"/>
      <c r="I85" s="8"/>
      <c r="J85" s="8"/>
      <c r="K85" s="19"/>
    </row>
    <row r="86" spans="3:11" ht="12.75">
      <c r="C86" s="27" t="s">
        <v>620</v>
      </c>
      <c r="F86" s="44">
        <v>156.94</v>
      </c>
      <c r="G86" s="116" t="s">
        <v>617</v>
      </c>
      <c r="H86" s="30"/>
      <c r="I86" s="34">
        <v>0.57</v>
      </c>
      <c r="J86" s="8"/>
      <c r="K86" s="19">
        <f>F86*H86*I86</f>
        <v>0</v>
      </c>
    </row>
    <row r="87" spans="5:11" ht="12.75">
      <c r="E87" s="8"/>
      <c r="F87" s="44"/>
      <c r="G87" s="116"/>
      <c r="H87" s="8"/>
      <c r="I87" s="8"/>
      <c r="J87" s="8"/>
      <c r="K87" s="19"/>
    </row>
    <row r="88" spans="3:11" ht="12.75">
      <c r="C88" s="27" t="s">
        <v>621</v>
      </c>
      <c r="F88" s="506">
        <v>88.2</v>
      </c>
      <c r="G88" s="116" t="s">
        <v>622</v>
      </c>
      <c r="H88" s="30"/>
      <c r="I88" s="34">
        <v>0.65</v>
      </c>
      <c r="J88" s="8"/>
      <c r="K88" s="19">
        <f>F88*H88*I88</f>
        <v>0</v>
      </c>
    </row>
    <row r="89" spans="5:11" ht="12.75">
      <c r="E89" s="8"/>
      <c r="F89" s="44"/>
      <c r="G89" s="116"/>
      <c r="H89" s="8"/>
      <c r="I89" s="8"/>
      <c r="J89" s="8"/>
      <c r="K89" s="19"/>
    </row>
    <row r="90" spans="3:11" ht="12.75">
      <c r="C90" s="27" t="s">
        <v>9</v>
      </c>
      <c r="F90" s="44">
        <v>12</v>
      </c>
      <c r="G90" s="116" t="s">
        <v>1</v>
      </c>
      <c r="H90" s="19">
        <f>F10</f>
        <v>16611</v>
      </c>
      <c r="I90" s="35">
        <v>0.297</v>
      </c>
      <c r="J90" s="26"/>
      <c r="K90" s="19">
        <f>F90*H90*I90</f>
        <v>59201.604</v>
      </c>
    </row>
    <row r="91" spans="3:11" ht="12.75">
      <c r="C91" s="8"/>
      <c r="F91" s="44"/>
      <c r="G91" s="116"/>
      <c r="H91" s="8"/>
      <c r="I91" s="8"/>
      <c r="J91" s="26"/>
      <c r="K91" s="19"/>
    </row>
    <row r="92" spans="3:11" ht="12.75">
      <c r="C92" s="27" t="s">
        <v>10</v>
      </c>
      <c r="F92" s="44">
        <v>15</v>
      </c>
      <c r="G92" s="116" t="s">
        <v>11</v>
      </c>
      <c r="H92" s="33">
        <f>F11</f>
        <v>0</v>
      </c>
      <c r="I92" s="35">
        <v>0.297</v>
      </c>
      <c r="J92" s="26"/>
      <c r="K92" s="19">
        <f>F92*H92*I92</f>
        <v>0</v>
      </c>
    </row>
    <row r="93" spans="3:11" ht="12.75">
      <c r="C93" s="8"/>
      <c r="F93" s="44"/>
      <c r="G93" s="116"/>
      <c r="H93" s="8"/>
      <c r="I93" s="8"/>
      <c r="J93" s="26"/>
      <c r="K93" s="19"/>
    </row>
    <row r="94" spans="3:11" ht="12.75">
      <c r="C94" s="27" t="s">
        <v>12</v>
      </c>
      <c r="F94" s="217">
        <v>71761</v>
      </c>
      <c r="G94" s="116" t="s">
        <v>13</v>
      </c>
      <c r="H94" s="30"/>
      <c r="I94" s="34">
        <v>0.37</v>
      </c>
      <c r="J94" s="26"/>
      <c r="K94" s="19">
        <f>F94*H94*I94</f>
        <v>0</v>
      </c>
    </row>
    <row r="95" spans="3:11" ht="12.75">
      <c r="C95" s="8"/>
      <c r="F95" s="217"/>
      <c r="G95" s="116"/>
      <c r="H95" s="19"/>
      <c r="I95" s="8"/>
      <c r="J95" s="26"/>
      <c r="K95" s="19"/>
    </row>
    <row r="96" spans="3:11" ht="12.75">
      <c r="C96" s="27" t="s">
        <v>14</v>
      </c>
      <c r="F96" s="217">
        <v>58248</v>
      </c>
      <c r="G96" s="116" t="s">
        <v>13</v>
      </c>
      <c r="H96" s="30"/>
      <c r="I96" s="34">
        <v>0.37</v>
      </c>
      <c r="J96" s="26"/>
      <c r="K96" s="19">
        <f>F96*H96*I96</f>
        <v>0</v>
      </c>
    </row>
    <row r="97" spans="3:11" ht="12.75">
      <c r="C97" s="8"/>
      <c r="F97" s="217"/>
      <c r="G97" s="116"/>
      <c r="H97" s="19"/>
      <c r="I97" s="8"/>
      <c r="J97" s="26"/>
      <c r="K97" s="19"/>
    </row>
    <row r="98" spans="3:11" ht="12.75">
      <c r="C98" s="27" t="s">
        <v>15</v>
      </c>
      <c r="F98" s="217">
        <v>51851</v>
      </c>
      <c r="G98" s="116" t="s">
        <v>13</v>
      </c>
      <c r="H98" s="30"/>
      <c r="I98" s="34">
        <v>0.37</v>
      </c>
      <c r="J98" s="26"/>
      <c r="K98" s="19">
        <f>F98*H98*I98</f>
        <v>0</v>
      </c>
    </row>
    <row r="99" spans="5:11" ht="12.75">
      <c r="E99" s="8"/>
      <c r="F99" s="8"/>
      <c r="G99" s="116"/>
      <c r="H99" s="8"/>
      <c r="I99" s="8"/>
      <c r="J99" s="8"/>
      <c r="K99" s="19"/>
    </row>
    <row r="100" spans="2:11" ht="12.75">
      <c r="B100" s="89" t="s">
        <v>385</v>
      </c>
      <c r="C100" s="90"/>
      <c r="D100" s="90"/>
      <c r="E100" s="111"/>
      <c r="F100" s="112"/>
      <c r="G100" s="112"/>
      <c r="H100" s="112"/>
      <c r="I100" s="112"/>
      <c r="J100" s="112"/>
      <c r="K100" s="114">
        <f>SUM(K74:K99)</f>
        <v>59201.604</v>
      </c>
    </row>
    <row r="101" spans="5:11" ht="12">
      <c r="E101" s="8"/>
      <c r="F101" s="8"/>
      <c r="G101" s="8"/>
      <c r="H101" s="8"/>
      <c r="I101" s="8"/>
      <c r="J101" s="8"/>
      <c r="K101" s="19"/>
    </row>
    <row r="102" spans="5:11" ht="12">
      <c r="E102" s="8"/>
      <c r="F102" s="8"/>
      <c r="G102" s="8"/>
      <c r="H102" s="8"/>
      <c r="I102" s="8"/>
      <c r="J102" s="8"/>
      <c r="K102" s="19"/>
    </row>
    <row r="103" spans="2:11" ht="12.75">
      <c r="B103" s="92" t="s">
        <v>384</v>
      </c>
      <c r="C103" s="83"/>
      <c r="D103" s="83"/>
      <c r="E103" s="93"/>
      <c r="F103" s="130"/>
      <c r="G103" s="130"/>
      <c r="H103" s="130"/>
      <c r="I103" s="130"/>
      <c r="J103" s="130"/>
      <c r="K103" s="99">
        <f>K21+K29+K65+K100</f>
        <v>-4301863.501600632</v>
      </c>
    </row>
    <row r="104" spans="2:11" ht="12">
      <c r="B104" s="353" t="s">
        <v>686</v>
      </c>
      <c r="C104" s="175"/>
      <c r="D104" s="175"/>
      <c r="E104" s="175"/>
      <c r="F104" s="175"/>
      <c r="G104" s="175"/>
      <c r="H104" s="175"/>
      <c r="I104" s="175"/>
      <c r="J104" s="175"/>
      <c r="K104" s="207">
        <f>K21</f>
        <v>0</v>
      </c>
    </row>
    <row r="105" spans="2:11" ht="12">
      <c r="B105" s="353" t="s">
        <v>687</v>
      </c>
      <c r="C105" s="175"/>
      <c r="D105" s="175"/>
      <c r="E105" s="175"/>
      <c r="F105" s="175"/>
      <c r="G105" s="175"/>
      <c r="H105" s="175"/>
      <c r="I105" s="175"/>
      <c r="J105" s="175"/>
      <c r="K105" s="207">
        <f>K65</f>
        <v>0</v>
      </c>
    </row>
    <row r="106" spans="2:11" ht="12">
      <c r="B106" s="355" t="s">
        <v>688</v>
      </c>
      <c r="C106" s="356"/>
      <c r="D106" s="356"/>
      <c r="E106" s="356"/>
      <c r="F106" s="356"/>
      <c r="G106" s="356"/>
      <c r="H106" s="356"/>
      <c r="I106" s="356"/>
      <c r="J106" s="356"/>
      <c r="K106" s="357">
        <f>K100</f>
        <v>59201.604</v>
      </c>
    </row>
    <row r="107" spans="2:11" ht="12">
      <c r="B107" s="353" t="s">
        <v>691</v>
      </c>
      <c r="C107" s="175"/>
      <c r="D107" s="175"/>
      <c r="E107" s="175"/>
      <c r="F107" s="175"/>
      <c r="G107" s="175"/>
      <c r="H107" s="175"/>
      <c r="I107" s="175"/>
      <c r="J107" s="175"/>
      <c r="K107" s="207">
        <f>SUM(K104:K106)</f>
        <v>59201.604</v>
      </c>
    </row>
    <row r="108" spans="2:11" ht="12">
      <c r="B108" s="354" t="s">
        <v>689</v>
      </c>
      <c r="C108" s="175"/>
      <c r="D108" s="175"/>
      <c r="E108" s="175"/>
      <c r="F108" s="175"/>
      <c r="G108" s="175"/>
      <c r="H108" s="175"/>
      <c r="I108" s="175"/>
      <c r="J108" s="175"/>
      <c r="K108" s="207">
        <f>K26</f>
        <v>-1393732.1905639991</v>
      </c>
    </row>
    <row r="109" spans="2:11" ht="12">
      <c r="B109" s="354" t="s">
        <v>690</v>
      </c>
      <c r="C109" s="175"/>
      <c r="D109" s="175"/>
      <c r="E109" s="175"/>
      <c r="F109" s="175"/>
      <c r="G109" s="175"/>
      <c r="H109" s="175"/>
      <c r="I109" s="175"/>
      <c r="J109" s="175"/>
      <c r="K109" s="207">
        <f>K27</f>
        <v>-2967332.9150366336</v>
      </c>
    </row>
  </sheetData>
  <sheetProtection/>
  <protectedRanges>
    <protectedRange sqref="J79 J81:J82 J84 J86 J88" name="Alue9_1"/>
    <protectedRange sqref="H74:H77 H79 H81 H83:H98" name="Alue8_1"/>
    <protectedRange sqref="F74:F77 F79 F81:F98"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L59"/>
  <sheetViews>
    <sheetView zoomScalePageLayoutView="0" workbookViewId="0" topLeftCell="A1">
      <selection activeCell="L15" sqref="L15"/>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5" ht="18">
      <c r="A1" s="80" t="s">
        <v>1157</v>
      </c>
      <c r="E1" s="37"/>
    </row>
    <row r="2" ht="12">
      <c r="E2" s="61"/>
    </row>
    <row r="3" spans="2:10" ht="18">
      <c r="B3" s="509" t="s">
        <v>1160</v>
      </c>
      <c r="C3" s="510"/>
      <c r="D3" s="510"/>
      <c r="E3" s="510"/>
      <c r="F3" s="510"/>
      <c r="G3" s="510"/>
      <c r="H3" s="510"/>
      <c r="I3" s="510"/>
      <c r="J3" s="511"/>
    </row>
    <row r="5" spans="2:6" ht="12">
      <c r="B5" s="55" t="s">
        <v>40</v>
      </c>
      <c r="C5" s="28"/>
      <c r="D5" s="28"/>
      <c r="E5" s="40"/>
      <c r="F5" s="56" t="s">
        <v>364</v>
      </c>
    </row>
    <row r="6" spans="2:6" ht="12">
      <c r="B6" s="28"/>
      <c r="C6" s="28"/>
      <c r="D6" s="28"/>
      <c r="E6" s="102"/>
      <c r="F6" s="56" t="s">
        <v>363</v>
      </c>
    </row>
    <row r="8" spans="2:9" s="5" customFormat="1" ht="12.75">
      <c r="B8" s="85" t="s">
        <v>0</v>
      </c>
      <c r="F8" s="11" t="str">
        <f>'2.Yhteenveto'!G11</f>
        <v>Akaa</v>
      </c>
      <c r="G8" s="88"/>
      <c r="H8" s="241"/>
      <c r="I8" s="28"/>
    </row>
    <row r="9" spans="2:9" s="5" customFormat="1" ht="12.75">
      <c r="B9" s="85" t="str">
        <f>'2.Yhteenveto'!B12</f>
        <v>Asukasluku 31.12.2018:</v>
      </c>
      <c r="F9" s="150">
        <f>'2.Yhteenveto'!$H$12</f>
        <v>16611</v>
      </c>
      <c r="G9" s="88"/>
      <c r="H9" s="241"/>
      <c r="I9" s="28"/>
    </row>
    <row r="10" ht="12.75">
      <c r="H10" s="241"/>
    </row>
    <row r="11" spans="2:10" ht="15">
      <c r="B11" s="1" t="s">
        <v>388</v>
      </c>
      <c r="E11" s="4"/>
      <c r="J11" s="44"/>
    </row>
    <row r="12" spans="3:10" ht="12">
      <c r="C12" s="2"/>
      <c r="E12" s="2"/>
      <c r="F12" s="38"/>
      <c r="G12" s="2"/>
      <c r="H12" s="2"/>
      <c r="J12" s="342"/>
    </row>
    <row r="13" spans="3:11" ht="12">
      <c r="C13" s="5" t="s">
        <v>17</v>
      </c>
      <c r="F13" s="2"/>
      <c r="G13" s="2"/>
      <c r="H13" s="97">
        <v>6305.48</v>
      </c>
      <c r="I13" s="343" t="s">
        <v>1161</v>
      </c>
      <c r="J13" s="2"/>
      <c r="K13" s="2"/>
    </row>
    <row r="14" spans="3:12" ht="12.75">
      <c r="C14" s="5" t="s">
        <v>18</v>
      </c>
      <c r="F14" s="2"/>
      <c r="G14" s="2"/>
      <c r="H14" s="508">
        <v>0.9396455</v>
      </c>
      <c r="I14" s="343" t="s">
        <v>1162</v>
      </c>
      <c r="J14" s="2"/>
      <c r="K14" s="2"/>
      <c r="L14" s="66"/>
    </row>
    <row r="15" spans="5:11" ht="12">
      <c r="E15" s="2"/>
      <c r="F15" s="2"/>
      <c r="G15" s="2"/>
      <c r="H15" s="39"/>
      <c r="I15" s="2"/>
      <c r="J15" s="2"/>
      <c r="K15" s="2"/>
    </row>
    <row r="16" spans="5:11" ht="12.75">
      <c r="E16" s="2"/>
      <c r="F16" s="2"/>
      <c r="G16" s="2"/>
      <c r="I16" s="146" t="s">
        <v>668</v>
      </c>
      <c r="K16" s="2"/>
    </row>
    <row r="17" spans="5:11" ht="12.75">
      <c r="E17" s="2"/>
      <c r="F17" s="2"/>
      <c r="G17" s="2"/>
      <c r="I17" s="146" t="s">
        <v>20</v>
      </c>
      <c r="J17" s="147" t="s">
        <v>19</v>
      </c>
      <c r="K17" s="2"/>
    </row>
    <row r="18" spans="4:11" ht="12">
      <c r="D18" s="174" t="s">
        <v>1163</v>
      </c>
      <c r="F18" s="2"/>
      <c r="G18" s="2"/>
      <c r="I18" s="40"/>
      <c r="J18" s="2">
        <f>IF(I18=0,0,IF(I18&lt;40,206,IF(I18&lt;60,100+0.4*(200-I18)+2.1*(60-I18),IF(I18&lt;200,100+0.4*(200-I18),IF(I18&gt;199,100)))))</f>
        <v>0</v>
      </c>
      <c r="K18" s="2"/>
    </row>
    <row r="19" spans="4:11" ht="12">
      <c r="D19" s="174" t="s">
        <v>1164</v>
      </c>
      <c r="F19" s="2"/>
      <c r="G19" s="2"/>
      <c r="I19" s="40"/>
      <c r="J19" s="2">
        <f>IF(I19=0,0,IF(I19&lt;40,206,IF(I19&lt;60,100+0.4*(200-I19)+2.1*(60-I19),IF(I19&lt;200,100+0.4*(200-I19),IF(I19&gt;199,100)))))</f>
        <v>0</v>
      </c>
      <c r="K19" s="2"/>
    </row>
    <row r="20" spans="3:11" ht="12">
      <c r="C20" s="2" t="s">
        <v>3</v>
      </c>
      <c r="F20" s="2"/>
      <c r="G20" s="2"/>
      <c r="I20" s="41">
        <f>I18+I19</f>
        <v>0</v>
      </c>
      <c r="J20" s="2"/>
      <c r="K20" s="2"/>
    </row>
    <row r="21" spans="6:11" ht="12">
      <c r="F21" s="2"/>
      <c r="G21" s="2"/>
      <c r="H21" s="39"/>
      <c r="I21" s="2"/>
      <c r="J21" s="2"/>
      <c r="K21" s="2"/>
    </row>
    <row r="22" spans="3:11" ht="12">
      <c r="C22" s="2" t="s">
        <v>21</v>
      </c>
      <c r="F22" s="2"/>
      <c r="G22" s="2"/>
      <c r="H22" s="39"/>
      <c r="I22" s="2"/>
      <c r="J22" s="42">
        <f>ROUND(IF(I20=0,100,((I18*J18+I19*J19)/I20)),0)</f>
        <v>100</v>
      </c>
      <c r="K22" s="2"/>
    </row>
    <row r="23" spans="6:11" ht="12">
      <c r="F23" s="2"/>
      <c r="G23" s="2"/>
      <c r="H23" s="39"/>
      <c r="I23" s="2"/>
      <c r="J23" s="2"/>
      <c r="K23" s="2"/>
    </row>
    <row r="24" spans="3:11" ht="12">
      <c r="C24" s="5" t="s">
        <v>392</v>
      </c>
      <c r="F24" s="2"/>
      <c r="G24" s="2"/>
      <c r="H24" s="39"/>
      <c r="I24" s="2"/>
      <c r="J24" s="43">
        <f>IF(I20=0,H13*H14,H13*H14*J22/100)</f>
        <v>5924.91590734</v>
      </c>
      <c r="K24" s="2"/>
    </row>
    <row r="25" spans="6:11" ht="12">
      <c r="F25" s="2"/>
      <c r="G25" s="2"/>
      <c r="H25" s="39"/>
      <c r="I25" s="2"/>
      <c r="J25" s="2"/>
      <c r="K25" s="2"/>
    </row>
    <row r="26" spans="3:11" ht="12">
      <c r="C26" s="5" t="s">
        <v>391</v>
      </c>
      <c r="F26" s="2"/>
      <c r="G26" s="2"/>
      <c r="H26" s="39"/>
      <c r="I26" s="2"/>
      <c r="J26" s="31">
        <v>0</v>
      </c>
      <c r="K26" s="2"/>
    </row>
    <row r="27" spans="6:11" ht="12">
      <c r="F27" s="2"/>
      <c r="G27" s="2"/>
      <c r="H27" s="39"/>
      <c r="I27" s="2"/>
      <c r="J27" s="2"/>
      <c r="K27" s="2"/>
    </row>
    <row r="28" spans="2:11" ht="12.75">
      <c r="B28" s="136" t="s">
        <v>420</v>
      </c>
      <c r="C28" s="137"/>
      <c r="D28" s="137"/>
      <c r="E28" s="137"/>
      <c r="F28" s="137"/>
      <c r="G28" s="137"/>
      <c r="H28" s="138"/>
      <c r="I28" s="139">
        <f>ROUND(J24+(J24*J26/100),2)</f>
        <v>5924.92</v>
      </c>
      <c r="J28" s="140" t="s">
        <v>671</v>
      </c>
      <c r="K28" s="2"/>
    </row>
    <row r="29" spans="2:11" ht="12.75">
      <c r="B29" s="141" t="s">
        <v>669</v>
      </c>
      <c r="C29" s="142"/>
      <c r="D29" s="142"/>
      <c r="E29" s="142"/>
      <c r="F29" s="142"/>
      <c r="G29" s="142"/>
      <c r="H29" s="143"/>
      <c r="I29" s="144">
        <f>ROUND(0.65*I28,2)</f>
        <v>3851.2</v>
      </c>
      <c r="J29" s="145" t="s">
        <v>671</v>
      </c>
      <c r="K29" s="2"/>
    </row>
    <row r="30" spans="6:11" ht="12">
      <c r="F30" s="2"/>
      <c r="G30" s="2"/>
      <c r="H30" s="39"/>
      <c r="I30" s="2"/>
      <c r="J30" s="2"/>
      <c r="K30" s="2"/>
    </row>
    <row r="31" spans="2:11" ht="12">
      <c r="B31" s="55" t="s">
        <v>670</v>
      </c>
      <c r="F31" s="2"/>
      <c r="G31" s="2"/>
      <c r="H31" s="39"/>
      <c r="I31" s="2"/>
      <c r="J31" s="2"/>
      <c r="K31" s="2"/>
    </row>
    <row r="32" spans="6:11" ht="12">
      <c r="F32" s="2"/>
      <c r="G32" s="2"/>
      <c r="H32" s="39"/>
      <c r="I32" s="2"/>
      <c r="J32" s="2"/>
      <c r="K32" s="2"/>
    </row>
    <row r="33" spans="2:11" ht="15">
      <c r="B33" s="1" t="s">
        <v>389</v>
      </c>
      <c r="E33" s="4"/>
      <c r="F33" s="2"/>
      <c r="G33" s="2"/>
      <c r="H33" s="39"/>
      <c r="I33" s="2"/>
      <c r="J33" s="2"/>
      <c r="K33" s="2"/>
    </row>
    <row r="34" spans="6:11" ht="12">
      <c r="F34" s="2"/>
      <c r="G34" s="2"/>
      <c r="H34" s="39"/>
      <c r="I34" s="2"/>
      <c r="J34" s="2"/>
      <c r="K34" s="2"/>
    </row>
    <row r="35" spans="6:11" ht="12.75">
      <c r="F35" s="2"/>
      <c r="G35" s="2"/>
      <c r="H35" s="146" t="s">
        <v>668</v>
      </c>
      <c r="I35" s="147" t="s">
        <v>22</v>
      </c>
      <c r="J35" s="2"/>
      <c r="K35" s="2"/>
    </row>
    <row r="36" spans="6:11" ht="12.75">
      <c r="F36" s="2"/>
      <c r="G36" s="2"/>
      <c r="H36" s="146" t="s">
        <v>5</v>
      </c>
      <c r="I36" s="147" t="s">
        <v>672</v>
      </c>
      <c r="J36" s="2"/>
      <c r="K36" s="2"/>
    </row>
    <row r="37" spans="4:11" ht="12">
      <c r="D37" s="5" t="s">
        <v>1165</v>
      </c>
      <c r="F37" s="2"/>
      <c r="G37" s="2"/>
      <c r="H37" s="40"/>
      <c r="I37" s="31"/>
      <c r="J37" s="9"/>
      <c r="K37" s="2"/>
    </row>
    <row r="38" spans="4:11" ht="12">
      <c r="D38" s="5" t="s">
        <v>1166</v>
      </c>
      <c r="F38" s="2"/>
      <c r="G38" s="2"/>
      <c r="H38" s="40"/>
      <c r="I38" s="31"/>
      <c r="J38" s="9"/>
      <c r="K38" s="2"/>
    </row>
    <row r="39" spans="3:11" ht="12">
      <c r="C39" s="5" t="s">
        <v>673</v>
      </c>
      <c r="F39" s="2"/>
      <c r="G39" s="2"/>
      <c r="H39" s="45">
        <f>(H37*7/12)+(H38*5/12)</f>
        <v>0</v>
      </c>
      <c r="I39" s="45">
        <f>(I37*7/12)+(I38*5/12)</f>
        <v>0</v>
      </c>
      <c r="J39" s="2"/>
      <c r="K39" s="2"/>
    </row>
    <row r="40" spans="6:11" ht="12">
      <c r="F40" s="2"/>
      <c r="G40" s="2"/>
      <c r="H40" s="39"/>
      <c r="I40" s="2"/>
      <c r="J40" s="2"/>
      <c r="K40" s="2"/>
    </row>
    <row r="41" spans="3:11" ht="12">
      <c r="C41" t="s">
        <v>23</v>
      </c>
      <c r="F41" s="2"/>
      <c r="G41" s="2"/>
      <c r="H41" s="39"/>
      <c r="I41" s="2"/>
      <c r="J41" s="31"/>
      <c r="K41" s="2"/>
    </row>
    <row r="42" spans="6:11" ht="12">
      <c r="F42" s="2"/>
      <c r="G42" s="2"/>
      <c r="H42" s="39"/>
      <c r="I42" s="2"/>
      <c r="J42" s="2"/>
      <c r="K42" s="2"/>
    </row>
    <row r="43" spans="6:11" ht="12">
      <c r="F43" s="2"/>
      <c r="G43" s="2"/>
      <c r="H43" s="39"/>
      <c r="I43" s="2"/>
      <c r="J43" s="2"/>
      <c r="K43" s="2"/>
    </row>
    <row r="44" spans="3:11" ht="12">
      <c r="C44" s="5" t="s">
        <v>24</v>
      </c>
      <c r="F44" s="2"/>
      <c r="G44" s="2"/>
      <c r="H44" s="39"/>
      <c r="I44" s="2"/>
      <c r="J44" s="46">
        <f>I28*(H37*7/12+H38*5/12)</f>
        <v>0</v>
      </c>
      <c r="K44" s="2"/>
    </row>
    <row r="45" spans="3:11" ht="12">
      <c r="C45" s="5" t="s">
        <v>678</v>
      </c>
      <c r="F45" s="2"/>
      <c r="G45" s="2"/>
      <c r="H45" s="39"/>
      <c r="I45" s="2"/>
      <c r="J45" s="46">
        <f>I29*(I37*7/12+I38*5/12)</f>
        <v>0</v>
      </c>
      <c r="K45" s="2"/>
    </row>
    <row r="46" spans="3:11" ht="12">
      <c r="C46" s="5" t="s">
        <v>25</v>
      </c>
      <c r="F46" s="2"/>
      <c r="G46" s="2"/>
      <c r="H46" s="39"/>
      <c r="J46" s="46">
        <f>I29*J41</f>
        <v>0</v>
      </c>
      <c r="K46" s="2"/>
    </row>
    <row r="47" spans="3:11" ht="12">
      <c r="C47" s="5"/>
      <c r="F47" s="2"/>
      <c r="G47" s="2"/>
      <c r="H47" s="39"/>
      <c r="J47" s="46"/>
      <c r="K47" s="2"/>
    </row>
    <row r="48" spans="2:11" ht="12.75">
      <c r="B48" s="1" t="s">
        <v>674</v>
      </c>
      <c r="C48" s="5"/>
      <c r="F48" s="2"/>
      <c r="G48" s="2"/>
      <c r="H48" s="3"/>
      <c r="I48" s="146" t="s">
        <v>668</v>
      </c>
      <c r="J48" s="46"/>
      <c r="K48" s="2"/>
    </row>
    <row r="49" spans="3:11" ht="12.75">
      <c r="C49" s="5"/>
      <c r="F49" s="2"/>
      <c r="G49" s="2"/>
      <c r="H49" s="146" t="s">
        <v>44</v>
      </c>
      <c r="I49" s="146" t="s">
        <v>5</v>
      </c>
      <c r="J49" s="46"/>
      <c r="K49" s="2"/>
    </row>
    <row r="50" spans="3:11" ht="12">
      <c r="C50" s="5" t="s">
        <v>675</v>
      </c>
      <c r="F50" s="2"/>
      <c r="G50" s="2"/>
      <c r="H50" s="43">
        <f>J24*1.21</f>
        <v>7169.1482478814</v>
      </c>
      <c r="I50" s="31"/>
      <c r="J50" s="46">
        <f>H50*I50</f>
        <v>0</v>
      </c>
      <c r="K50" s="2"/>
    </row>
    <row r="51" spans="3:11" ht="12">
      <c r="C51" s="5" t="s">
        <v>676</v>
      </c>
      <c r="F51" s="2"/>
      <c r="G51" s="2"/>
      <c r="H51" s="43">
        <f>H50*0.65</f>
        <v>4659.94636112291</v>
      </c>
      <c r="I51" s="31"/>
      <c r="J51" s="46">
        <f>H51*I51</f>
        <v>0</v>
      </c>
      <c r="K51" s="2"/>
    </row>
    <row r="52" spans="3:11" ht="12">
      <c r="C52" s="5" t="s">
        <v>677</v>
      </c>
      <c r="F52" s="2"/>
      <c r="G52" s="2"/>
      <c r="H52" s="43">
        <f>H50*1.44</f>
        <v>10323.573476949216</v>
      </c>
      <c r="I52" s="31"/>
      <c r="J52" s="46">
        <f>H52*I52</f>
        <v>0</v>
      </c>
      <c r="K52" s="2"/>
    </row>
    <row r="53" spans="3:11" ht="12">
      <c r="C53" s="5"/>
      <c r="F53" s="2"/>
      <c r="G53" s="2"/>
      <c r="H53" s="39"/>
      <c r="I53" s="2"/>
      <c r="J53" s="46"/>
      <c r="K53" s="2"/>
    </row>
    <row r="54" ht="12">
      <c r="B54" s="55" t="s">
        <v>26</v>
      </c>
    </row>
    <row r="55" ht="12">
      <c r="B55" s="55" t="s">
        <v>53</v>
      </c>
    </row>
    <row r="56" ht="12">
      <c r="B56" s="55" t="s">
        <v>27</v>
      </c>
    </row>
    <row r="57" spans="3:11" ht="12">
      <c r="C57" s="5"/>
      <c r="F57" s="2"/>
      <c r="G57" s="2"/>
      <c r="H57" s="39"/>
      <c r="I57" s="2"/>
      <c r="J57" s="46"/>
      <c r="K57" s="2"/>
    </row>
    <row r="58" spans="2:11" ht="12.75">
      <c r="B58" s="82" t="s">
        <v>390</v>
      </c>
      <c r="C58" s="83"/>
      <c r="D58" s="83"/>
      <c r="E58" s="101"/>
      <c r="F58" s="83"/>
      <c r="G58" s="83"/>
      <c r="H58" s="148"/>
      <c r="I58" s="83"/>
      <c r="J58" s="84">
        <f>SUM(J44:J52)</f>
        <v>0</v>
      </c>
      <c r="K58" s="2"/>
    </row>
    <row r="59" spans="6:10" ht="12">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N11" sqref="N11"/>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2"/>
      <c r="L1" s="62"/>
    </row>
    <row r="2" spans="1:12" ht="12.75">
      <c r="A2" s="62"/>
      <c r="L2" s="62"/>
    </row>
    <row r="11" spans="1:14" ht="12">
      <c r="A11" s="5"/>
      <c r="B11" s="5"/>
      <c r="C11" s="5"/>
      <c r="D11" s="5"/>
      <c r="E11" s="5"/>
      <c r="F11" s="5"/>
      <c r="G11" s="5"/>
      <c r="H11" s="5"/>
      <c r="I11" s="5"/>
      <c r="L11" s="5"/>
      <c r="M11" s="5"/>
      <c r="N11" s="5"/>
    </row>
    <row r="12" spans="1:14" ht="12">
      <c r="A12" s="5"/>
      <c r="B12" s="5"/>
      <c r="C12" s="5"/>
      <c r="D12" s="5"/>
      <c r="E12" s="5"/>
      <c r="F12" s="5"/>
      <c r="G12" s="5"/>
      <c r="H12" s="5"/>
      <c r="I12" s="5"/>
      <c r="L12" s="5"/>
      <c r="M12" s="5"/>
      <c r="N12" s="5"/>
    </row>
    <row r="13" spans="1:14" ht="12">
      <c r="A13" s="5"/>
      <c r="B13" s="5"/>
      <c r="C13" s="5"/>
      <c r="D13" s="5"/>
      <c r="E13" s="5"/>
      <c r="F13" s="5"/>
      <c r="G13" s="5"/>
      <c r="H13" s="5"/>
      <c r="I13" s="5"/>
      <c r="L13" s="5"/>
      <c r="M13" s="5"/>
      <c r="N13" s="5"/>
    </row>
    <row r="14" spans="1:14" ht="12">
      <c r="A14" s="5"/>
      <c r="B14" s="5"/>
      <c r="C14" s="5"/>
      <c r="D14" s="5"/>
      <c r="E14" s="5"/>
      <c r="F14" s="5"/>
      <c r="G14" s="5"/>
      <c r="H14" s="5"/>
      <c r="I14" s="5"/>
      <c r="L14" s="5"/>
      <c r="M14" s="5"/>
      <c r="N14" s="5"/>
    </row>
    <row r="15" spans="1:14" ht="12">
      <c r="A15" s="5"/>
      <c r="B15" s="5"/>
      <c r="C15" s="5"/>
      <c r="D15" s="5"/>
      <c r="E15" s="5"/>
      <c r="F15" s="5"/>
      <c r="G15" s="5"/>
      <c r="H15" s="5"/>
      <c r="I15" s="5"/>
      <c r="L15" s="5"/>
      <c r="M15" s="5"/>
      <c r="N15" s="5"/>
    </row>
    <row r="16" spans="1:14" ht="12">
      <c r="A16" s="5"/>
      <c r="B16" s="5"/>
      <c r="C16" s="5"/>
      <c r="D16" s="5"/>
      <c r="E16" s="5"/>
      <c r="F16" s="5"/>
      <c r="G16" s="5"/>
      <c r="H16" s="5"/>
      <c r="I16" s="5"/>
      <c r="L16" s="5"/>
      <c r="M16" s="5"/>
      <c r="N16" s="5"/>
    </row>
    <row r="17" spans="1:14" ht="12">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N108"/>
  <sheetViews>
    <sheetView tabSelected="1" zoomScaleSheetLayoutView="100" zoomScalePageLayoutView="0" workbookViewId="0" topLeftCell="A1">
      <selection activeCell="K70" sqref="K70"/>
    </sheetView>
  </sheetViews>
  <sheetFormatPr defaultColWidth="9.140625" defaultRowHeight="12.75"/>
  <cols>
    <col min="1" max="5" width="1.57421875" style="0" customWidth="1"/>
    <col min="6" max="6" width="9.851562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6.421875" style="0" customWidth="1"/>
    <col min="16" max="16" width="4.421875" style="0" customWidth="1"/>
    <col min="17" max="17" width="16.140625" style="0" customWidth="1"/>
    <col min="18" max="18" width="5.421875" style="0" bestFit="1" customWidth="1"/>
    <col min="19" max="19" width="9.28125" style="0" hidden="1" customWidth="1"/>
    <col min="20" max="24" width="1.421875" style="0" hidden="1" customWidth="1"/>
    <col min="25" max="25" width="8.7109375" style="0" hidden="1" customWidth="1"/>
    <col min="26" max="26" width="10.140625" style="0" hidden="1" customWidth="1"/>
    <col min="27" max="27" width="12.140625" style="0" hidden="1" customWidth="1"/>
    <col min="28" max="28" width="12.57421875" style="0" hidden="1" customWidth="1"/>
    <col min="29" max="29" width="9.57421875" style="0" hidden="1" customWidth="1"/>
    <col min="30" max="30" width="11.8515625" style="0" hidden="1" customWidth="1"/>
    <col min="31" max="31" width="14.1406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
      <c r="A1" s="80" t="s">
        <v>1172</v>
      </c>
      <c r="C1" s="80"/>
      <c r="D1" s="80"/>
      <c r="E1" s="80"/>
      <c r="T1" s="249" t="s">
        <v>627</v>
      </c>
      <c r="U1" s="250"/>
      <c r="V1" s="251"/>
      <c r="W1" s="251"/>
      <c r="X1" s="251"/>
      <c r="Y1" s="250"/>
      <c r="Z1" s="250"/>
      <c r="AA1" s="250"/>
      <c r="AB1" s="250"/>
      <c r="AC1" s="250"/>
      <c r="AD1" s="250"/>
      <c r="AE1" s="250"/>
      <c r="AF1" s="252"/>
    </row>
    <row r="2" spans="2:32" ht="12">
      <c r="B2" s="57"/>
      <c r="C2" s="57"/>
      <c r="D2" s="57"/>
      <c r="E2" s="57"/>
      <c r="T2" s="253"/>
      <c r="U2" s="254"/>
      <c r="V2" s="254"/>
      <c r="W2" s="254"/>
      <c r="X2" s="254"/>
      <c r="Y2" s="255"/>
      <c r="Z2" s="255"/>
      <c r="AA2" s="255"/>
      <c r="AB2" s="255"/>
      <c r="AC2" s="255"/>
      <c r="AD2" s="255"/>
      <c r="AE2" s="255"/>
      <c r="AF2" s="256"/>
    </row>
    <row r="3" spans="2:32" ht="18">
      <c r="B3" s="509" t="s">
        <v>1125</v>
      </c>
      <c r="C3" s="510"/>
      <c r="D3" s="510"/>
      <c r="E3" s="510"/>
      <c r="F3" s="510"/>
      <c r="G3" s="510"/>
      <c r="H3" s="510"/>
      <c r="I3" s="510"/>
      <c r="J3" s="510"/>
      <c r="K3" s="510"/>
      <c r="L3" s="510"/>
      <c r="M3" s="511"/>
      <c r="T3" s="253"/>
      <c r="U3" s="514" t="s">
        <v>637</v>
      </c>
      <c r="V3" s="515"/>
      <c r="W3" s="515"/>
      <c r="X3" s="515"/>
      <c r="Y3" s="515"/>
      <c r="Z3" s="515"/>
      <c r="AA3" s="515"/>
      <c r="AB3" s="515"/>
      <c r="AC3" s="515"/>
      <c r="AD3" s="515"/>
      <c r="AE3" s="515"/>
      <c r="AF3" s="516"/>
    </row>
    <row r="4" spans="20:32" ht="12">
      <c r="T4" s="253"/>
      <c r="U4" s="255"/>
      <c r="V4" s="255"/>
      <c r="W4" s="255"/>
      <c r="X4" s="255"/>
      <c r="Y4" s="255"/>
      <c r="Z4" s="255"/>
      <c r="AA4" s="255"/>
      <c r="AB4" s="255"/>
      <c r="AC4" s="255"/>
      <c r="AD4" s="255"/>
      <c r="AE4" s="255"/>
      <c r="AF4" s="256"/>
    </row>
    <row r="5" spans="4:32" ht="12.75">
      <c r="D5" s="151" t="s">
        <v>398</v>
      </c>
      <c r="T5" s="253"/>
      <c r="U5" s="255"/>
      <c r="V5" s="255"/>
      <c r="W5" s="255"/>
      <c r="X5" s="255"/>
      <c r="Y5" s="257" t="s">
        <v>398</v>
      </c>
      <c r="Z5" s="255"/>
      <c r="AA5" s="255"/>
      <c r="AB5" s="255"/>
      <c r="AC5" s="255"/>
      <c r="AD5" s="255"/>
      <c r="AE5" s="255"/>
      <c r="AF5" s="256"/>
    </row>
    <row r="6" spans="6:32" ht="12.75">
      <c r="F6" s="152"/>
      <c r="G6" s="65" t="s">
        <v>401</v>
      </c>
      <c r="T6" s="253"/>
      <c r="U6" s="255"/>
      <c r="V6" s="255"/>
      <c r="W6" s="255"/>
      <c r="X6" s="255"/>
      <c r="Y6" s="258"/>
      <c r="Z6" s="259" t="s">
        <v>401</v>
      </c>
      <c r="AA6" s="255"/>
      <c r="AB6" s="255"/>
      <c r="AC6" s="255"/>
      <c r="AD6" s="255"/>
      <c r="AE6" s="255"/>
      <c r="AF6" s="256"/>
    </row>
    <row r="7" spans="6:32" ht="12.75">
      <c r="F7" s="77"/>
      <c r="G7" s="65" t="s">
        <v>402</v>
      </c>
      <c r="T7" s="253"/>
      <c r="U7" s="255"/>
      <c r="V7" s="255"/>
      <c r="W7" s="255"/>
      <c r="X7" s="255"/>
      <c r="Y7" s="260"/>
      <c r="Z7" s="259" t="s">
        <v>402</v>
      </c>
      <c r="AA7" s="255"/>
      <c r="AB7" s="255"/>
      <c r="AC7" s="255"/>
      <c r="AD7" s="255"/>
      <c r="AE7" s="255"/>
      <c r="AF7" s="256"/>
    </row>
    <row r="8" spans="6:32" ht="12.75">
      <c r="F8" s="65"/>
      <c r="G8" s="65"/>
      <c r="T8" s="253"/>
      <c r="U8" s="255"/>
      <c r="V8" s="255"/>
      <c r="W8" s="255"/>
      <c r="X8" s="255"/>
      <c r="Y8" s="259"/>
      <c r="Z8" s="259"/>
      <c r="AA8" s="255"/>
      <c r="AB8" s="255"/>
      <c r="AC8" s="255"/>
      <c r="AD8" s="255"/>
      <c r="AE8" s="255"/>
      <c r="AF8" s="256"/>
    </row>
    <row r="9" spans="4:32" ht="12.75">
      <c r="D9" s="66" t="s">
        <v>639</v>
      </c>
      <c r="T9" s="253"/>
      <c r="U9" s="255"/>
      <c r="V9" s="255"/>
      <c r="W9" s="255"/>
      <c r="X9" s="255"/>
      <c r="Y9" s="255"/>
      <c r="Z9" s="255"/>
      <c r="AA9" s="255"/>
      <c r="AB9" s="255"/>
      <c r="AC9" s="255"/>
      <c r="AD9" s="255"/>
      <c r="AE9" s="255"/>
      <c r="AF9" s="256"/>
    </row>
    <row r="10" spans="20:32" ht="12">
      <c r="T10" s="253"/>
      <c r="U10" s="255"/>
      <c r="V10" s="255"/>
      <c r="W10" s="255"/>
      <c r="X10" s="255"/>
      <c r="Y10" s="255"/>
      <c r="Z10" s="255"/>
      <c r="AA10" s="255"/>
      <c r="AB10" s="255"/>
      <c r="AC10" s="255"/>
      <c r="AD10" s="255"/>
      <c r="AE10" s="255"/>
      <c r="AF10" s="256"/>
    </row>
    <row r="11" spans="2:32" ht="17.25">
      <c r="B11" s="1" t="s">
        <v>0</v>
      </c>
      <c r="F11" s="155"/>
      <c r="G11" s="512" t="s">
        <v>59</v>
      </c>
      <c r="H11" s="513"/>
      <c r="I11" s="66" t="s">
        <v>394</v>
      </c>
      <c r="T11" s="253"/>
      <c r="U11" s="261" t="s">
        <v>0</v>
      </c>
      <c r="V11" s="255"/>
      <c r="W11" s="255"/>
      <c r="X11" s="255"/>
      <c r="Y11" s="255"/>
      <c r="Z11" s="517" t="str">
        <f>G11</f>
        <v>Akaa</v>
      </c>
      <c r="AA11" s="517"/>
      <c r="AB11" s="262" t="s">
        <v>394</v>
      </c>
      <c r="AC11" s="255"/>
      <c r="AD11" s="255"/>
      <c r="AE11" s="255"/>
      <c r="AF11" s="256"/>
    </row>
    <row r="12" spans="2:32" ht="15">
      <c r="B12" s="1" t="s">
        <v>1126</v>
      </c>
      <c r="H12" s="154">
        <f>INDEX(vosC,MATCH($G$11,kunta,0),1,1)</f>
        <v>16611</v>
      </c>
      <c r="I12" s="66"/>
      <c r="T12" s="253"/>
      <c r="U12" s="261" t="s">
        <v>638</v>
      </c>
      <c r="V12" s="255"/>
      <c r="W12" s="255"/>
      <c r="X12" s="255"/>
      <c r="Y12" s="255"/>
      <c r="Z12" s="255"/>
      <c r="AA12" s="263">
        <f>INDEX(vosC,MATCH($G$11,kunta,0),1,1)</f>
        <v>16611</v>
      </c>
      <c r="AB12" s="262" t="s">
        <v>396</v>
      </c>
      <c r="AC12" s="255"/>
      <c r="AD12" s="255"/>
      <c r="AE12" s="255"/>
      <c r="AF12" s="256"/>
    </row>
    <row r="13" spans="2:32" ht="14.25">
      <c r="B13" s="47"/>
      <c r="C13" s="47"/>
      <c r="D13" s="47"/>
      <c r="E13" s="47"/>
      <c r="M13" s="3"/>
      <c r="T13" s="253"/>
      <c r="U13" s="264"/>
      <c r="V13" s="264"/>
      <c r="W13" s="264"/>
      <c r="X13" s="264"/>
      <c r="Y13" s="255"/>
      <c r="Z13" s="255"/>
      <c r="AA13" s="255"/>
      <c r="AB13" s="255"/>
      <c r="AC13" s="255"/>
      <c r="AD13" s="255"/>
      <c r="AE13" s="255"/>
      <c r="AF13" s="265"/>
    </row>
    <row r="14" spans="2:32" ht="12.75">
      <c r="B14" s="1" t="s">
        <v>39</v>
      </c>
      <c r="L14" s="66"/>
      <c r="M14" s="67"/>
      <c r="T14" s="253"/>
      <c r="U14" s="261" t="s">
        <v>39</v>
      </c>
      <c r="V14" s="255"/>
      <c r="W14" s="255"/>
      <c r="X14" s="255"/>
      <c r="Y14" s="255"/>
      <c r="Z14" s="255"/>
      <c r="AA14" s="255"/>
      <c r="AB14" s="255"/>
      <c r="AC14" s="255"/>
      <c r="AD14" s="255"/>
      <c r="AE14" s="262"/>
      <c r="AF14" s="266"/>
    </row>
    <row r="15" spans="2:32" ht="12.75">
      <c r="B15" s="1"/>
      <c r="L15" s="66"/>
      <c r="M15" s="67"/>
      <c r="T15" s="253"/>
      <c r="U15" s="261"/>
      <c r="V15" s="255"/>
      <c r="W15" s="255"/>
      <c r="X15" s="255"/>
      <c r="Y15" s="255"/>
      <c r="Z15" s="255"/>
      <c r="AA15" s="255"/>
      <c r="AB15" s="255"/>
      <c r="AC15" s="255"/>
      <c r="AD15" s="255"/>
      <c r="AE15" s="262"/>
      <c r="AF15" s="266"/>
    </row>
    <row r="16" spans="2:32" ht="12.75">
      <c r="B16" s="1" t="s">
        <v>648</v>
      </c>
      <c r="C16" s="1"/>
      <c r="D16" s="1"/>
      <c r="E16" s="1"/>
      <c r="L16" s="66" t="s">
        <v>361</v>
      </c>
      <c r="M16" s="66" t="s">
        <v>399</v>
      </c>
      <c r="T16" s="253"/>
      <c r="U16" s="261" t="s">
        <v>355</v>
      </c>
      <c r="V16" s="261"/>
      <c r="W16" s="261"/>
      <c r="X16" s="261"/>
      <c r="Y16" s="255"/>
      <c r="Z16" s="255"/>
      <c r="AA16" s="255"/>
      <c r="AB16" s="255"/>
      <c r="AC16" s="255"/>
      <c r="AD16" s="255"/>
      <c r="AE16" s="262" t="s">
        <v>361</v>
      </c>
      <c r="AF16" s="267" t="s">
        <v>399</v>
      </c>
    </row>
    <row r="17" spans="20:32" ht="12">
      <c r="T17" s="253"/>
      <c r="U17" s="255"/>
      <c r="V17" s="255"/>
      <c r="W17" s="255"/>
      <c r="X17" s="255"/>
      <c r="Y17" s="255"/>
      <c r="Z17" s="255"/>
      <c r="AA17" s="255"/>
      <c r="AB17" s="255"/>
      <c r="AC17" s="255"/>
      <c r="AD17" s="255"/>
      <c r="AE17" s="255"/>
      <c r="AF17" s="256"/>
    </row>
    <row r="18" spans="4:32" ht="12.75">
      <c r="D18" s="5" t="s">
        <v>365</v>
      </c>
      <c r="E18" s="5"/>
      <c r="F18" s="5"/>
      <c r="L18" s="79">
        <f>'3.Ikärakenne'!H24</f>
        <v>60422627.57</v>
      </c>
      <c r="M18" s="360">
        <f>L18/$H$12</f>
        <v>3637.5069273373065</v>
      </c>
      <c r="T18" s="253"/>
      <c r="U18" s="255"/>
      <c r="V18" s="255"/>
      <c r="W18" s="255" t="s">
        <v>365</v>
      </c>
      <c r="X18" s="255"/>
      <c r="Y18" s="255"/>
      <c r="Z18" s="255"/>
      <c r="AA18" s="255"/>
      <c r="AB18" s="255"/>
      <c r="AC18" s="255"/>
      <c r="AD18" s="255"/>
      <c r="AE18" s="268">
        <f>'3.Ikärakenne'!Z24</f>
        <v>0</v>
      </c>
      <c r="AF18" s="269">
        <f>AE18/$H$12</f>
        <v>0</v>
      </c>
    </row>
    <row r="19" spans="13:32" ht="12.75">
      <c r="M19" s="360"/>
      <c r="T19" s="253"/>
      <c r="U19" s="255"/>
      <c r="V19" s="255"/>
      <c r="W19" s="255"/>
      <c r="X19" s="255"/>
      <c r="Y19" s="255"/>
      <c r="Z19" s="255"/>
      <c r="AA19" s="255"/>
      <c r="AB19" s="255"/>
      <c r="AC19" s="255"/>
      <c r="AD19" s="255"/>
      <c r="AE19" s="255"/>
      <c r="AF19" s="269"/>
    </row>
    <row r="20" spans="4:32" ht="12.75">
      <c r="D20" s="5" t="s">
        <v>491</v>
      </c>
      <c r="E20" s="5"/>
      <c r="F20" s="5"/>
      <c r="L20" s="79">
        <f>'4.Muut lask. kustannukset'!J15</f>
        <v>18369741.30822149</v>
      </c>
      <c r="M20" s="360">
        <f>L20/$H$12</f>
        <v>1105.8781113853163</v>
      </c>
      <c r="T20" s="253"/>
      <c r="U20" s="255"/>
      <c r="V20" s="255"/>
      <c r="W20" s="255" t="s">
        <v>491</v>
      </c>
      <c r="X20" s="255"/>
      <c r="Y20" s="255"/>
      <c r="Z20" s="255"/>
      <c r="AA20" s="255"/>
      <c r="AB20" s="255"/>
      <c r="AC20" s="255"/>
      <c r="AD20" s="255"/>
      <c r="AE20" s="268">
        <f>'4.Muut lask. kustannukset'!AB15</f>
        <v>0</v>
      </c>
      <c r="AF20" s="269">
        <f>AE20/$H$12</f>
        <v>0</v>
      </c>
    </row>
    <row r="21" spans="13:32" ht="12.75">
      <c r="M21" s="360"/>
      <c r="P21" s="297"/>
      <c r="Q21" s="298" t="s">
        <v>643</v>
      </c>
      <c r="R21" s="299"/>
      <c r="T21" s="253"/>
      <c r="U21" s="255"/>
      <c r="V21" s="255"/>
      <c r="W21" s="255"/>
      <c r="X21" s="255"/>
      <c r="Y21" s="255"/>
      <c r="Z21" s="255"/>
      <c r="AA21" s="255"/>
      <c r="AB21" s="255"/>
      <c r="AC21" s="255"/>
      <c r="AD21" s="255"/>
      <c r="AE21" s="255"/>
      <c r="AF21" s="269"/>
    </row>
    <row r="22" spans="4:32" ht="13.5" thickBot="1">
      <c r="D22" s="159" t="s">
        <v>492</v>
      </c>
      <c r="E22" s="109"/>
      <c r="F22" s="109"/>
      <c r="G22" s="109"/>
      <c r="H22" s="109"/>
      <c r="I22" s="109"/>
      <c r="J22" s="243"/>
      <c r="K22" s="244"/>
      <c r="L22" s="245">
        <f>'4.Muut lask. kustannukset'!J79</f>
        <v>2566163.684338498</v>
      </c>
      <c r="M22" s="361">
        <f>L22/$H$12</f>
        <v>154.48580364448244</v>
      </c>
      <c r="P22" s="300"/>
      <c r="Q22" s="301" t="s">
        <v>642</v>
      </c>
      <c r="R22" s="302"/>
      <c r="T22" s="253"/>
      <c r="U22" s="255"/>
      <c r="V22" s="255"/>
      <c r="W22" s="270" t="s">
        <v>492</v>
      </c>
      <c r="X22" s="270"/>
      <c r="Y22" s="270"/>
      <c r="Z22" s="270"/>
      <c r="AA22" s="270"/>
      <c r="AB22" s="270"/>
      <c r="AC22" s="271"/>
      <c r="AD22" s="272"/>
      <c r="AE22" s="273">
        <f>'4.Muut lask. kustannukset'!AB79</f>
        <v>0</v>
      </c>
      <c r="AF22" s="274">
        <f>AE22/$H$12</f>
        <v>0</v>
      </c>
    </row>
    <row r="23" spans="3:32" ht="13.5" thickTop="1">
      <c r="C23" s="5" t="s">
        <v>640</v>
      </c>
      <c r="D23" s="5"/>
      <c r="J23" s="33"/>
      <c r="K23" s="3"/>
      <c r="L23" s="246">
        <f>SUM(L18:L22)</f>
        <v>81358532.56255998</v>
      </c>
      <c r="M23" s="360">
        <f>L23/$H$12</f>
        <v>4897.870842367105</v>
      </c>
      <c r="P23" s="303"/>
      <c r="Q23" s="304">
        <v>0.2547</v>
      </c>
      <c r="R23" s="305"/>
      <c r="T23" s="253"/>
      <c r="U23" s="255"/>
      <c r="V23" s="255" t="s">
        <v>635</v>
      </c>
      <c r="W23" s="255"/>
      <c r="X23" s="255"/>
      <c r="Y23" s="255"/>
      <c r="Z23" s="255"/>
      <c r="AA23" s="255"/>
      <c r="AB23" s="255"/>
      <c r="AC23" s="275"/>
      <c r="AD23" s="276"/>
      <c r="AE23" s="275">
        <f>SUM(AE18:AE22)</f>
        <v>0</v>
      </c>
      <c r="AF23" s="269">
        <f>AE23/$H$12</f>
        <v>0</v>
      </c>
    </row>
    <row r="24" spans="13:32" ht="12.75">
      <c r="M24" s="360"/>
      <c r="P24" s="306"/>
      <c r="Q24" s="298" t="s">
        <v>644</v>
      </c>
      <c r="R24" s="307"/>
      <c r="T24" s="253"/>
      <c r="U24" s="255"/>
      <c r="V24" s="255"/>
      <c r="W24" s="255"/>
      <c r="X24" s="255"/>
      <c r="Y24" s="255"/>
      <c r="Z24" s="255"/>
      <c r="AA24" s="255"/>
      <c r="AB24" s="255"/>
      <c r="AC24" s="255"/>
      <c r="AD24" s="255"/>
      <c r="AE24" s="255"/>
      <c r="AF24" s="269"/>
    </row>
    <row r="25" spans="3:32" ht="13.5" thickBot="1">
      <c r="C25" s="159" t="s">
        <v>641</v>
      </c>
      <c r="D25" s="109"/>
      <c r="E25" s="159"/>
      <c r="F25" s="109"/>
      <c r="G25" s="109"/>
      <c r="H25" s="109"/>
      <c r="I25" s="109"/>
      <c r="J25" s="247">
        <f>tiedot!$H$2*(-1)</f>
        <v>-3654.72</v>
      </c>
      <c r="K25" s="184" t="s">
        <v>1</v>
      </c>
      <c r="L25" s="245">
        <f>$J$25*$H$12</f>
        <v>-60708553.919999994</v>
      </c>
      <c r="M25" s="361">
        <f>L25/$H$12</f>
        <v>-3654.72</v>
      </c>
      <c r="P25" s="308"/>
      <c r="Q25" s="301" t="s">
        <v>642</v>
      </c>
      <c r="R25" s="309"/>
      <c r="T25" s="253"/>
      <c r="U25" s="255"/>
      <c r="V25" s="270" t="s">
        <v>353</v>
      </c>
      <c r="W25" s="270"/>
      <c r="X25" s="270"/>
      <c r="Y25" s="270"/>
      <c r="Z25" s="270"/>
      <c r="AA25" s="270"/>
      <c r="AB25" s="270"/>
      <c r="AC25" s="277">
        <f>tiedot!$H$2*(-1)</f>
        <v>-3654.72</v>
      </c>
      <c r="AD25" s="278" t="s">
        <v>1</v>
      </c>
      <c r="AE25" s="273">
        <f>AC25*AA12</f>
        <v>-60708553.919999994</v>
      </c>
      <c r="AF25" s="274">
        <f>AE25/$H$12</f>
        <v>-3654.72</v>
      </c>
    </row>
    <row r="26" spans="3:32" ht="13.5" thickTop="1">
      <c r="C26" s="5" t="s">
        <v>636</v>
      </c>
      <c r="E26" s="5"/>
      <c r="J26" s="66"/>
      <c r="K26" s="66"/>
      <c r="L26" s="217">
        <f>L23+L25</f>
        <v>20649978.642559983</v>
      </c>
      <c r="M26" s="360">
        <f>L26/$H$12</f>
        <v>1243.150842367105</v>
      </c>
      <c r="O26" s="248"/>
      <c r="P26" s="158"/>
      <c r="Q26" s="304">
        <f>L26/L23</f>
        <v>0.2538145415378694</v>
      </c>
      <c r="R26" s="310"/>
      <c r="T26" s="253"/>
      <c r="U26" s="255"/>
      <c r="V26" s="255" t="s">
        <v>636</v>
      </c>
      <c r="W26" s="255"/>
      <c r="X26" s="255"/>
      <c r="Y26" s="255"/>
      <c r="Z26" s="255"/>
      <c r="AA26" s="255"/>
      <c r="AB26" s="255"/>
      <c r="AC26" s="262"/>
      <c r="AD26" s="262"/>
      <c r="AE26" s="279">
        <f>AE23+AE25</f>
        <v>-60708553.919999994</v>
      </c>
      <c r="AF26" s="269">
        <f>AE26/$H$12</f>
        <v>-3654.72</v>
      </c>
    </row>
    <row r="27" spans="13:32" ht="12.75">
      <c r="M27" s="360"/>
      <c r="T27" s="253"/>
      <c r="U27" s="255"/>
      <c r="V27" s="255"/>
      <c r="W27" s="255"/>
      <c r="X27" s="255"/>
      <c r="Y27" s="255"/>
      <c r="Z27" s="255"/>
      <c r="AA27" s="255"/>
      <c r="AB27" s="255"/>
      <c r="AC27" s="255"/>
      <c r="AD27" s="255"/>
      <c r="AE27" s="255"/>
      <c r="AF27" s="269"/>
    </row>
    <row r="28" spans="4:32" ht="12.75">
      <c r="D28" s="5" t="s">
        <v>493</v>
      </c>
      <c r="E28" s="5"/>
      <c r="F28" s="5"/>
      <c r="L28" s="78">
        <f>'5.Lisäosat'!J35</f>
        <v>314497.09542003926</v>
      </c>
      <c r="M28" s="360">
        <f>L28/$H$12</f>
        <v>18.933062152792683</v>
      </c>
      <c r="O28" s="248">
        <f>L28/$L$49</f>
        <v>0.012749343168129914</v>
      </c>
      <c r="T28" s="253"/>
      <c r="U28" s="255"/>
      <c r="V28" s="255"/>
      <c r="W28" s="255" t="s">
        <v>493</v>
      </c>
      <c r="X28" s="255"/>
      <c r="Y28" s="255"/>
      <c r="Z28" s="255"/>
      <c r="AA28" s="255"/>
      <c r="AB28" s="255"/>
      <c r="AC28" s="255"/>
      <c r="AD28" s="255"/>
      <c r="AE28" s="280">
        <f>'5.Lisäosat'!AB35</f>
        <v>0</v>
      </c>
      <c r="AF28" s="269">
        <f>AE28/$H$12</f>
        <v>0</v>
      </c>
    </row>
    <row r="29" spans="13:32" ht="12.75">
      <c r="M29" s="360"/>
      <c r="T29" s="253"/>
      <c r="U29" s="255"/>
      <c r="V29" s="255"/>
      <c r="W29" s="255"/>
      <c r="X29" s="255"/>
      <c r="Y29" s="255"/>
      <c r="Z29" s="255"/>
      <c r="AA29" s="255"/>
      <c r="AB29" s="255"/>
      <c r="AC29" s="255"/>
      <c r="AD29" s="255"/>
      <c r="AE29" s="255"/>
      <c r="AF29" s="269"/>
    </row>
    <row r="30" spans="4:32" ht="12.75">
      <c r="D30" t="s">
        <v>46</v>
      </c>
      <c r="L30" s="78">
        <f>'6.Vähennykset ja lisäykset'!I61</f>
        <v>-2470435.6283948794</v>
      </c>
      <c r="M30" s="360">
        <f>L30/$H$12</f>
        <v>-148.72287209649505</v>
      </c>
      <c r="O30" s="248">
        <f>L30/$L$49</f>
        <v>-0.10014856117864827</v>
      </c>
      <c r="T30" s="253"/>
      <c r="U30" s="255"/>
      <c r="V30" s="255"/>
      <c r="W30" s="255" t="s">
        <v>46</v>
      </c>
      <c r="X30" s="255"/>
      <c r="Y30" s="255"/>
      <c r="Z30" s="255"/>
      <c r="AA30" s="255"/>
      <c r="AB30" s="255"/>
      <c r="AC30" s="255"/>
      <c r="AD30" s="255"/>
      <c r="AE30" s="280">
        <f>'6.Vähennykset ja lisäykset'!AA61</f>
        <v>0</v>
      </c>
      <c r="AF30" s="269">
        <f>AE30/$H$12</f>
        <v>0</v>
      </c>
    </row>
    <row r="31" spans="5:32" ht="12.75">
      <c r="E31" s="240" t="s">
        <v>696</v>
      </c>
      <c r="L31" s="64">
        <f>'6.Vähennykset ja lisäykset'!I41</f>
        <v>-845796.7925418238</v>
      </c>
      <c r="M31" s="360">
        <f>L31/$H$12</f>
        <v>-50.91787324916163</v>
      </c>
      <c r="O31" s="248">
        <f>L31/$L$49</f>
        <v>-0.03428760937908553</v>
      </c>
      <c r="T31" s="253"/>
      <c r="U31" s="255"/>
      <c r="V31" s="255"/>
      <c r="W31" s="255"/>
      <c r="X31" s="255"/>
      <c r="Y31" s="255"/>
      <c r="Z31" s="255"/>
      <c r="AA31" s="255"/>
      <c r="AB31" s="255"/>
      <c r="AC31" s="255"/>
      <c r="AD31" s="255"/>
      <c r="AE31" s="311"/>
      <c r="AF31" s="269"/>
    </row>
    <row r="32" spans="13:32" ht="12.75" hidden="1">
      <c r="M32" s="360"/>
      <c r="T32" s="253"/>
      <c r="U32" s="255"/>
      <c r="V32" s="255"/>
      <c r="W32" s="255"/>
      <c r="X32" s="255"/>
      <c r="Y32" s="255"/>
      <c r="Z32" s="255"/>
      <c r="AA32" s="255"/>
      <c r="AB32" s="255"/>
      <c r="AC32" s="255"/>
      <c r="AD32" s="255"/>
      <c r="AE32" s="255"/>
      <c r="AF32" s="269"/>
    </row>
    <row r="33" spans="4:32" ht="12.75" hidden="1">
      <c r="D33" s="5" t="s">
        <v>572</v>
      </c>
      <c r="L33" s="78">
        <f>'7.Järjestelmämuutos 2015'!J22</f>
        <v>0</v>
      </c>
      <c r="M33" s="360">
        <f>L33/$H$12</f>
        <v>0</v>
      </c>
      <c r="O33" s="248">
        <f>L33/$L$49</f>
        <v>0</v>
      </c>
      <c r="T33" s="253"/>
      <c r="U33" s="255"/>
      <c r="V33" s="255"/>
      <c r="W33" s="255" t="s">
        <v>572</v>
      </c>
      <c r="X33" s="255"/>
      <c r="Y33" s="255"/>
      <c r="Z33" s="255"/>
      <c r="AA33" s="255"/>
      <c r="AB33" s="255"/>
      <c r="AC33" s="255"/>
      <c r="AD33" s="255"/>
      <c r="AE33" s="280">
        <f>'7.Järjestelmämuutos 2015'!AB25</f>
        <v>0</v>
      </c>
      <c r="AF33" s="269">
        <f>AE33/$H$12</f>
        <v>0</v>
      </c>
    </row>
    <row r="34" spans="2:32" ht="12.75">
      <c r="B34" s="53"/>
      <c r="C34" s="156"/>
      <c r="D34" s="156"/>
      <c r="E34" s="156"/>
      <c r="F34" s="156"/>
      <c r="G34" s="156"/>
      <c r="H34" s="156"/>
      <c r="I34" s="156"/>
      <c r="J34" s="156"/>
      <c r="K34" s="156"/>
      <c r="L34" s="156"/>
      <c r="M34" s="362"/>
      <c r="T34" s="253"/>
      <c r="U34" s="255"/>
      <c r="V34" s="281"/>
      <c r="W34" s="281"/>
      <c r="X34" s="281"/>
      <c r="Y34" s="281"/>
      <c r="Z34" s="281"/>
      <c r="AA34" s="281"/>
      <c r="AB34" s="281"/>
      <c r="AC34" s="281"/>
      <c r="AD34" s="281"/>
      <c r="AE34" s="281"/>
      <c r="AF34" s="282"/>
    </row>
    <row r="35" spans="3:32" ht="12.75">
      <c r="C35" s="1" t="s">
        <v>645</v>
      </c>
      <c r="D35" s="1"/>
      <c r="E35" s="1"/>
      <c r="L35" s="58">
        <f>SUM(L26:L30)</f>
        <v>18494040.109585144</v>
      </c>
      <c r="M35" s="363">
        <f>L35/$H$12</f>
        <v>1113.3610324234028</v>
      </c>
      <c r="O35" s="248">
        <f>L35/$L$49</f>
        <v>0.7497266822364299</v>
      </c>
      <c r="T35" s="253"/>
      <c r="U35" s="255"/>
      <c r="V35" s="261" t="s">
        <v>354</v>
      </c>
      <c r="W35" s="261"/>
      <c r="X35" s="261"/>
      <c r="Y35" s="255"/>
      <c r="Z35" s="255"/>
      <c r="AA35" s="255"/>
      <c r="AB35" s="255"/>
      <c r="AC35" s="255"/>
      <c r="AD35" s="255"/>
      <c r="AE35" s="283">
        <f>SUM(AE26:AE33)</f>
        <v>-60708553.919999994</v>
      </c>
      <c r="AF35" s="284">
        <f>AE35/$H$12</f>
        <v>-3654.72</v>
      </c>
    </row>
    <row r="36" spans="13:32" ht="12">
      <c r="M36" s="64"/>
      <c r="T36" s="253"/>
      <c r="U36" s="255"/>
      <c r="V36" s="255"/>
      <c r="W36" s="255"/>
      <c r="X36" s="255"/>
      <c r="Y36" s="255"/>
      <c r="Z36" s="255"/>
      <c r="AA36" s="255"/>
      <c r="AB36" s="255"/>
      <c r="AC36" s="255"/>
      <c r="AD36" s="255"/>
      <c r="AE36" s="255"/>
      <c r="AF36" s="256"/>
    </row>
    <row r="37" spans="3:32" ht="12.75">
      <c r="C37" s="5" t="s">
        <v>646</v>
      </c>
      <c r="D37" s="5"/>
      <c r="E37" s="5"/>
      <c r="L37" s="153">
        <f>INDEX(tasa_1,MATCH($G$11,kunta,0),1,1)</f>
        <v>8617447.53417135</v>
      </c>
      <c r="M37" s="360">
        <f>L37/$H$12</f>
        <v>518.7795758335651</v>
      </c>
      <c r="O37" s="248">
        <f>L37/$L$49</f>
        <v>0.34934120997133045</v>
      </c>
      <c r="T37" s="253"/>
      <c r="U37" s="255"/>
      <c r="V37" s="255" t="s">
        <v>356</v>
      </c>
      <c r="W37" s="255"/>
      <c r="X37" s="255"/>
      <c r="Y37" s="255"/>
      <c r="Z37" s="255"/>
      <c r="AA37" s="255"/>
      <c r="AB37" s="255"/>
      <c r="AC37" s="255"/>
      <c r="AD37" s="255"/>
      <c r="AE37" s="285">
        <f>INDEX(tasa_1,MATCH($G$11,kunta,0),1,1)</f>
        <v>8617447.53417135</v>
      </c>
      <c r="AF37" s="269">
        <f>AE37/$H$12</f>
        <v>518.7795758335651</v>
      </c>
    </row>
    <row r="38" spans="2:32" ht="13.5" thickBot="1">
      <c r="B38" s="109"/>
      <c r="C38" s="109"/>
      <c r="D38" s="109"/>
      <c r="E38" s="109"/>
      <c r="F38" s="109"/>
      <c r="G38" s="109"/>
      <c r="H38" s="109"/>
      <c r="I38" s="109"/>
      <c r="J38" s="109"/>
      <c r="K38" s="109"/>
      <c r="L38" s="109"/>
      <c r="M38" s="361"/>
      <c r="T38" s="253"/>
      <c r="U38" s="270"/>
      <c r="V38" s="270"/>
      <c r="W38" s="270"/>
      <c r="X38" s="270"/>
      <c r="Y38" s="270"/>
      <c r="Z38" s="270"/>
      <c r="AA38" s="270"/>
      <c r="AB38" s="270"/>
      <c r="AC38" s="270"/>
      <c r="AD38" s="270"/>
      <c r="AE38" s="270"/>
      <c r="AF38" s="274"/>
    </row>
    <row r="39" spans="2:32" ht="13.5" thickTop="1">
      <c r="B39" s="1" t="s">
        <v>647</v>
      </c>
      <c r="C39" s="1"/>
      <c r="D39" s="1"/>
      <c r="E39" s="1"/>
      <c r="L39" s="58">
        <f>L35+L37</f>
        <v>27111487.643756494</v>
      </c>
      <c r="M39" s="360">
        <f>L39/$H$12</f>
        <v>1632.1406082569679</v>
      </c>
      <c r="O39" s="248">
        <f>L39/$L$49</f>
        <v>1.0990678922077604</v>
      </c>
      <c r="T39" s="253"/>
      <c r="U39" s="261" t="s">
        <v>357</v>
      </c>
      <c r="V39" s="261"/>
      <c r="W39" s="261"/>
      <c r="X39" s="261"/>
      <c r="Y39" s="255"/>
      <c r="Z39" s="255"/>
      <c r="AA39" s="255"/>
      <c r="AB39" s="255"/>
      <c r="AC39" s="255"/>
      <c r="AD39" s="255"/>
      <c r="AE39" s="283">
        <f>AE35+AE37</f>
        <v>-52091106.385828644</v>
      </c>
      <c r="AF39" s="269">
        <f>AE39/$H$12</f>
        <v>-3135.9404241664347</v>
      </c>
    </row>
    <row r="40" spans="13:36" ht="12.75">
      <c r="M40" s="360"/>
      <c r="T40" s="253"/>
      <c r="U40" s="255"/>
      <c r="V40" s="255"/>
      <c r="W40" s="255"/>
      <c r="X40" s="255"/>
      <c r="Y40" s="255"/>
      <c r="Z40" s="255"/>
      <c r="AA40" s="255"/>
      <c r="AB40" s="255"/>
      <c r="AC40" s="255"/>
      <c r="AD40" s="255"/>
      <c r="AE40" s="255"/>
      <c r="AF40" s="269"/>
      <c r="AJ40" s="358" t="s">
        <v>692</v>
      </c>
    </row>
    <row r="41" spans="2:36" ht="12.75">
      <c r="B41" s="1" t="s">
        <v>1169</v>
      </c>
      <c r="C41" s="1"/>
      <c r="D41" s="1"/>
      <c r="E41" s="1"/>
      <c r="L41" s="359"/>
      <c r="M41" s="64"/>
      <c r="T41" s="253"/>
      <c r="U41" s="261" t="s">
        <v>628</v>
      </c>
      <c r="V41" s="261"/>
      <c r="W41" s="261"/>
      <c r="X41" s="261"/>
      <c r="Y41" s="255"/>
      <c r="Z41" s="255"/>
      <c r="AA41" s="255"/>
      <c r="AB41" s="255"/>
      <c r="AC41" s="255"/>
      <c r="AD41" s="255"/>
      <c r="AE41" s="286">
        <f>INDEX(okm,MATCH($G$11,kunta,0),1,1)</f>
        <v>-2443778</v>
      </c>
      <c r="AF41" s="269">
        <f>AE41/$H$12</f>
        <v>-147.11805430136656</v>
      </c>
      <c r="AJ41" s="359" t="s">
        <v>693</v>
      </c>
    </row>
    <row r="42" spans="3:36" ht="12.75">
      <c r="C42" s="5" t="s">
        <v>1170</v>
      </c>
      <c r="D42" s="1"/>
      <c r="E42" s="1"/>
      <c r="L42" s="81">
        <f>INDEX(okm,MATCH($G$11,kunta,0),1,1)</f>
        <v>-2443778</v>
      </c>
      <c r="M42" s="360">
        <f>L42/$H$12</f>
        <v>-147.11805430136656</v>
      </c>
      <c r="O42" s="248">
        <f>L42/$L$49</f>
        <v>-0.0990678922077604</v>
      </c>
      <c r="T42" s="253"/>
      <c r="U42" s="261"/>
      <c r="V42" s="261"/>
      <c r="W42" s="261"/>
      <c r="X42" s="261"/>
      <c r="Y42" s="255"/>
      <c r="Z42" s="255"/>
      <c r="AA42" s="255"/>
      <c r="AB42" s="255"/>
      <c r="AC42" s="255"/>
      <c r="AD42" s="255"/>
      <c r="AE42" s="346"/>
      <c r="AF42" s="269"/>
      <c r="AJ42" s="348">
        <f>'8.Opetus ja kulttuuri, muu vos'!K103</f>
        <v>-4301863.501600632</v>
      </c>
    </row>
    <row r="43" spans="3:36" ht="12.75" hidden="1">
      <c r="C43" s="5" t="s">
        <v>1171</v>
      </c>
      <c r="D43" s="1"/>
      <c r="E43" s="1"/>
      <c r="L43" s="81">
        <f>'8.Opetus ja kulttuuri, muu vos'!K103</f>
        <v>-4301863.501600632</v>
      </c>
      <c r="M43" s="360">
        <f>L43/$H$12</f>
        <v>-258.97679258326605</v>
      </c>
      <c r="O43" s="248">
        <f>L43/$L$49</f>
        <v>-0.17439249787381267</v>
      </c>
      <c r="T43" s="253"/>
      <c r="U43" s="261"/>
      <c r="V43" s="261"/>
      <c r="W43" s="261"/>
      <c r="X43" s="261"/>
      <c r="Y43" s="255"/>
      <c r="Z43" s="255"/>
      <c r="AA43" s="255"/>
      <c r="AB43" s="255"/>
      <c r="AC43" s="255"/>
      <c r="AD43" s="255"/>
      <c r="AE43" s="346"/>
      <c r="AF43" s="269"/>
      <c r="AJ43" s="507"/>
    </row>
    <row r="44" spans="2:37" s="66" customFormat="1" ht="12.75">
      <c r="B44" s="225"/>
      <c r="D44" s="66" t="s">
        <v>694</v>
      </c>
      <c r="E44" s="225"/>
      <c r="F44" s="225"/>
      <c r="G44" s="225"/>
      <c r="H44" s="225"/>
      <c r="I44" s="225"/>
      <c r="J44" s="225"/>
      <c r="L44" s="226"/>
      <c r="M44" s="364"/>
      <c r="T44" s="287"/>
      <c r="U44" s="262"/>
      <c r="V44" s="262" t="s">
        <v>605</v>
      </c>
      <c r="W44" s="262"/>
      <c r="X44" s="262"/>
      <c r="Y44" s="262"/>
      <c r="Z44" s="262"/>
      <c r="AA44" s="262"/>
      <c r="AB44" s="262"/>
      <c r="AC44" s="262"/>
      <c r="AD44" s="262"/>
      <c r="AE44" s="288"/>
      <c r="AF44" s="269"/>
      <c r="AJ44" s="231"/>
      <c r="AK44" s="231"/>
    </row>
    <row r="45" spans="4:36" s="231" customFormat="1" ht="12">
      <c r="D45" s="232" t="s">
        <v>661</v>
      </c>
      <c r="J45" s="313">
        <v>-83.13</v>
      </c>
      <c r="K45" s="231" t="s">
        <v>1</v>
      </c>
      <c r="L45" s="233">
        <f>J45*$H$12</f>
        <v>-1380872.43</v>
      </c>
      <c r="M45" s="347"/>
      <c r="T45" s="289"/>
      <c r="U45" s="290"/>
      <c r="V45" s="290"/>
      <c r="W45" s="291" t="s">
        <v>606</v>
      </c>
      <c r="X45" s="290"/>
      <c r="Y45" s="290"/>
      <c r="Z45" s="290"/>
      <c r="AA45" s="290"/>
      <c r="AB45" s="290"/>
      <c r="AC45" s="292">
        <v>-255</v>
      </c>
      <c r="AD45" s="290" t="s">
        <v>1</v>
      </c>
      <c r="AE45" s="293">
        <f>AC45*AA12</f>
        <v>-4235805</v>
      </c>
      <c r="AF45" s="294"/>
      <c r="AJ45" s="347">
        <f>'8.Opetus ja kulttuuri, muu vos'!K26</f>
        <v>-1393732.1905639991</v>
      </c>
    </row>
    <row r="46" spans="4:36" s="231" customFormat="1" ht="12">
      <c r="D46" s="232" t="s">
        <v>662</v>
      </c>
      <c r="J46" s="313">
        <v>-178.64</v>
      </c>
      <c r="K46" s="231" t="s">
        <v>1</v>
      </c>
      <c r="L46" s="233">
        <f>J46*$H$12</f>
        <v>-2967389.0399999996</v>
      </c>
      <c r="M46" s="347"/>
      <c r="T46" s="289"/>
      <c r="U46" s="290"/>
      <c r="V46" s="290"/>
      <c r="W46" s="291"/>
      <c r="X46" s="290"/>
      <c r="Y46" s="290"/>
      <c r="Z46" s="290"/>
      <c r="AA46" s="290"/>
      <c r="AB46" s="290"/>
      <c r="AC46" s="312"/>
      <c r="AD46" s="290"/>
      <c r="AE46" s="293"/>
      <c r="AF46" s="294"/>
      <c r="AJ46" s="347">
        <f>'8.Opetus ja kulttuuri, muu vos'!K27</f>
        <v>-2967332.9150366336</v>
      </c>
    </row>
    <row r="47" spans="4:36" s="231" customFormat="1" ht="12">
      <c r="D47" s="232" t="s">
        <v>649</v>
      </c>
      <c r="L47" s="233">
        <f>L43-L45-L46</f>
        <v>46397.96839936683</v>
      </c>
      <c r="M47" s="347"/>
      <c r="T47" s="289"/>
      <c r="U47" s="290"/>
      <c r="V47" s="290"/>
      <c r="W47" s="291" t="s">
        <v>607</v>
      </c>
      <c r="X47" s="290"/>
      <c r="Y47" s="290"/>
      <c r="Z47" s="290"/>
      <c r="AA47" s="290"/>
      <c r="AB47" s="290"/>
      <c r="AC47" s="290"/>
      <c r="AD47" s="290"/>
      <c r="AE47" s="293">
        <f>AE41-AE45</f>
        <v>1792027</v>
      </c>
      <c r="AF47" s="294"/>
      <c r="AJ47" s="347">
        <f>AJ42-AJ45-AJ46</f>
        <v>59201.60400000028</v>
      </c>
    </row>
    <row r="48" spans="13:36" ht="12.75">
      <c r="M48" s="64"/>
      <c r="S48" s="231"/>
      <c r="T48" s="231"/>
      <c r="U48" s="231"/>
      <c r="V48" s="231"/>
      <c r="W48" s="231"/>
      <c r="X48" s="231"/>
      <c r="Y48" s="231"/>
      <c r="Z48" s="231"/>
      <c r="AA48" s="231"/>
      <c r="AB48" s="231"/>
      <c r="AC48" s="231"/>
      <c r="AD48" s="231"/>
      <c r="AE48" s="231"/>
      <c r="AF48" s="231"/>
      <c r="AG48" s="231"/>
      <c r="AH48" s="231"/>
      <c r="AJ48" s="231" t="s">
        <v>629</v>
      </c>
    </row>
    <row r="49" spans="1:37" ht="12.75">
      <c r="A49" s="82" t="s">
        <v>1129</v>
      </c>
      <c r="B49" s="83"/>
      <c r="C49" s="101"/>
      <c r="D49" s="101"/>
      <c r="E49" s="101"/>
      <c r="F49" s="83"/>
      <c r="G49" s="83"/>
      <c r="H49" s="83"/>
      <c r="I49" s="83"/>
      <c r="J49" s="83"/>
      <c r="K49" s="83"/>
      <c r="L49" s="157">
        <f>L39+L42</f>
        <v>24667709.643756494</v>
      </c>
      <c r="M49" s="365">
        <f>L49/$H$12</f>
        <v>1485.0225539556013</v>
      </c>
      <c r="O49" s="248">
        <f>L49/$L$49</f>
        <v>1</v>
      </c>
      <c r="S49" s="231"/>
      <c r="T49" s="231"/>
      <c r="U49" s="231"/>
      <c r="V49" s="231"/>
      <c r="W49" s="231"/>
      <c r="X49" s="231"/>
      <c r="Y49" s="231"/>
      <c r="Z49" s="231"/>
      <c r="AA49" s="231"/>
      <c r="AB49" s="231"/>
      <c r="AC49" s="231"/>
      <c r="AD49" s="231"/>
      <c r="AE49" s="231"/>
      <c r="AF49" s="231"/>
      <c r="AG49" s="231"/>
      <c r="AH49" s="231"/>
      <c r="AJ49" s="349">
        <f>L39+AJ42</f>
        <v>22809624.142155863</v>
      </c>
      <c r="AK49" s="369">
        <f>AJ49/H12</f>
        <v>1373.163815673702</v>
      </c>
    </row>
    <row r="50" spans="13:37" ht="12.75">
      <c r="M50" s="360"/>
      <c r="T50" s="253"/>
      <c r="U50" s="255"/>
      <c r="V50" s="255"/>
      <c r="W50" s="255"/>
      <c r="X50" s="255"/>
      <c r="Y50" s="255"/>
      <c r="Z50" s="255"/>
      <c r="AA50" s="255"/>
      <c r="AB50" s="255"/>
      <c r="AC50" s="255"/>
      <c r="AD50" s="255"/>
      <c r="AE50" s="255"/>
      <c r="AF50" s="269"/>
      <c r="AK50" s="64"/>
    </row>
    <row r="51" spans="4:32" ht="12.75">
      <c r="D51" s="5" t="s">
        <v>1174</v>
      </c>
      <c r="E51" s="240"/>
      <c r="L51" s="64"/>
      <c r="M51" s="360"/>
      <c r="O51" s="248"/>
      <c r="T51" s="253"/>
      <c r="U51" s="255"/>
      <c r="V51" s="255"/>
      <c r="W51" s="255"/>
      <c r="X51" s="255"/>
      <c r="Y51" s="255"/>
      <c r="Z51" s="255"/>
      <c r="AA51" s="255"/>
      <c r="AB51" s="255"/>
      <c r="AC51" s="255"/>
      <c r="AD51" s="255"/>
      <c r="AE51" s="311"/>
      <c r="AF51" s="269"/>
    </row>
    <row r="52" spans="5:32" ht="12.75">
      <c r="E52" s="240" t="s">
        <v>1176</v>
      </c>
      <c r="L52" s="64">
        <f>'6.Vähennykset ja lisäykset'!I89</f>
        <v>7323814.469585577</v>
      </c>
      <c r="M52" s="360">
        <f>L52/$H$12</f>
        <v>440.90147911537997</v>
      </c>
      <c r="O52" s="248">
        <f>L52/$L$49</f>
        <v>0.2968988436848764</v>
      </c>
      <c r="T52" s="253"/>
      <c r="U52" s="255"/>
      <c r="V52" s="255"/>
      <c r="W52" s="255"/>
      <c r="X52" s="255"/>
      <c r="Y52" s="255"/>
      <c r="Z52" s="255"/>
      <c r="AA52" s="255"/>
      <c r="AB52" s="255"/>
      <c r="AC52" s="255"/>
      <c r="AD52" s="255"/>
      <c r="AE52" s="311"/>
      <c r="AF52" s="269"/>
    </row>
    <row r="53" spans="5:32" ht="12.75">
      <c r="E53" s="240"/>
      <c r="L53" s="64"/>
      <c r="M53" s="360"/>
      <c r="O53" s="248"/>
      <c r="T53" s="253"/>
      <c r="U53" s="255"/>
      <c r="V53" s="255"/>
      <c r="W53" s="255"/>
      <c r="X53" s="255"/>
      <c r="Y53" s="255"/>
      <c r="Z53" s="255"/>
      <c r="AA53" s="255"/>
      <c r="AB53" s="255"/>
      <c r="AC53" s="255"/>
      <c r="AD53" s="255"/>
      <c r="AE53" s="311"/>
      <c r="AF53" s="269"/>
    </row>
    <row r="54" spans="1:37" ht="12.75">
      <c r="A54" s="82" t="s">
        <v>1175</v>
      </c>
      <c r="B54" s="83"/>
      <c r="C54" s="101"/>
      <c r="D54" s="101"/>
      <c r="E54" s="101"/>
      <c r="F54" s="83"/>
      <c r="G54" s="83"/>
      <c r="H54" s="83"/>
      <c r="I54" s="83"/>
      <c r="J54" s="83"/>
      <c r="K54" s="83"/>
      <c r="L54" s="157">
        <f>L49+L52</f>
        <v>31991524.11334207</v>
      </c>
      <c r="M54" s="365">
        <f>L54/$H$12</f>
        <v>1925.9240330709813</v>
      </c>
      <c r="O54" s="248">
        <f>L54/$L$49</f>
        <v>1.2968988436848763</v>
      </c>
      <c r="S54" s="231"/>
      <c r="T54" s="231"/>
      <c r="U54" s="231"/>
      <c r="V54" s="231"/>
      <c r="W54" s="231"/>
      <c r="X54" s="231"/>
      <c r="Y54" s="231"/>
      <c r="Z54" s="231"/>
      <c r="AA54" s="231"/>
      <c r="AB54" s="231"/>
      <c r="AC54" s="231"/>
      <c r="AD54" s="231"/>
      <c r="AE54" s="231"/>
      <c r="AF54" s="231"/>
      <c r="AG54" s="231"/>
      <c r="AH54" s="231"/>
      <c r="AJ54" s="349" t="e">
        <f>L45+AJ48</f>
        <v>#VALUE!</v>
      </c>
      <c r="AK54" s="369" t="e">
        <f>AJ54/H17</f>
        <v>#VALUE!</v>
      </c>
    </row>
    <row r="55" spans="5:32" ht="12.75">
      <c r="E55" s="240"/>
      <c r="L55" s="64"/>
      <c r="M55" s="360"/>
      <c r="O55" s="248"/>
      <c r="T55" s="253"/>
      <c r="U55" s="255"/>
      <c r="V55" s="255"/>
      <c r="W55" s="255"/>
      <c r="X55" s="255"/>
      <c r="Y55" s="255"/>
      <c r="Z55" s="255"/>
      <c r="AA55" s="255"/>
      <c r="AB55" s="255"/>
      <c r="AC55" s="255"/>
      <c r="AD55" s="255"/>
      <c r="AE55" s="311"/>
      <c r="AF55" s="269"/>
    </row>
    <row r="56" spans="2:37" ht="12.75">
      <c r="B56" s="1" t="s">
        <v>650</v>
      </c>
      <c r="C56" s="1"/>
      <c r="D56" s="1"/>
      <c r="E56" s="1"/>
      <c r="M56" s="360"/>
      <c r="T56" s="253"/>
      <c r="U56" s="261" t="s">
        <v>52</v>
      </c>
      <c r="V56" s="261"/>
      <c r="W56" s="261"/>
      <c r="X56" s="261"/>
      <c r="Y56" s="255"/>
      <c r="Z56" s="255"/>
      <c r="AA56" s="255"/>
      <c r="AB56" s="255"/>
      <c r="AC56" s="255"/>
      <c r="AD56" s="255"/>
      <c r="AE56" s="255"/>
      <c r="AF56" s="269"/>
      <c r="AJ56" s="359" t="s">
        <v>695</v>
      </c>
      <c r="AK56" s="64"/>
    </row>
    <row r="57" spans="6:37" ht="12.75">
      <c r="F57" t="s">
        <v>359</v>
      </c>
      <c r="L57" s="79">
        <f>-'8.Kotikuntakorvaukset'!I40</f>
        <v>-1153377.87614</v>
      </c>
      <c r="M57" s="360"/>
      <c r="T57" s="253"/>
      <c r="U57" s="255"/>
      <c r="V57" s="255"/>
      <c r="W57" s="255"/>
      <c r="X57" s="255"/>
      <c r="Y57" s="255" t="s">
        <v>359</v>
      </c>
      <c r="Z57" s="255"/>
      <c r="AA57" s="255"/>
      <c r="AB57" s="255"/>
      <c r="AC57" s="255"/>
      <c r="AD57" s="255"/>
      <c r="AE57" s="268">
        <f>'8.Kotikuntakorvaukset'!Z47*(-1)</f>
        <v>0</v>
      </c>
      <c r="AF57" s="269"/>
      <c r="AJ57" s="79">
        <f>'8.Kotikuntakorvaukset'!H40</f>
        <v>0</v>
      </c>
      <c r="AK57" s="64"/>
    </row>
    <row r="58" spans="6:37" ht="13.5" thickBot="1">
      <c r="F58" s="109" t="s">
        <v>358</v>
      </c>
      <c r="G58" s="109"/>
      <c r="H58" s="109"/>
      <c r="I58" s="109"/>
      <c r="J58" s="109"/>
      <c r="K58" s="109"/>
      <c r="L58" s="220">
        <f>'8.Kotikuntakorvaukset'!I47</f>
        <v>153675.87410000002</v>
      </c>
      <c r="M58" s="360"/>
      <c r="T58" s="253"/>
      <c r="U58" s="255"/>
      <c r="V58" s="255"/>
      <c r="W58" s="255"/>
      <c r="X58" s="255"/>
      <c r="Y58" s="270" t="s">
        <v>358</v>
      </c>
      <c r="Z58" s="270"/>
      <c r="AA58" s="270"/>
      <c r="AB58" s="270"/>
      <c r="AC58" s="270"/>
      <c r="AD58" s="270"/>
      <c r="AE58" s="295">
        <f>'8.Kotikuntakorvaukset'!Z40</f>
        <v>0</v>
      </c>
      <c r="AF58" s="269"/>
      <c r="AJ58" s="220">
        <f>'8.Kotikuntakorvaukset'!H47</f>
        <v>0</v>
      </c>
      <c r="AK58" s="64"/>
    </row>
    <row r="59" spans="5:37" ht="13.5" thickTop="1">
      <c r="E59" s="5" t="s">
        <v>573</v>
      </c>
      <c r="F59" s="5"/>
      <c r="L59" s="221">
        <f>'8.Kotikuntakorvaukset'!H50</f>
        <v>-999702.00204</v>
      </c>
      <c r="M59" s="360"/>
      <c r="T59" s="253"/>
      <c r="U59" s="255"/>
      <c r="V59" s="255"/>
      <c r="W59" s="255"/>
      <c r="X59" s="255" t="s">
        <v>562</v>
      </c>
      <c r="Y59" s="255"/>
      <c r="Z59" s="255"/>
      <c r="AA59" s="255"/>
      <c r="AB59" s="255"/>
      <c r="AC59" s="255"/>
      <c r="AD59" s="255"/>
      <c r="AE59" s="296">
        <f>'8.Kotikuntakorvaukset'!Z50</f>
        <v>0</v>
      </c>
      <c r="AF59" s="269"/>
      <c r="AJ59" s="221">
        <f>AJ58-AJ57</f>
        <v>0</v>
      </c>
      <c r="AK59" s="64"/>
    </row>
    <row r="60" spans="5:37" ht="12.75">
      <c r="E60" s="5"/>
      <c r="F60" s="5"/>
      <c r="L60" s="360"/>
      <c r="M60" s="360"/>
      <c r="T60" s="253"/>
      <c r="U60" s="255"/>
      <c r="V60" s="255"/>
      <c r="W60" s="255"/>
      <c r="X60" s="255"/>
      <c r="Y60" s="255"/>
      <c r="Z60" s="255"/>
      <c r="AA60" s="255"/>
      <c r="AB60" s="255"/>
      <c r="AC60" s="255"/>
      <c r="AD60" s="255"/>
      <c r="AE60" s="531"/>
      <c r="AF60" s="269"/>
      <c r="AJ60" s="530"/>
      <c r="AK60" s="64"/>
    </row>
    <row r="61" spans="1:37" ht="12.75">
      <c r="A61" s="82" t="s">
        <v>1173</v>
      </c>
      <c r="B61" s="83"/>
      <c r="C61" s="101"/>
      <c r="D61" s="101"/>
      <c r="E61" s="101"/>
      <c r="F61" s="83"/>
      <c r="G61" s="83"/>
      <c r="H61" s="83"/>
      <c r="I61" s="83"/>
      <c r="J61" s="83"/>
      <c r="K61" s="83"/>
      <c r="L61" s="157">
        <f>L54+L59</f>
        <v>30991822.11130207</v>
      </c>
      <c r="M61" s="365">
        <f>L61/$H$12</f>
        <v>1865.7409012884275</v>
      </c>
      <c r="O61" s="248">
        <f>L61/$L$49</f>
        <v>1.2563720977292367</v>
      </c>
      <c r="S61" s="231"/>
      <c r="T61" s="231"/>
      <c r="U61" s="231"/>
      <c r="V61" s="231"/>
      <c r="W61" s="231"/>
      <c r="X61" s="231"/>
      <c r="Y61" s="231"/>
      <c r="Z61" s="231"/>
      <c r="AA61" s="231"/>
      <c r="AB61" s="231"/>
      <c r="AC61" s="231"/>
      <c r="AD61" s="231"/>
      <c r="AE61" s="231"/>
      <c r="AF61" s="231"/>
      <c r="AG61" s="231"/>
      <c r="AH61" s="231"/>
      <c r="AJ61" s="349">
        <f>L52+AJ55</f>
        <v>7323814.469585577</v>
      </c>
      <c r="AK61" s="369" t="e">
        <f>AJ61/H24</f>
        <v>#DIV/0!</v>
      </c>
    </row>
    <row r="62" spans="11:37" ht="12.75">
      <c r="K62" s="66" t="s">
        <v>1178</v>
      </c>
      <c r="L62" s="360">
        <f>L61/12</f>
        <v>2582651.842608506</v>
      </c>
      <c r="M62" s="360" t="s">
        <v>1177</v>
      </c>
      <c r="T62" s="253"/>
      <c r="U62" s="255"/>
      <c r="V62" s="255"/>
      <c r="W62" s="255"/>
      <c r="X62" s="255"/>
      <c r="Y62" s="255"/>
      <c r="Z62" s="255"/>
      <c r="AA62" s="255"/>
      <c r="AB62" s="255"/>
      <c r="AC62" s="255"/>
      <c r="AD62" s="255"/>
      <c r="AE62" s="255"/>
      <c r="AF62" s="256"/>
      <c r="AK62" s="64"/>
    </row>
    <row r="63" spans="5:32" ht="12.75" hidden="1">
      <c r="E63" s="240"/>
      <c r="L63" s="64"/>
      <c r="M63" s="360"/>
      <c r="O63" s="248"/>
      <c r="T63" s="253"/>
      <c r="U63" s="255"/>
      <c r="V63" s="255"/>
      <c r="W63" s="255"/>
      <c r="X63" s="255"/>
      <c r="Y63" s="255"/>
      <c r="Z63" s="255"/>
      <c r="AA63" s="255"/>
      <c r="AB63" s="255"/>
      <c r="AC63" s="255"/>
      <c r="AD63" s="255"/>
      <c r="AE63" s="311"/>
      <c r="AF63" s="269"/>
    </row>
    <row r="64" spans="1:37" s="175" customFormat="1" ht="12.75" hidden="1">
      <c r="A64" s="331" t="s">
        <v>651</v>
      </c>
      <c r="B64" s="332"/>
      <c r="C64" s="333"/>
      <c r="D64" s="333"/>
      <c r="E64" s="333"/>
      <c r="F64" s="332"/>
      <c r="G64" s="332"/>
      <c r="H64" s="332"/>
      <c r="I64" s="332"/>
      <c r="J64" s="332"/>
      <c r="K64" s="332"/>
      <c r="L64" s="334" t="s">
        <v>361</v>
      </c>
      <c r="M64" s="366" t="s">
        <v>399</v>
      </c>
      <c r="T64" s="317" t="s">
        <v>666</v>
      </c>
      <c r="U64" s="318"/>
      <c r="V64" s="319"/>
      <c r="W64" s="319"/>
      <c r="X64" s="319"/>
      <c r="Y64" s="318"/>
      <c r="Z64" s="318"/>
      <c r="AA64" s="318"/>
      <c r="AB64" s="318"/>
      <c r="AC64" s="318"/>
      <c r="AD64" s="318"/>
      <c r="AE64" s="320" t="s">
        <v>361</v>
      </c>
      <c r="AF64" s="321" t="s">
        <v>399</v>
      </c>
      <c r="AJ64" s="231" t="s">
        <v>679</v>
      </c>
      <c r="AK64" s="64"/>
    </row>
    <row r="65" spans="1:37" s="175" customFormat="1" ht="12" hidden="1">
      <c r="A65" s="335"/>
      <c r="B65" s="336" t="s">
        <v>653</v>
      </c>
      <c r="C65" s="337"/>
      <c r="D65" s="337"/>
      <c r="E65" s="337"/>
      <c r="F65" s="336"/>
      <c r="G65" s="336"/>
      <c r="H65" s="336"/>
      <c r="I65" s="336"/>
      <c r="J65" s="336"/>
      <c r="K65" s="336"/>
      <c r="L65" s="338">
        <f>INDEX(vos_maksatus,MATCH($G$11,kunta,0),1,1)</f>
        <v>29770421.12556754</v>
      </c>
      <c r="M65" s="367">
        <f>L65/H12</f>
        <v>1792.2112531194714</v>
      </c>
      <c r="T65" s="322"/>
      <c r="U65" s="323" t="s">
        <v>494</v>
      </c>
      <c r="V65" s="324"/>
      <c r="W65" s="324"/>
      <c r="X65" s="324"/>
      <c r="Y65" s="323"/>
      <c r="Z65" s="323"/>
      <c r="AA65" s="323"/>
      <c r="AB65" s="323"/>
      <c r="AC65" s="323"/>
      <c r="AD65" s="323"/>
      <c r="AE65" s="325">
        <f>INDEX(vos_maks,MATCH($G$11,kunta,0),1,1)</f>
        <v>24667709.643756494</v>
      </c>
      <c r="AF65" s="326">
        <f>AE65/AA12</f>
        <v>1485.0225539556013</v>
      </c>
      <c r="AJ65" s="350">
        <f>AJ49+AJ59</f>
        <v>22809624.142155863</v>
      </c>
      <c r="AK65" s="370">
        <f>AJ65/H12</f>
        <v>1373.163815673702</v>
      </c>
    </row>
    <row r="66" spans="1:37" s="175" customFormat="1" ht="12" hidden="1">
      <c r="A66" s="339"/>
      <c r="B66" s="340" t="s">
        <v>652</v>
      </c>
      <c r="C66" s="340"/>
      <c r="D66" s="340"/>
      <c r="E66" s="340"/>
      <c r="F66" s="340"/>
      <c r="G66" s="340"/>
      <c r="H66" s="340"/>
      <c r="I66" s="340"/>
      <c r="J66" s="340"/>
      <c r="K66" s="340"/>
      <c r="L66" s="341">
        <f>L65/12</f>
        <v>2480868.4271306284</v>
      </c>
      <c r="M66" s="368">
        <f>L66/H12</f>
        <v>149.35093775995597</v>
      </c>
      <c r="T66" s="327"/>
      <c r="U66" s="328" t="s">
        <v>400</v>
      </c>
      <c r="V66" s="328"/>
      <c r="W66" s="328"/>
      <c r="X66" s="328"/>
      <c r="Y66" s="328"/>
      <c r="Z66" s="328"/>
      <c r="AA66" s="328"/>
      <c r="AB66" s="328"/>
      <c r="AC66" s="328"/>
      <c r="AD66" s="328"/>
      <c r="AE66" s="329">
        <f>AE65/12</f>
        <v>2055642.4703130412</v>
      </c>
      <c r="AF66" s="330">
        <f>AE66/AA12</f>
        <v>123.75187949630012</v>
      </c>
      <c r="AJ66"/>
      <c r="AK66" s="64"/>
    </row>
    <row r="67" s="175" customFormat="1" ht="9.75" hidden="1"/>
    <row r="68" ht="12" hidden="1">
      <c r="L68" s="64"/>
    </row>
    <row r="69" ht="12">
      <c r="R69" s="64"/>
    </row>
    <row r="77" ht="12">
      <c r="BN77" s="170"/>
    </row>
    <row r="78" ht="12">
      <c r="BN78" s="170"/>
    </row>
    <row r="79" ht="12">
      <c r="BN79" s="170"/>
    </row>
    <row r="80" ht="12">
      <c r="BN80" s="170"/>
    </row>
    <row r="81" ht="12">
      <c r="BN81" s="170"/>
    </row>
    <row r="82" ht="12">
      <c r="BN82" s="170"/>
    </row>
    <row r="83" ht="12">
      <c r="BN83" s="170"/>
    </row>
    <row r="84" ht="12">
      <c r="BN84" s="170"/>
    </row>
    <row r="85" ht="12">
      <c r="BN85" s="170"/>
    </row>
    <row r="86" ht="12">
      <c r="BN86" s="170"/>
    </row>
    <row r="87" ht="12">
      <c r="BN87" s="170"/>
    </row>
    <row r="88" ht="12">
      <c r="BN88" s="170"/>
    </row>
    <row r="89" ht="12">
      <c r="BN89" s="170"/>
    </row>
    <row r="90" ht="12">
      <c r="BN90" s="170"/>
    </row>
    <row r="91" ht="12">
      <c r="BN91" s="170"/>
    </row>
    <row r="92" ht="12">
      <c r="BN92" s="170"/>
    </row>
    <row r="93" ht="12">
      <c r="BN93" s="170"/>
    </row>
    <row r="94" ht="12">
      <c r="BN94" s="170"/>
    </row>
    <row r="95" ht="12">
      <c r="BN95" s="170"/>
    </row>
    <row r="96" ht="12">
      <c r="BN96" s="170"/>
    </row>
    <row r="97" ht="12">
      <c r="BN97" s="170"/>
    </row>
    <row r="98" ht="12">
      <c r="BN98" s="170"/>
    </row>
    <row r="99" ht="12">
      <c r="BN99" s="170"/>
    </row>
    <row r="100" ht="12">
      <c r="BN100" s="170"/>
    </row>
    <row r="101" ht="12">
      <c r="BN101" s="170"/>
    </row>
    <row r="102" ht="12">
      <c r="BN102" s="170"/>
    </row>
    <row r="103" ht="12">
      <c r="BN103" s="170"/>
    </row>
    <row r="104" ht="12">
      <c r="BN104" s="170"/>
    </row>
    <row r="105" ht="12">
      <c r="BN105" s="170"/>
    </row>
    <row r="106" ht="12">
      <c r="BN106" s="170"/>
    </row>
    <row r="107" ht="12">
      <c r="BN107" s="170"/>
    </row>
    <row r="108" ht="12">
      <c r="BN108" s="170"/>
    </row>
  </sheetData>
  <sheetProtection/>
  <protectedRanges>
    <protectedRange sqref="G11:H11" name="Alue1"/>
    <protectedRange sqref="J25 AC25 AC45:AC46 J45:J46"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H25"/>
  <sheetViews>
    <sheetView zoomScalePageLayoutView="0" workbookViewId="0" topLeftCell="A1">
      <selection activeCell="G1" sqref="G1"/>
    </sheetView>
  </sheetViews>
  <sheetFormatPr defaultColWidth="9.140625" defaultRowHeight="12.75"/>
  <cols>
    <col min="1" max="4" width="2.140625" style="5" customWidth="1"/>
    <col min="5" max="5" width="18.140625" style="5" customWidth="1"/>
    <col min="6" max="7" width="17.00390625" style="5" customWidth="1"/>
    <col min="8" max="8" width="18.57421875" style="5" customWidth="1"/>
    <col min="9" max="12" width="9.140625" style="5" customWidth="1"/>
    <col min="13" max="13" width="15.57421875" style="5" bestFit="1" customWidth="1"/>
    <col min="14" max="16384" width="9.140625" style="5" customWidth="1"/>
  </cols>
  <sheetData>
    <row r="1" spans="1:8" ht="12.75">
      <c r="A1" s="80" t="str">
        <f>'2.Yhteenveto'!A1</f>
        <v>2.1.2020, Kuntaliitto / Sanna Lehtonen</v>
      </c>
      <c r="E1" s="94"/>
      <c r="F1" s="28"/>
      <c r="G1" s="28"/>
      <c r="H1" s="28"/>
    </row>
    <row r="2" spans="5:8" ht="12.75">
      <c r="E2" s="94"/>
      <c r="F2" s="28"/>
      <c r="G2" s="28"/>
      <c r="H2" s="59"/>
    </row>
    <row r="3" spans="1:8" ht="18">
      <c r="A3" s="509" t="s">
        <v>1128</v>
      </c>
      <c r="B3" s="510"/>
      <c r="C3" s="510"/>
      <c r="D3" s="510"/>
      <c r="E3" s="510"/>
      <c r="F3" s="510"/>
      <c r="G3" s="510"/>
      <c r="H3" s="511"/>
    </row>
    <row r="4" spans="1:8" ht="12.75">
      <c r="A4" s="28"/>
      <c r="B4" s="28"/>
      <c r="C4" s="28"/>
      <c r="D4" s="28"/>
      <c r="E4" s="28"/>
      <c r="F4" s="27"/>
      <c r="G4" s="28"/>
      <c r="H4" s="28"/>
    </row>
    <row r="5" spans="1:8" ht="12.75">
      <c r="A5" s="28"/>
      <c r="B5" s="55" t="s">
        <v>40</v>
      </c>
      <c r="C5" s="28"/>
      <c r="D5" s="28"/>
      <c r="E5" s="40"/>
      <c r="F5" s="56" t="s">
        <v>404</v>
      </c>
      <c r="H5" s="65"/>
    </row>
    <row r="6" spans="1:8" ht="12.75">
      <c r="A6" s="28"/>
      <c r="B6" s="28"/>
      <c r="C6" s="28"/>
      <c r="D6" s="28"/>
      <c r="E6" s="102"/>
      <c r="F6" s="56" t="s">
        <v>403</v>
      </c>
      <c r="H6" s="65"/>
    </row>
    <row r="7" spans="1:8" ht="12.75">
      <c r="A7" s="28"/>
      <c r="B7" s="28"/>
      <c r="C7" s="28"/>
      <c r="D7" s="28"/>
      <c r="E7" s="28"/>
      <c r="F7" s="27"/>
      <c r="G7" s="28"/>
      <c r="H7" s="28"/>
    </row>
    <row r="8" spans="2:8" ht="12.75">
      <c r="B8" s="85" t="s">
        <v>0</v>
      </c>
      <c r="F8" s="11" t="str">
        <f>'2.Yhteenveto'!G11</f>
        <v>Akaa</v>
      </c>
      <c r="G8" s="88"/>
      <c r="H8" s="28"/>
    </row>
    <row r="9" spans="2:8" ht="12.75">
      <c r="B9" s="85" t="str">
        <f>'2.Yhteenveto'!B12</f>
        <v>Asukasluku 31.12.2018:</v>
      </c>
      <c r="F9" s="150">
        <f>'2.Yhteenveto'!$H$12</f>
        <v>16611</v>
      </c>
      <c r="G9" s="88"/>
      <c r="H9" s="28"/>
    </row>
    <row r="10" spans="5:8" ht="12.75">
      <c r="E10" s="27"/>
      <c r="F10" s="28"/>
      <c r="G10" s="28"/>
      <c r="H10" s="149" t="s">
        <v>2</v>
      </c>
    </row>
    <row r="11" spans="2:8" ht="12.75">
      <c r="B11" s="27"/>
      <c r="F11" s="28"/>
      <c r="G11" s="28"/>
      <c r="H11" s="149" t="s">
        <v>362</v>
      </c>
    </row>
    <row r="12" spans="3:8" ht="18" customHeight="1">
      <c r="C12" s="27" t="s">
        <v>365</v>
      </c>
      <c r="D12" s="27"/>
      <c r="F12" s="104" t="s">
        <v>5</v>
      </c>
      <c r="G12" s="104" t="s">
        <v>369</v>
      </c>
      <c r="H12" s="100"/>
    </row>
    <row r="13" spans="5:8" ht="12">
      <c r="E13" s="28" t="s">
        <v>499</v>
      </c>
      <c r="F13" s="40">
        <f>INDEX(ikar_1,MATCH($F$8,kunta,0),1,1)</f>
        <v>925</v>
      </c>
      <c r="G13" s="96">
        <v>8511.95</v>
      </c>
      <c r="H13" s="87">
        <f aca="true" t="shared" si="0" ref="H13:H21">F13*G13</f>
        <v>7873553.750000001</v>
      </c>
    </row>
    <row r="14" spans="5:8" ht="12">
      <c r="E14" s="28" t="s">
        <v>34</v>
      </c>
      <c r="F14" s="40">
        <f>INDEX(ikar_2,MATCH($F$8,kunta,0),1,1)</f>
        <v>218</v>
      </c>
      <c r="G14" s="96">
        <v>9043.62</v>
      </c>
      <c r="H14" s="87">
        <f t="shared" si="0"/>
        <v>1971509.1600000001</v>
      </c>
    </row>
    <row r="15" spans="5:8" ht="12">
      <c r="E15" s="28" t="s">
        <v>33</v>
      </c>
      <c r="F15" s="40">
        <f>INDEX(ikar_3,MATCH($F$8,kunta,0),1,1)</f>
        <v>1322</v>
      </c>
      <c r="G15" s="96">
        <v>7573.36</v>
      </c>
      <c r="H15" s="87">
        <f t="shared" si="0"/>
        <v>10011981.92</v>
      </c>
    </row>
    <row r="16" spans="5:8" ht="12">
      <c r="E16" s="28" t="s">
        <v>32</v>
      </c>
      <c r="F16" s="40">
        <f>INDEX(ikar_4,MATCH($F$8,kunta,0),1,1)</f>
        <v>679</v>
      </c>
      <c r="G16" s="96">
        <v>12981.41</v>
      </c>
      <c r="H16" s="87">
        <f t="shared" si="0"/>
        <v>8814377.39</v>
      </c>
    </row>
    <row r="17" spans="5:8" ht="12">
      <c r="E17" s="28" t="s">
        <v>500</v>
      </c>
      <c r="F17" s="40">
        <f>INDEX(ikar_5,MATCH($F$8,kunta,0),1,1)</f>
        <v>568</v>
      </c>
      <c r="G17" s="96">
        <v>4139.31</v>
      </c>
      <c r="H17" s="87">
        <f t="shared" si="0"/>
        <v>2351128.08</v>
      </c>
    </row>
    <row r="18" spans="5:8" ht="12">
      <c r="E18" s="28" t="s">
        <v>501</v>
      </c>
      <c r="F18" s="40">
        <f>INDEX(ikar_6,MATCH($F$8,kunta,0),1,1)</f>
        <v>9103</v>
      </c>
      <c r="G18" s="96">
        <v>1022.15</v>
      </c>
      <c r="H18" s="87">
        <f t="shared" si="0"/>
        <v>9304631.45</v>
      </c>
    </row>
    <row r="19" spans="5:8" ht="12">
      <c r="E19" s="28" t="s">
        <v>366</v>
      </c>
      <c r="F19" s="40">
        <f>INDEX(ikar_7,MATCH($F$8,kunta,0),1,1)</f>
        <v>2238</v>
      </c>
      <c r="G19" s="96">
        <v>2017.02</v>
      </c>
      <c r="H19" s="87">
        <f t="shared" si="0"/>
        <v>4514090.76</v>
      </c>
    </row>
    <row r="20" spans="5:8" ht="12">
      <c r="E20" s="28" t="s">
        <v>367</v>
      </c>
      <c r="F20" s="40">
        <f>INDEX(ikar_8,MATCH($F$8,kunta,0),1,1)</f>
        <v>1065</v>
      </c>
      <c r="G20" s="96">
        <v>5626.27</v>
      </c>
      <c r="H20" s="87">
        <f t="shared" si="0"/>
        <v>5991977.550000001</v>
      </c>
    </row>
    <row r="21" spans="3:8" ht="12.75" thickBot="1">
      <c r="C21" s="159"/>
      <c r="D21" s="159"/>
      <c r="E21" s="106" t="s">
        <v>368</v>
      </c>
      <c r="F21" s="160">
        <f>INDEX(ikar_9,MATCH($F$8,kunta,0),1,1)</f>
        <v>493</v>
      </c>
      <c r="G21" s="161">
        <v>19451.07</v>
      </c>
      <c r="H21" s="162">
        <f t="shared" si="0"/>
        <v>9589377.51</v>
      </c>
    </row>
    <row r="22" spans="3:8" ht="13.5" thickTop="1">
      <c r="C22" s="16" t="s">
        <v>360</v>
      </c>
      <c r="D22" s="16"/>
      <c r="F22" s="14">
        <f>SUM(F13:F21)</f>
        <v>16611</v>
      </c>
      <c r="G22" s="227">
        <f>H22/F22</f>
        <v>3637.5069273373065</v>
      </c>
      <c r="H22" s="22">
        <f>SUM(H13:H21)</f>
        <v>60422627.57</v>
      </c>
    </row>
    <row r="23" spans="5:8" ht="12">
      <c r="E23" s="28"/>
      <c r="F23" s="28"/>
      <c r="G23" s="86"/>
      <c r="H23" s="28"/>
    </row>
    <row r="24" spans="1:8" ht="12.75">
      <c r="A24" s="92" t="s">
        <v>654</v>
      </c>
      <c r="B24" s="103"/>
      <c r="C24" s="103"/>
      <c r="D24" s="103"/>
      <c r="E24" s="103"/>
      <c r="F24" s="93"/>
      <c r="G24" s="95"/>
      <c r="H24" s="99">
        <f>H22</f>
        <v>60422627.57</v>
      </c>
    </row>
    <row r="25" ht="12.75">
      <c r="H25" s="135" t="s">
        <v>405</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83"/>
  <sheetViews>
    <sheetView zoomScalePageLayoutView="0" workbookViewId="0" topLeftCell="A1">
      <selection activeCell="J1" sqref="J1"/>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0" t="str">
        <f>'2.Yhteenveto'!A1</f>
        <v>2.1.2020, Kuntaliitto / Sanna Lehtonen</v>
      </c>
      <c r="F1" s="94"/>
      <c r="G1" s="6"/>
      <c r="H1" s="6"/>
      <c r="I1" s="6"/>
      <c r="J1" s="6"/>
    </row>
    <row r="2" spans="6:10" ht="12.75">
      <c r="F2" s="94"/>
      <c r="G2" s="6"/>
      <c r="H2" s="6"/>
      <c r="I2" s="6"/>
      <c r="J2" s="6"/>
    </row>
    <row r="3" spans="1:10" ht="15">
      <c r="A3" s="518" t="s">
        <v>502</v>
      </c>
      <c r="B3" s="519"/>
      <c r="C3" s="519"/>
      <c r="D3" s="519"/>
      <c r="E3" s="519"/>
      <c r="F3" s="519"/>
      <c r="G3" s="519"/>
      <c r="H3" s="519"/>
      <c r="I3" s="519"/>
      <c r="J3" s="520"/>
    </row>
    <row r="4" spans="1:10" ht="15">
      <c r="A4" s="521" t="s">
        <v>1145</v>
      </c>
      <c r="B4" s="522"/>
      <c r="C4" s="522"/>
      <c r="D4" s="522"/>
      <c r="E4" s="522"/>
      <c r="F4" s="522"/>
      <c r="G4" s="522"/>
      <c r="H4" s="522"/>
      <c r="I4" s="522"/>
      <c r="J4" s="523"/>
    </row>
    <row r="5" spans="6:10" ht="12">
      <c r="F5" s="8"/>
      <c r="G5" s="8"/>
      <c r="H5" s="6"/>
      <c r="I5" s="6"/>
      <c r="J5" s="6"/>
    </row>
    <row r="6" spans="3:10" ht="12">
      <c r="C6" s="55" t="s">
        <v>40</v>
      </c>
      <c r="D6" s="28"/>
      <c r="E6" s="40"/>
      <c r="F6" s="56" t="s">
        <v>404</v>
      </c>
      <c r="I6" s="6"/>
      <c r="J6" s="6"/>
    </row>
    <row r="7" spans="3:10" ht="12">
      <c r="C7" s="28"/>
      <c r="D7" s="28"/>
      <c r="E7" s="102"/>
      <c r="F7" s="56" t="s">
        <v>403</v>
      </c>
      <c r="I7" s="6"/>
      <c r="J7" s="6"/>
    </row>
    <row r="8" spans="6:10" ht="12">
      <c r="F8" s="8"/>
      <c r="G8" s="8"/>
      <c r="H8" s="6"/>
      <c r="I8" s="6"/>
      <c r="J8" s="6"/>
    </row>
    <row r="9" spans="2:10" ht="15.75" customHeight="1">
      <c r="B9" s="85" t="s">
        <v>0</v>
      </c>
      <c r="E9" s="9"/>
      <c r="F9" s="150" t="str">
        <f>'2.Yhteenveto'!G11</f>
        <v>Akaa</v>
      </c>
      <c r="H9" s="6"/>
      <c r="I9" s="6"/>
      <c r="J9" s="6"/>
    </row>
    <row r="10" spans="2:10" ht="15.75" customHeight="1">
      <c r="B10" s="85" t="str">
        <f>'2.Yhteenveto'!B12</f>
        <v>Asukasluku 31.12.2018:</v>
      </c>
      <c r="E10" s="8"/>
      <c r="F10" s="150">
        <f>'2.Yhteenveto'!$H$12</f>
        <v>16611</v>
      </c>
      <c r="H10" s="6"/>
      <c r="I10" s="6"/>
      <c r="J10" s="6"/>
    </row>
    <row r="11" spans="2:10" ht="15.75" customHeight="1">
      <c r="B11" s="85"/>
      <c r="E11" s="8"/>
      <c r="G11" s="8"/>
      <c r="H11" s="208"/>
      <c r="I11" s="6"/>
      <c r="J11" s="6"/>
    </row>
    <row r="12" spans="2:10" ht="15.75" customHeight="1">
      <c r="B12" s="27" t="s">
        <v>576</v>
      </c>
      <c r="E12" s="8"/>
      <c r="G12" s="8"/>
      <c r="I12" s="6"/>
      <c r="J12" s="228">
        <f>INDEX(sair_0,MATCH($F$9,kunta,0),1,1)</f>
        <v>0.9387759858958542</v>
      </c>
    </row>
    <row r="13" spans="2:10" ht="15.75" customHeight="1" thickBot="1">
      <c r="B13" s="27"/>
      <c r="C13" s="109" t="s">
        <v>600</v>
      </c>
      <c r="D13" s="109"/>
      <c r="E13" s="201"/>
      <c r="F13" s="109"/>
      <c r="G13" s="201"/>
      <c r="H13" s="109"/>
      <c r="I13" s="201"/>
      <c r="J13" s="197">
        <v>1178</v>
      </c>
    </row>
    <row r="14" spans="2:10" ht="15.75" customHeight="1" thickTop="1">
      <c r="B14" s="27"/>
      <c r="E14" s="8"/>
      <c r="G14" s="8"/>
      <c r="I14" s="6"/>
      <c r="J14" s="14">
        <f>F10*J12*J13</f>
        <v>18369741.308221485</v>
      </c>
    </row>
    <row r="15" spans="3:10" ht="15.75" customHeight="1">
      <c r="C15" s="5" t="s">
        <v>503</v>
      </c>
      <c r="E15" s="8"/>
      <c r="G15" s="6"/>
      <c r="I15" s="15"/>
      <c r="J15" s="22">
        <f>INDEX(sair_1,MATCH($F$9,kunta,0),1,1)</f>
        <v>18369741.30822149</v>
      </c>
    </row>
    <row r="16" spans="3:10" ht="15.75" customHeight="1">
      <c r="C16" s="5"/>
      <c r="E16" s="8"/>
      <c r="G16" s="15"/>
      <c r="I16" s="15"/>
      <c r="J16" s="6"/>
    </row>
    <row r="17" spans="2:10" ht="15.75" customHeight="1">
      <c r="B17" s="27" t="s">
        <v>504</v>
      </c>
      <c r="C17" s="5"/>
      <c r="E17" s="8"/>
      <c r="G17" s="15"/>
      <c r="I17" s="15"/>
      <c r="J17" s="6"/>
    </row>
    <row r="18" spans="3:9" ht="15.75" customHeight="1">
      <c r="C18" s="1"/>
      <c r="G18" s="108"/>
      <c r="H18" s="15"/>
      <c r="I18" s="15"/>
    </row>
    <row r="19" spans="3:10" ht="15.75" customHeight="1">
      <c r="C19" s="12" t="s">
        <v>505</v>
      </c>
      <c r="F19" s="122" t="str">
        <f>$F$9</f>
        <v>Akaa</v>
      </c>
      <c r="G19" s="135" t="s">
        <v>509</v>
      </c>
      <c r="H19" s="24"/>
      <c r="I19" s="24"/>
      <c r="J19" s="25"/>
    </row>
    <row r="20" spans="4:10" ht="15.75" customHeight="1">
      <c r="D20" s="5" t="s">
        <v>506</v>
      </c>
      <c r="F20" s="30">
        <f>INDEX(muutla_1,MATCH($F$9,kunta,0),1,1)</f>
        <v>651</v>
      </c>
      <c r="G20" s="64">
        <f>SUM(muutla_1)</f>
        <v>255255</v>
      </c>
      <c r="H20" s="17"/>
      <c r="I20" s="18"/>
      <c r="J20" s="19"/>
    </row>
    <row r="21" spans="4:10" ht="15.75" customHeight="1" thickBot="1">
      <c r="D21" s="159" t="s">
        <v>508</v>
      </c>
      <c r="E21" s="185"/>
      <c r="F21" s="183">
        <f>INDEX(muutla_2,MATCH($F$9,kunta,0),1,1)</f>
        <v>7793</v>
      </c>
      <c r="G21" s="172">
        <f>SUM(muutla_2)</f>
        <v>2616366</v>
      </c>
      <c r="H21" s="17"/>
      <c r="I21" s="18"/>
      <c r="J21" s="19"/>
    </row>
    <row r="22" spans="4:9" ht="15.75" customHeight="1" thickTop="1">
      <c r="D22" s="5" t="s">
        <v>507</v>
      </c>
      <c r="F22" s="180">
        <f>F20/F21</f>
        <v>0.08353650712177595</v>
      </c>
      <c r="G22" s="179">
        <f>G20/G21</f>
        <v>0.09756089171010478</v>
      </c>
      <c r="H22" s="230">
        <f>F22/G22</f>
        <v>0.8562499343486806</v>
      </c>
      <c r="I22" s="18"/>
    </row>
    <row r="23" spans="3:10" ht="15.75" customHeight="1" thickBot="1">
      <c r="C23" s="109"/>
      <c r="D23" s="159" t="s">
        <v>406</v>
      </c>
      <c r="E23" s="109"/>
      <c r="F23" s="196"/>
      <c r="G23" s="109"/>
      <c r="H23" s="197">
        <v>91.55</v>
      </c>
      <c r="I23" s="195"/>
      <c r="J23" s="198" t="s">
        <v>361</v>
      </c>
    </row>
    <row r="24" spans="3:10" ht="15.75" customHeight="1" thickTop="1">
      <c r="C24" s="66" t="s">
        <v>526</v>
      </c>
      <c r="D24" s="15"/>
      <c r="H24" s="17"/>
      <c r="I24" s="18"/>
      <c r="J24" s="16">
        <f>H23*$F$10*H22</f>
        <v>1302130.9992241063</v>
      </c>
    </row>
    <row r="25" spans="4:10" ht="15.75" customHeight="1">
      <c r="D25" s="15"/>
      <c r="H25" s="17"/>
      <c r="I25" s="18"/>
      <c r="J25" s="19"/>
    </row>
    <row r="26" spans="3:10" ht="15.75" customHeight="1">
      <c r="C26" s="12" t="s">
        <v>510</v>
      </c>
      <c r="D26" s="5"/>
      <c r="F26" s="122" t="str">
        <f>$F$9</f>
        <v>Akaa</v>
      </c>
      <c r="G26" s="135" t="s">
        <v>509</v>
      </c>
      <c r="H26" s="24"/>
      <c r="I26" s="24"/>
      <c r="J26" s="25"/>
    </row>
    <row r="27" spans="4:10" ht="15.75" customHeight="1">
      <c r="D27" s="5" t="s">
        <v>511</v>
      </c>
      <c r="F27" s="30">
        <f>INDEX(muutla_4,MATCH($F$9,kunta,0),1,1)</f>
        <v>363</v>
      </c>
      <c r="G27" s="64">
        <f>SUM(muutla_4)</f>
        <v>389208</v>
      </c>
      <c r="H27" s="17"/>
      <c r="I27" s="18"/>
      <c r="J27" s="19"/>
    </row>
    <row r="28" spans="4:10" ht="15.75" customHeight="1">
      <c r="D28" s="192" t="s">
        <v>512</v>
      </c>
      <c r="E28" s="54"/>
      <c r="F28" s="182">
        <f>F27/$F$10</f>
        <v>0.0218529889832039</v>
      </c>
      <c r="G28" s="187">
        <f>SUM(muutla_4)/SUM(vosC)</f>
        <v>0.0709181451605556</v>
      </c>
      <c r="H28" s="17"/>
      <c r="I28" s="18"/>
      <c r="J28" s="19"/>
    </row>
    <row r="29" spans="4:10" ht="15.75" customHeight="1" thickBot="1">
      <c r="D29" s="193" t="s">
        <v>513</v>
      </c>
      <c r="E29" s="189"/>
      <c r="F29" s="190"/>
      <c r="G29" s="191">
        <f>MIN(muutla_5)</f>
        <v>0.0032810791104629965</v>
      </c>
      <c r="H29" s="17"/>
      <c r="I29" s="18"/>
      <c r="J29" s="19"/>
    </row>
    <row r="30" spans="4:9" ht="15.75" customHeight="1" thickTop="1">
      <c r="D30" s="5" t="s">
        <v>514</v>
      </c>
      <c r="F30" s="180"/>
      <c r="G30" s="179"/>
      <c r="H30" s="182">
        <f>F28-G29</f>
        <v>0.018571909872740905</v>
      </c>
      <c r="I30" s="18"/>
    </row>
    <row r="31" spans="3:10" ht="15.75" customHeight="1" thickBot="1">
      <c r="C31" s="109"/>
      <c r="D31" s="159" t="s">
        <v>406</v>
      </c>
      <c r="E31" s="109"/>
      <c r="F31" s="196"/>
      <c r="G31" s="109"/>
      <c r="H31" s="199">
        <v>1982.49</v>
      </c>
      <c r="I31" s="195"/>
      <c r="J31" s="198" t="s">
        <v>361</v>
      </c>
    </row>
    <row r="32" spans="3:10" ht="15.75" customHeight="1" thickTop="1">
      <c r="C32" s="66" t="s">
        <v>527</v>
      </c>
      <c r="D32" s="15"/>
      <c r="H32" s="17"/>
      <c r="I32" s="18"/>
      <c r="J32" s="16">
        <f>H31*$F$10*H30</f>
        <v>611594.1899015676</v>
      </c>
    </row>
    <row r="33" spans="4:9" ht="15.75" customHeight="1">
      <c r="D33" s="15"/>
      <c r="H33" s="17"/>
      <c r="I33" s="18"/>
    </row>
    <row r="34" spans="3:10" ht="15.75" customHeight="1">
      <c r="C34" s="12" t="s">
        <v>393</v>
      </c>
      <c r="D34" s="5"/>
      <c r="F34" s="177"/>
      <c r="G34" s="178"/>
      <c r="H34" s="24"/>
      <c r="I34" s="24"/>
      <c r="J34" s="25"/>
    </row>
    <row r="35" spans="4:10" ht="15.75" customHeight="1">
      <c r="D35" s="5" t="s">
        <v>515</v>
      </c>
      <c r="G35" s="30">
        <f>INDEX(muutla_7,MATCH($F$9,kunta,0),1,1)</f>
        <v>0</v>
      </c>
      <c r="H35" s="17"/>
      <c r="I35" s="18"/>
      <c r="J35" s="19"/>
    </row>
    <row r="36" spans="4:10" ht="15.75" customHeight="1">
      <c r="D36" s="5"/>
      <c r="E36" s="66" t="s">
        <v>516</v>
      </c>
      <c r="G36" s="17"/>
      <c r="H36" s="17"/>
      <c r="I36" s="18"/>
      <c r="J36" s="19"/>
    </row>
    <row r="37" spans="4:10" ht="15.75" customHeight="1">
      <c r="D37" s="5"/>
      <c r="E37" s="66" t="s">
        <v>517</v>
      </c>
      <c r="G37" s="17"/>
      <c r="H37" s="17"/>
      <c r="I37" s="18"/>
      <c r="J37" s="19"/>
    </row>
    <row r="38" spans="4:10" ht="15.75" customHeight="1">
      <c r="D38" s="5"/>
      <c r="E38" s="66" t="s">
        <v>518</v>
      </c>
      <c r="G38" s="17"/>
      <c r="H38" s="17"/>
      <c r="I38" s="18"/>
      <c r="J38" s="19"/>
    </row>
    <row r="39" spans="4:10" ht="15.75" customHeight="1">
      <c r="D39" s="5"/>
      <c r="E39" s="66" t="s">
        <v>519</v>
      </c>
      <c r="G39" s="17"/>
      <c r="H39" s="17"/>
      <c r="I39" s="18"/>
      <c r="J39" s="19"/>
    </row>
    <row r="40" spans="4:10" ht="15.75" customHeight="1">
      <c r="D40" s="5"/>
      <c r="E40" s="66"/>
      <c r="F40" s="122" t="str">
        <f>$F$9</f>
        <v>Akaa</v>
      </c>
      <c r="G40" s="135" t="s">
        <v>509</v>
      </c>
      <c r="H40" s="17"/>
      <c r="I40" s="18"/>
      <c r="J40" s="19"/>
    </row>
    <row r="41" spans="4:10" ht="15.75" customHeight="1">
      <c r="D41" s="5" t="s">
        <v>522</v>
      </c>
      <c r="E41" s="66"/>
      <c r="F41" s="30">
        <f>INDEX(muutla_8,MATCH($F$9,kunta,0),1,1)</f>
        <v>29</v>
      </c>
      <c r="G41" s="64">
        <f>SUM(muutla_8)</f>
        <v>262552</v>
      </c>
      <c r="H41" s="17"/>
      <c r="I41" s="18"/>
      <c r="J41" s="19"/>
    </row>
    <row r="42" spans="4:10" ht="15.75" customHeight="1">
      <c r="D42" s="5" t="s">
        <v>406</v>
      </c>
      <c r="F42" s="180"/>
      <c r="H42" s="98">
        <v>282.24</v>
      </c>
      <c r="I42" s="18"/>
      <c r="J42" s="166" t="s">
        <v>361</v>
      </c>
    </row>
    <row r="43" spans="4:10" ht="15.75" customHeight="1">
      <c r="D43" s="5" t="s">
        <v>520</v>
      </c>
      <c r="E43" s="66"/>
      <c r="G43" s="17"/>
      <c r="H43" s="17"/>
      <c r="I43" s="18"/>
      <c r="J43" s="19">
        <f>IF(OR($G$35=1,$G$35=3),$F$10*$H$42*0.07,0)</f>
        <v>0</v>
      </c>
    </row>
    <row r="44" spans="3:10" ht="15.75" customHeight="1" thickBot="1">
      <c r="C44" s="109"/>
      <c r="D44" s="159" t="s">
        <v>521</v>
      </c>
      <c r="E44" s="184"/>
      <c r="F44" s="109"/>
      <c r="G44" s="194"/>
      <c r="H44" s="194"/>
      <c r="I44" s="195"/>
      <c r="J44" s="110">
        <f>IF(OR($G$35=1,$G$35=3),$H$42*F41*0.93,0)</f>
        <v>0</v>
      </c>
    </row>
    <row r="45" spans="3:10" ht="15.75" customHeight="1" thickTop="1">
      <c r="C45" s="66" t="s">
        <v>528</v>
      </c>
      <c r="D45" s="5"/>
      <c r="E45" s="66"/>
      <c r="G45" s="17"/>
      <c r="H45" s="17"/>
      <c r="I45" s="18"/>
      <c r="J45" s="16">
        <f>SUM(J43:J44)</f>
        <v>0</v>
      </c>
    </row>
    <row r="46" spans="4:10" ht="15.75" customHeight="1">
      <c r="D46" s="66"/>
      <c r="E46" s="66"/>
      <c r="G46" s="17"/>
      <c r="H46" s="17"/>
      <c r="I46" s="18"/>
      <c r="J46" s="19"/>
    </row>
    <row r="47" spans="3:10" ht="15.75" customHeight="1">
      <c r="C47" s="12" t="s">
        <v>523</v>
      </c>
      <c r="D47" s="5"/>
      <c r="F47" s="177"/>
      <c r="G47" s="178"/>
      <c r="H47" s="24"/>
      <c r="I47" s="24"/>
      <c r="J47" s="25"/>
    </row>
    <row r="48" spans="4:10" ht="15.75" customHeight="1">
      <c r="D48" s="5" t="s">
        <v>524</v>
      </c>
      <c r="G48" s="30">
        <f>INDEX(muutla_10,MATCH($F$9,kunta,0),1,1)</f>
        <v>0</v>
      </c>
      <c r="H48" s="17"/>
      <c r="I48" s="18"/>
      <c r="J48" s="19"/>
    </row>
    <row r="49" spans="4:10" ht="15.75" customHeight="1">
      <c r="D49" s="5"/>
      <c r="E49" s="66" t="s">
        <v>525</v>
      </c>
      <c r="G49" s="17"/>
      <c r="H49" s="17"/>
      <c r="I49" s="18"/>
      <c r="J49" s="19"/>
    </row>
    <row r="50" spans="4:10" ht="15.75" customHeight="1">
      <c r="D50" s="5"/>
      <c r="E50" s="66" t="s">
        <v>579</v>
      </c>
      <c r="G50" s="17"/>
      <c r="H50" s="17"/>
      <c r="I50" s="18"/>
      <c r="J50" s="19"/>
    </row>
    <row r="51" spans="4:10" ht="15.75" customHeight="1">
      <c r="D51" s="5"/>
      <c r="E51" s="66" t="s">
        <v>578</v>
      </c>
      <c r="G51" s="17"/>
      <c r="H51" s="17"/>
      <c r="I51" s="18"/>
      <c r="J51" s="19"/>
    </row>
    <row r="52" spans="4:10" ht="15.75" customHeight="1">
      <c r="D52" s="5"/>
      <c r="E52" s="66" t="s">
        <v>580</v>
      </c>
      <c r="G52" s="17"/>
      <c r="H52" s="17"/>
      <c r="I52" s="18"/>
      <c r="J52" s="166"/>
    </row>
    <row r="53" spans="3:10" ht="15.75" customHeight="1" thickBot="1">
      <c r="C53" s="109"/>
      <c r="D53" s="159" t="s">
        <v>406</v>
      </c>
      <c r="E53" s="109"/>
      <c r="F53" s="196"/>
      <c r="G53" s="109"/>
      <c r="H53" s="199">
        <v>388.47</v>
      </c>
      <c r="I53" s="195"/>
      <c r="J53" s="198" t="s">
        <v>361</v>
      </c>
    </row>
    <row r="54" spans="3:10" ht="15.75" customHeight="1" thickTop="1">
      <c r="C54" s="66" t="s">
        <v>529</v>
      </c>
      <c r="D54" s="15"/>
      <c r="H54" s="17"/>
      <c r="I54" s="18"/>
      <c r="J54" s="16">
        <f>IF($G$48=2,3*$H$53*$F$10,IF($G$48=1,$H$53*$F$10,0))</f>
        <v>0</v>
      </c>
    </row>
    <row r="55" spans="4:10" ht="15.75" customHeight="1">
      <c r="D55" s="66"/>
      <c r="E55" s="66"/>
      <c r="G55" s="17"/>
      <c r="H55" s="17"/>
      <c r="I55" s="18"/>
      <c r="J55" s="19"/>
    </row>
    <row r="56" spans="3:10" ht="15.75" customHeight="1">
      <c r="C56" s="12" t="s">
        <v>574</v>
      </c>
      <c r="D56" s="5"/>
      <c r="F56" s="177"/>
      <c r="G56" s="17">
        <f>G48</f>
        <v>0</v>
      </c>
      <c r="H56" s="24"/>
      <c r="I56" s="24"/>
      <c r="J56" s="25"/>
    </row>
    <row r="57" spans="4:10" ht="15.75" customHeight="1">
      <c r="D57" s="5" t="s">
        <v>581</v>
      </c>
      <c r="G57" s="30">
        <f>INDEX(muutla_18,MATCH($F$9,kunta,0),1,1)</f>
        <v>0</v>
      </c>
      <c r="H57" s="17"/>
      <c r="I57" s="18"/>
      <c r="J57" s="19"/>
    </row>
    <row r="58" spans="3:10" ht="15.75" customHeight="1" thickBot="1">
      <c r="C58" s="109"/>
      <c r="D58" s="159" t="s">
        <v>406</v>
      </c>
      <c r="E58" s="109"/>
      <c r="F58" s="196"/>
      <c r="G58" s="109"/>
      <c r="H58" s="199">
        <v>284.18</v>
      </c>
      <c r="I58" s="195"/>
      <c r="J58" s="198" t="s">
        <v>361</v>
      </c>
    </row>
    <row r="59" spans="3:10" ht="15.75" customHeight="1" thickTop="1">
      <c r="C59" s="66" t="s">
        <v>575</v>
      </c>
      <c r="D59" s="15"/>
      <c r="H59" s="17"/>
      <c r="I59" s="18"/>
      <c r="J59" s="16">
        <f>IF($G$48=3,$H$58*$G$57,0)</f>
        <v>0</v>
      </c>
    </row>
    <row r="60" spans="4:10" ht="15.75" customHeight="1">
      <c r="D60" s="66"/>
      <c r="E60" s="66"/>
      <c r="G60" s="17"/>
      <c r="H60" s="17"/>
      <c r="I60" s="18"/>
      <c r="J60" s="19"/>
    </row>
    <row r="61" spans="3:10" ht="15.75" customHeight="1">
      <c r="C61" s="12" t="s">
        <v>498</v>
      </c>
      <c r="D61" s="5"/>
      <c r="F61" s="122" t="str">
        <f>$F$9</f>
        <v>Akaa</v>
      </c>
      <c r="G61" s="135" t="s">
        <v>509</v>
      </c>
      <c r="H61" s="24"/>
      <c r="I61" s="24"/>
      <c r="J61" s="25"/>
    </row>
    <row r="62" spans="4:10" ht="15.75" customHeight="1">
      <c r="D62" s="5" t="s">
        <v>530</v>
      </c>
      <c r="F62" s="30">
        <f>INDEX(muutla_11,MATCH($F$9,kunta,0),1,1)</f>
        <v>293.26</v>
      </c>
      <c r="G62" s="64">
        <f>SUM(muutla_11)</f>
        <v>302367.61000000004</v>
      </c>
      <c r="H62" s="17"/>
      <c r="I62" s="18"/>
      <c r="J62" s="19"/>
    </row>
    <row r="63" spans="4:10" ht="15.75" customHeight="1">
      <c r="D63" s="192" t="s">
        <v>498</v>
      </c>
      <c r="E63" s="54"/>
      <c r="F63" s="52">
        <f>$F$10/F62</f>
        <v>56.64256973334243</v>
      </c>
      <c r="G63" s="200">
        <f>SUM(vosC)/G62</f>
        <v>18.15052214091317</v>
      </c>
      <c r="H63" s="17"/>
      <c r="I63" s="18"/>
      <c r="J63" s="19"/>
    </row>
    <row r="64" spans="4:9" ht="15.75" customHeight="1">
      <c r="D64" s="5" t="s">
        <v>532</v>
      </c>
      <c r="F64" s="180"/>
      <c r="G64" s="179"/>
      <c r="H64" s="52">
        <f>$G$63/$F$63</f>
        <v>0.32043959563206287</v>
      </c>
      <c r="I64" s="18"/>
    </row>
    <row r="65" spans="3:10" ht="15.75" customHeight="1" thickBot="1">
      <c r="C65" s="109"/>
      <c r="D65" s="159" t="s">
        <v>406</v>
      </c>
      <c r="E65" s="109"/>
      <c r="F65" s="196"/>
      <c r="G65" s="109"/>
      <c r="H65" s="199">
        <v>39.87</v>
      </c>
      <c r="I65" s="195"/>
      <c r="J65" s="198" t="s">
        <v>361</v>
      </c>
    </row>
    <row r="66" spans="3:10" ht="15.75" customHeight="1" thickTop="1">
      <c r="C66" s="66" t="s">
        <v>531</v>
      </c>
      <c r="D66" s="15"/>
      <c r="H66" s="17"/>
      <c r="I66" s="18"/>
      <c r="J66" s="16">
        <f>$H$65*$F$10*MIN(20,H64)</f>
        <v>212220.9180457721</v>
      </c>
    </row>
    <row r="67" spans="4:10" ht="15.75" customHeight="1">
      <c r="D67" s="66"/>
      <c r="E67" s="66"/>
      <c r="G67" s="17"/>
      <c r="H67" s="17"/>
      <c r="I67" s="18"/>
      <c r="J67" s="19"/>
    </row>
    <row r="68" spans="3:10" ht="15.75" customHeight="1">
      <c r="C68" s="12" t="s">
        <v>533</v>
      </c>
      <c r="D68" s="5"/>
      <c r="F68" s="122" t="str">
        <f>$F$9</f>
        <v>Akaa</v>
      </c>
      <c r="G68" s="135" t="s">
        <v>509</v>
      </c>
      <c r="H68" s="24"/>
      <c r="I68" s="24"/>
      <c r="J68" s="25"/>
    </row>
    <row r="69" spans="3:10" ht="15.75" customHeight="1">
      <c r="C69" s="12"/>
      <c r="D69" s="5" t="s">
        <v>534</v>
      </c>
      <c r="F69" s="122"/>
      <c r="G69" s="135"/>
      <c r="H69" s="24"/>
      <c r="I69" s="24"/>
      <c r="J69" s="25"/>
    </row>
    <row r="70" spans="6:10" ht="15.75" customHeight="1">
      <c r="F70" s="30">
        <f>INDEX(muutla_14,MATCH($F$9,kunta,0),1,1)</f>
        <v>667</v>
      </c>
      <c r="G70" s="64">
        <f>SUM(muutla_14)</f>
        <v>228597</v>
      </c>
      <c r="H70" s="17"/>
      <c r="I70" s="18"/>
      <c r="J70" s="19"/>
    </row>
    <row r="71" spans="4:10" ht="15.75" customHeight="1">
      <c r="D71" s="192" t="s">
        <v>535</v>
      </c>
      <c r="E71" s="54"/>
      <c r="F71" s="30">
        <f>INDEX(muutla_15,MATCH($F$9,kunta,0),1,1)</f>
        <v>5519</v>
      </c>
      <c r="G71" s="64">
        <f>SUM(muutla_15)</f>
        <v>1718930</v>
      </c>
      <c r="H71" s="17"/>
      <c r="I71" s="18"/>
      <c r="J71" s="19"/>
    </row>
    <row r="72" spans="4:10" ht="15.75" customHeight="1">
      <c r="D72" s="192"/>
      <c r="E72" s="53"/>
      <c r="F72" s="182">
        <f>F70/F71</f>
        <v>0.12085522739626745</v>
      </c>
      <c r="G72" s="187">
        <f>G70/G71</f>
        <v>0.13298796344237404</v>
      </c>
      <c r="H72" s="17"/>
      <c r="I72" s="18"/>
      <c r="J72" s="19"/>
    </row>
    <row r="73" spans="4:10" ht="15.75" customHeight="1" thickBot="1">
      <c r="D73" s="193" t="s">
        <v>513</v>
      </c>
      <c r="E73" s="109"/>
      <c r="F73" s="186"/>
      <c r="G73" s="186">
        <f>MIN(muutla_16)</f>
        <v>0.055461233729485006</v>
      </c>
      <c r="H73" s="17"/>
      <c r="I73" s="18"/>
      <c r="J73" s="19"/>
    </row>
    <row r="74" spans="4:9" ht="15.75" customHeight="1" thickTop="1">
      <c r="D74" s="5" t="s">
        <v>537</v>
      </c>
      <c r="F74" s="180"/>
      <c r="G74" s="179"/>
      <c r="H74" s="181">
        <f>F72-G73</f>
        <v>0.06539399366678245</v>
      </c>
      <c r="I74" s="18"/>
    </row>
    <row r="75" spans="3:10" ht="15.75" customHeight="1" thickBot="1">
      <c r="C75" s="109"/>
      <c r="D75" s="159" t="s">
        <v>406</v>
      </c>
      <c r="E75" s="109"/>
      <c r="F75" s="196"/>
      <c r="G75" s="109"/>
      <c r="H75" s="199">
        <v>405.26</v>
      </c>
      <c r="I75" s="195"/>
      <c r="J75" s="198" t="s">
        <v>361</v>
      </c>
    </row>
    <row r="76" spans="3:10" ht="15.75" customHeight="1" thickTop="1">
      <c r="C76" s="66" t="s">
        <v>531</v>
      </c>
      <c r="D76" s="15"/>
      <c r="H76" s="17"/>
      <c r="I76" s="18"/>
      <c r="J76" s="16">
        <f>$H$75*$F$10*H74</f>
        <v>440217.5771670516</v>
      </c>
    </row>
    <row r="77" spans="4:10" ht="15.75" customHeight="1">
      <c r="D77" s="66"/>
      <c r="E77" s="66"/>
      <c r="G77" s="17"/>
      <c r="H77" s="17"/>
      <c r="I77" s="18"/>
      <c r="J77" s="19"/>
    </row>
    <row r="78" spans="3:10" ht="12.75" customHeight="1">
      <c r="C78" s="12"/>
      <c r="G78" s="9"/>
      <c r="H78" s="20"/>
      <c r="I78" s="20"/>
      <c r="J78" s="22"/>
    </row>
    <row r="79" spans="2:10" ht="15.75" customHeight="1">
      <c r="B79" s="82" t="s">
        <v>538</v>
      </c>
      <c r="C79" s="83"/>
      <c r="D79" s="83"/>
      <c r="E79" s="93"/>
      <c r="F79" s="83"/>
      <c r="G79" s="130"/>
      <c r="H79" s="165"/>
      <c r="I79" s="165"/>
      <c r="J79" s="99">
        <f>J24+J32+J45+J54+J59+J66+J76</f>
        <v>2566163.684338498</v>
      </c>
    </row>
    <row r="80" spans="5:10" ht="12" customHeight="1">
      <c r="E80" s="13"/>
      <c r="G80" s="23"/>
      <c r="H80" s="8"/>
      <c r="I80" s="8"/>
      <c r="J80" s="8"/>
    </row>
    <row r="81" spans="7:10" ht="12" customHeight="1">
      <c r="G81" s="27"/>
      <c r="H81" s="27"/>
      <c r="I81" s="27"/>
      <c r="J81" s="27"/>
    </row>
    <row r="82" spans="1:10" ht="15.75" customHeight="1">
      <c r="A82" s="92" t="s">
        <v>539</v>
      </c>
      <c r="B82" s="83"/>
      <c r="C82" s="83"/>
      <c r="D82" s="83"/>
      <c r="E82" s="83"/>
      <c r="F82" s="83"/>
      <c r="G82" s="93"/>
      <c r="H82" s="93"/>
      <c r="I82" s="93"/>
      <c r="J82" s="99">
        <f>J15+J79</f>
        <v>20935904.992559988</v>
      </c>
    </row>
    <row r="83" spans="6:10" ht="15.75" customHeight="1">
      <c r="F83" s="12"/>
      <c r="G83" s="27"/>
      <c r="H83" s="27"/>
      <c r="I83" s="27"/>
      <c r="J83" s="135" t="s">
        <v>405</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H1" sqref="H1"/>
    </sheetView>
  </sheetViews>
  <sheetFormatPr defaultColWidth="9.140625" defaultRowHeight="12.75"/>
  <cols>
    <col min="1" max="2" width="2.28125" style="8" customWidth="1"/>
    <col min="3" max="4" width="3.8515625" style="8" customWidth="1"/>
    <col min="5" max="5" width="23.7109375" style="8" customWidth="1"/>
    <col min="6" max="6" width="13.57421875" style="8" customWidth="1"/>
    <col min="7" max="7" width="10.8515625" style="8" bestFit="1" customWidth="1"/>
    <col min="8" max="8" width="10.421875" style="8" customWidth="1"/>
    <col min="9" max="9" width="7.00390625" style="26" customWidth="1"/>
    <col min="10" max="10" width="12.140625" style="19" customWidth="1"/>
    <col min="11" max="16384" width="9.140625" style="8" customWidth="1"/>
  </cols>
  <sheetData>
    <row r="1" spans="1:6" ht="15">
      <c r="A1" s="80" t="str">
        <f>'2.Yhteenveto'!A1</f>
        <v>2.1.2020, Kuntaliitto / Sanna Lehtonen</v>
      </c>
      <c r="E1" s="48"/>
      <c r="F1" s="48"/>
    </row>
    <row r="2" spans="5:6" ht="15">
      <c r="E2" s="48"/>
      <c r="F2" s="48"/>
    </row>
    <row r="3" spans="1:10" ht="18">
      <c r="A3" s="509" t="s">
        <v>1146</v>
      </c>
      <c r="B3" s="510"/>
      <c r="C3" s="510"/>
      <c r="D3" s="510"/>
      <c r="E3" s="510"/>
      <c r="F3" s="510"/>
      <c r="G3" s="510"/>
      <c r="H3" s="510"/>
      <c r="I3" s="510"/>
      <c r="J3" s="511"/>
    </row>
    <row r="4" spans="5:6" ht="12.75">
      <c r="E4" s="7"/>
      <c r="F4" s="7"/>
    </row>
    <row r="5" spans="3:6" ht="12">
      <c r="C5" s="55" t="s">
        <v>40</v>
      </c>
      <c r="D5" s="28"/>
      <c r="E5" s="40"/>
      <c r="F5" s="56" t="s">
        <v>404</v>
      </c>
    </row>
    <row r="6" spans="3:6" ht="12">
      <c r="C6" s="28"/>
      <c r="D6" s="28"/>
      <c r="E6" s="102"/>
      <c r="F6" s="56" t="s">
        <v>407</v>
      </c>
    </row>
    <row r="7" spans="5:6" ht="12.75">
      <c r="E7" s="7"/>
      <c r="F7" s="7"/>
    </row>
    <row r="8" spans="2:6" ht="12.75">
      <c r="B8" s="85" t="s">
        <v>0</v>
      </c>
      <c r="E8" s="12"/>
      <c r="F8" s="167" t="str">
        <f>'2.Yhteenveto'!G11</f>
        <v>Akaa</v>
      </c>
    </row>
    <row r="9" spans="2:6" ht="12.75">
      <c r="B9" s="85" t="str">
        <f>'2.Yhteenveto'!B12</f>
        <v>Asukasluku 31.12.2018:</v>
      </c>
      <c r="E9" s="7"/>
      <c r="F9" s="150">
        <f>'2.Yhteenveto'!$H$12</f>
        <v>16611</v>
      </c>
    </row>
    <row r="10" ht="12">
      <c r="H10" s="50"/>
    </row>
    <row r="11" spans="3:10" ht="12.75">
      <c r="C11" s="27" t="s">
        <v>395</v>
      </c>
      <c r="G11" s="10"/>
      <c r="H11" s="11"/>
      <c r="I11" s="69"/>
      <c r="J11" s="68"/>
    </row>
    <row r="12" spans="3:10" ht="12.75">
      <c r="C12" s="28"/>
      <c r="D12" s="5" t="s">
        <v>406</v>
      </c>
      <c r="E12"/>
      <c r="F12" s="180"/>
      <c r="G12"/>
      <c r="H12" s="98">
        <v>215.7</v>
      </c>
      <c r="I12" s="69"/>
      <c r="J12" s="68"/>
    </row>
    <row r="13" spans="3:10" ht="12.75">
      <c r="C13" s="28"/>
      <c r="D13" s="28" t="s">
        <v>540</v>
      </c>
      <c r="G13" s="181">
        <f>INDEX(lo_1,MATCH($F$8,kunta,0),1,1)</f>
        <v>0</v>
      </c>
      <c r="H13" s="11"/>
      <c r="I13" s="69"/>
      <c r="J13" s="68"/>
    </row>
    <row r="14" spans="4:9" ht="12.75">
      <c r="D14" s="28" t="s">
        <v>543</v>
      </c>
      <c r="G14" s="31"/>
      <c r="H14" s="115" t="s">
        <v>408</v>
      </c>
      <c r="I14" s="164">
        <v>1</v>
      </c>
    </row>
    <row r="15" spans="4:9" ht="12.75">
      <c r="D15" s="28" t="s">
        <v>542</v>
      </c>
      <c r="G15" s="31"/>
      <c r="H15" s="115" t="s">
        <v>408</v>
      </c>
      <c r="I15" s="163">
        <v>1.5</v>
      </c>
    </row>
    <row r="16" spans="3:10" ht="13.5" thickBot="1">
      <c r="C16" s="201"/>
      <c r="D16" s="202" t="s">
        <v>541</v>
      </c>
      <c r="E16" s="201"/>
      <c r="F16" s="201"/>
      <c r="G16" s="107"/>
      <c r="H16" s="203" t="s">
        <v>408</v>
      </c>
      <c r="I16" s="204">
        <v>3</v>
      </c>
      <c r="J16" s="198" t="s">
        <v>361</v>
      </c>
    </row>
    <row r="17" spans="3:10" ht="13.5" thickTop="1">
      <c r="C17" s="116" t="s">
        <v>544</v>
      </c>
      <c r="D17" s="36"/>
      <c r="H17" s="115"/>
      <c r="I17" s="164"/>
      <c r="J17" s="16">
        <f>IF(G13&gt;=1.5,3*($H$12*$F$9*G13),IF(G13&gt;=1,1.5*($H$12*$F$9*G13),($H$12*$F$9*G13)))</f>
        <v>0</v>
      </c>
    </row>
    <row r="18" spans="4:9" ht="12.75">
      <c r="D18" s="36"/>
      <c r="H18" s="115"/>
      <c r="I18" s="164"/>
    </row>
    <row r="19" spans="3:9" ht="12.75">
      <c r="C19" s="27" t="s">
        <v>545</v>
      </c>
      <c r="F19" s="122" t="str">
        <f>$F$8</f>
        <v>Akaa</v>
      </c>
      <c r="G19" s="135" t="s">
        <v>509</v>
      </c>
      <c r="H19" s="115"/>
      <c r="I19" s="164"/>
    </row>
    <row r="20" spans="4:9" ht="15.75" customHeight="1">
      <c r="D20" s="5" t="s">
        <v>546</v>
      </c>
      <c r="F20" s="30">
        <f>INDEX(lo_2,MATCH($F$8,kunta,0),1,1)</f>
        <v>4652</v>
      </c>
      <c r="G20" s="64">
        <f>SUM(lo_2)</f>
        <v>2311814</v>
      </c>
      <c r="H20" s="17"/>
      <c r="I20" s="18"/>
    </row>
    <row r="21" spans="4:9" ht="15.75" customHeight="1">
      <c r="D21" s="192" t="s">
        <v>547</v>
      </c>
      <c r="E21" s="54"/>
      <c r="F21" s="30">
        <f>INDEX(lo_3,MATCH($F$8,kunta,0),1,1)</f>
        <v>6852</v>
      </c>
      <c r="G21" s="205">
        <f>SUM(lo_3)</f>
        <v>2312985</v>
      </c>
      <c r="H21" s="17"/>
      <c r="I21" s="18"/>
    </row>
    <row r="22" spans="4:9" ht="15.75" customHeight="1">
      <c r="D22" s="5" t="s">
        <v>536</v>
      </c>
      <c r="F22" s="180">
        <f>F20/F21</f>
        <v>0.6789258610624636</v>
      </c>
      <c r="G22" s="179">
        <f>G20/G21</f>
        <v>0.9994937278019529</v>
      </c>
      <c r="I22" s="18"/>
    </row>
    <row r="23" spans="4:9" ht="15.75" customHeight="1">
      <c r="D23" s="5" t="s">
        <v>513</v>
      </c>
      <c r="F23" s="180"/>
      <c r="G23" s="179"/>
      <c r="H23" s="182">
        <f>MIN(lo_4)</f>
        <v>0.38969484742371185</v>
      </c>
      <c r="I23" s="18"/>
    </row>
    <row r="24" spans="4:9" ht="15.75" customHeight="1">
      <c r="D24" s="5" t="s">
        <v>548</v>
      </c>
      <c r="F24" s="180"/>
      <c r="G24" s="179"/>
      <c r="H24" s="188">
        <f>F22-H23</f>
        <v>0.2892310136387517</v>
      </c>
      <c r="I24" s="18"/>
    </row>
    <row r="25" spans="3:10" ht="15.75" customHeight="1" thickBot="1">
      <c r="C25" s="109"/>
      <c r="D25" s="159" t="s">
        <v>406</v>
      </c>
      <c r="E25" s="109"/>
      <c r="F25" s="196"/>
      <c r="G25" s="109"/>
      <c r="H25" s="197">
        <v>65.46</v>
      </c>
      <c r="I25" s="195"/>
      <c r="J25" s="198" t="s">
        <v>361</v>
      </c>
    </row>
    <row r="26" spans="3:10" ht="15.75" customHeight="1" thickTop="1">
      <c r="C26" s="66" t="s">
        <v>526</v>
      </c>
      <c r="D26" s="15"/>
      <c r="H26" s="17"/>
      <c r="I26" s="18"/>
      <c r="J26" s="16">
        <f>$F$9*$H$25*H24</f>
        <v>314497.09542003926</v>
      </c>
    </row>
    <row r="27" ht="12.75">
      <c r="H27" s="115"/>
    </row>
    <row r="28" spans="3:8" ht="12.75">
      <c r="C28" s="27" t="s">
        <v>549</v>
      </c>
      <c r="H28" s="115"/>
    </row>
    <row r="29" spans="3:8" ht="12.75">
      <c r="C29" s="27"/>
      <c r="D29" s="28" t="s">
        <v>550</v>
      </c>
      <c r="G29" s="31">
        <f>INDEX(lo_6,MATCH($F$8,kunta,0),1,1)</f>
        <v>0</v>
      </c>
      <c r="H29" s="115"/>
    </row>
    <row r="30" spans="4:9" ht="15.75" customHeight="1">
      <c r="D30" s="5" t="s">
        <v>551</v>
      </c>
      <c r="F30" s="30">
        <f>INDEX(lo_7,MATCH($F$8,kunta,0),1,1)</f>
        <v>0</v>
      </c>
      <c r="G30" s="64">
        <f>SUM(lo_7)</f>
        <v>1995</v>
      </c>
      <c r="H30" s="17"/>
      <c r="I30" s="18"/>
    </row>
    <row r="31" spans="3:10" ht="15.75" customHeight="1" thickBot="1">
      <c r="C31" s="109"/>
      <c r="D31" s="159" t="s">
        <v>406</v>
      </c>
      <c r="E31" s="109"/>
      <c r="F31" s="196"/>
      <c r="G31" s="109"/>
      <c r="H31" s="199">
        <v>2739.62</v>
      </c>
      <c r="I31" s="195"/>
      <c r="J31" s="198" t="s">
        <v>361</v>
      </c>
    </row>
    <row r="32" spans="3:10" ht="13.5" thickTop="1">
      <c r="C32" s="27"/>
      <c r="D32" s="28"/>
      <c r="G32" s="26"/>
      <c r="H32" s="115"/>
      <c r="J32" s="16">
        <f>IF(G29=1,$H$31*$F$9*(F30/F9),0)</f>
        <v>0</v>
      </c>
    </row>
    <row r="33" spans="3:8" ht="12.75">
      <c r="C33" s="27"/>
      <c r="D33" s="28"/>
      <c r="G33" s="26"/>
      <c r="H33" s="115"/>
    </row>
    <row r="35" spans="2:10" ht="15.75" customHeight="1">
      <c r="B35" s="92" t="s">
        <v>552</v>
      </c>
      <c r="C35" s="130"/>
      <c r="D35" s="130"/>
      <c r="E35" s="130"/>
      <c r="F35" s="93"/>
      <c r="G35" s="130"/>
      <c r="H35" s="130"/>
      <c r="I35" s="165"/>
      <c r="J35" s="99">
        <f>SUM(J14:J33)</f>
        <v>314497.09542003926</v>
      </c>
    </row>
    <row r="36" ht="12.75">
      <c r="J36" s="135" t="s">
        <v>405</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98"/>
  <sheetViews>
    <sheetView zoomScalePageLayoutView="0" workbookViewId="0" topLeftCell="A1">
      <selection activeCell="L87" sqref="L87"/>
    </sheetView>
  </sheetViews>
  <sheetFormatPr defaultColWidth="9.140625" defaultRowHeight="13.5" customHeight="1"/>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3.5" customHeight="1">
      <c r="A1" s="80" t="str">
        <f>'2.Yhteenveto'!A1</f>
        <v>2.1.2020, Kuntaliitto / Sanna Lehtonen</v>
      </c>
      <c r="F1" s="48"/>
      <c r="G1" s="48"/>
      <c r="H1" s="70"/>
      <c r="I1" s="64"/>
    </row>
    <row r="2" spans="6:9" ht="13.5" customHeight="1">
      <c r="F2" s="61"/>
      <c r="G2" s="61"/>
      <c r="H2" s="70"/>
      <c r="I2" s="64"/>
    </row>
    <row r="3" spans="1:9" ht="17.25" customHeight="1">
      <c r="A3" s="509" t="s">
        <v>1127</v>
      </c>
      <c r="B3" s="510"/>
      <c r="C3" s="510"/>
      <c r="D3" s="510"/>
      <c r="E3" s="510"/>
      <c r="F3" s="510"/>
      <c r="G3" s="510"/>
      <c r="H3" s="510"/>
      <c r="I3" s="511"/>
    </row>
    <row r="4" spans="8:9" ht="13.5" customHeight="1">
      <c r="H4" s="70"/>
      <c r="I4" s="64"/>
    </row>
    <row r="5" spans="2:9" ht="13.5" customHeight="1">
      <c r="B5" s="55" t="s">
        <v>40</v>
      </c>
      <c r="C5" s="28"/>
      <c r="D5" s="28"/>
      <c r="E5" s="40"/>
      <c r="F5" s="56" t="s">
        <v>404</v>
      </c>
      <c r="G5" s="56"/>
      <c r="I5" s="64"/>
    </row>
    <row r="6" spans="2:9" ht="13.5" customHeight="1">
      <c r="B6" s="28"/>
      <c r="C6" s="28"/>
      <c r="D6" s="28"/>
      <c r="E6" s="102"/>
      <c r="F6" s="56" t="s">
        <v>403</v>
      </c>
      <c r="G6" s="56"/>
      <c r="I6" s="64"/>
    </row>
    <row r="7" spans="8:9" ht="13.5" customHeight="1">
      <c r="H7" s="70"/>
      <c r="I7" s="64"/>
    </row>
    <row r="8" spans="2:9" ht="13.5" customHeight="1">
      <c r="B8" s="85" t="s">
        <v>0</v>
      </c>
      <c r="F8" s="168" t="str">
        <f>'2.Yhteenveto'!G11</f>
        <v>Akaa</v>
      </c>
      <c r="I8" s="64"/>
    </row>
    <row r="9" spans="2:9" ht="13.5" customHeight="1">
      <c r="B9" s="85" t="str">
        <f>'2.Yhteenveto'!B12</f>
        <v>Asukasluku 31.12.2018:</v>
      </c>
      <c r="F9" s="169">
        <f>'2.Yhteenveto'!H12</f>
        <v>16611</v>
      </c>
      <c r="I9" s="64"/>
    </row>
    <row r="10" spans="8:9" ht="13.5" customHeight="1">
      <c r="H10" s="70"/>
      <c r="I10" s="64"/>
    </row>
    <row r="11" spans="2:9" ht="13.5" customHeight="1">
      <c r="B11" s="1" t="s">
        <v>47</v>
      </c>
      <c r="H11" s="121" t="s">
        <v>1</v>
      </c>
      <c r="I11" s="122" t="s">
        <v>361</v>
      </c>
    </row>
    <row r="12" spans="8:9" ht="13.5" customHeight="1">
      <c r="H12" s="70"/>
      <c r="I12" s="64"/>
    </row>
    <row r="13" spans="3:11" ht="13.5" customHeight="1">
      <c r="C13" s="170" t="s">
        <v>601</v>
      </c>
      <c r="D13" s="170"/>
      <c r="E13" s="170"/>
      <c r="F13" s="170"/>
      <c r="G13" s="170"/>
      <c r="H13" s="498">
        <v>-0.05</v>
      </c>
      <c r="I13" s="499">
        <f>$F$9*H13</f>
        <v>-830.5500000000001</v>
      </c>
      <c r="K13" s="66" t="s">
        <v>1147</v>
      </c>
    </row>
    <row r="14" spans="3:11" ht="13.5" customHeight="1">
      <c r="C14" s="170"/>
      <c r="D14" s="170"/>
      <c r="E14" s="170"/>
      <c r="F14" s="170"/>
      <c r="G14" s="170"/>
      <c r="H14" s="500"/>
      <c r="I14" s="499"/>
      <c r="K14" s="66" t="s">
        <v>1148</v>
      </c>
    </row>
    <row r="15" spans="3:9" ht="13.5" customHeight="1">
      <c r="C15" s="170" t="s">
        <v>417</v>
      </c>
      <c r="D15" s="170"/>
      <c r="E15" s="170"/>
      <c r="F15" s="170"/>
      <c r="G15" s="170"/>
      <c r="H15" s="498">
        <v>-0.24</v>
      </c>
      <c r="I15" s="499">
        <f>$F$9*H15</f>
        <v>-3986.64</v>
      </c>
    </row>
    <row r="16" spans="3:9" ht="13.5" customHeight="1">
      <c r="C16" s="170"/>
      <c r="D16" s="170"/>
      <c r="E16" s="170"/>
      <c r="F16" s="170"/>
      <c r="G16" s="170"/>
      <c r="H16" s="500"/>
      <c r="I16" s="499"/>
    </row>
    <row r="17" spans="3:9" ht="13.5" customHeight="1">
      <c r="C17" s="170" t="s">
        <v>418</v>
      </c>
      <c r="D17" s="170"/>
      <c r="E17" s="170"/>
      <c r="F17" s="170"/>
      <c r="G17" s="170"/>
      <c r="H17" s="498">
        <v>-0.28</v>
      </c>
      <c r="I17" s="499">
        <f>$F$9*H17</f>
        <v>-4651.080000000001</v>
      </c>
    </row>
    <row r="18" spans="3:9" ht="13.5" customHeight="1">
      <c r="C18" s="170"/>
      <c r="D18" s="170"/>
      <c r="E18" s="170"/>
      <c r="F18" s="170"/>
      <c r="G18" s="170"/>
      <c r="H18" s="501"/>
      <c r="I18" s="499"/>
    </row>
    <row r="19" spans="3:9" ht="13.5" customHeight="1">
      <c r="C19" s="5" t="s">
        <v>419</v>
      </c>
      <c r="H19" s="118">
        <v>-4.1</v>
      </c>
      <c r="I19" s="217">
        <f>$F$9*H19</f>
        <v>-68105.09999999999</v>
      </c>
    </row>
    <row r="20" spans="8:9" ht="13.5" customHeight="1">
      <c r="H20" s="70"/>
      <c r="I20" s="217"/>
    </row>
    <row r="21" spans="3:9" ht="13.5" customHeight="1">
      <c r="C21" s="5" t="s">
        <v>631</v>
      </c>
      <c r="H21" s="118">
        <v>-7.29</v>
      </c>
      <c r="I21" s="217">
        <f>$F$9*H21</f>
        <v>-121094.19</v>
      </c>
    </row>
    <row r="22" spans="8:9" ht="13.5" customHeight="1">
      <c r="H22" s="70"/>
      <c r="I22" s="217"/>
    </row>
    <row r="23" spans="3:9" ht="13.5" customHeight="1">
      <c r="C23" s="5" t="s">
        <v>632</v>
      </c>
      <c r="H23" s="118">
        <v>-1.82</v>
      </c>
      <c r="I23" s="217">
        <f>$F$9*H23</f>
        <v>-30232.02</v>
      </c>
    </row>
    <row r="24" spans="8:9" ht="13.5" customHeight="1">
      <c r="H24" s="71"/>
      <c r="I24" s="217"/>
    </row>
    <row r="25" spans="3:9" ht="13.5" customHeight="1">
      <c r="C25" s="5" t="s">
        <v>595</v>
      </c>
      <c r="H25" s="118">
        <v>-0.05</v>
      </c>
      <c r="I25" s="217">
        <f>$F$9*H25</f>
        <v>-830.5500000000001</v>
      </c>
    </row>
    <row r="26" spans="8:9" ht="13.5" customHeight="1">
      <c r="H26" s="70"/>
      <c r="I26" s="217"/>
    </row>
    <row r="27" spans="3:9" ht="13.5" customHeight="1">
      <c r="C27" s="5" t="s">
        <v>626</v>
      </c>
      <c r="H27" s="70">
        <v>-6.31</v>
      </c>
      <c r="I27" s="30">
        <f>INDEX(vl_1,MATCH($F$8,kunta,0),1,1)</f>
        <v>-105812.39</v>
      </c>
    </row>
    <row r="28" spans="8:9" ht="13.5" customHeight="1">
      <c r="H28" s="71"/>
      <c r="I28" s="64"/>
    </row>
    <row r="29" spans="3:9" ht="13.5" customHeight="1">
      <c r="C29" s="5" t="s">
        <v>633</v>
      </c>
      <c r="H29" s="55"/>
      <c r="I29" s="242" t="s">
        <v>655</v>
      </c>
    </row>
    <row r="30" spans="8:9" ht="13.5" customHeight="1">
      <c r="H30" s="71"/>
      <c r="I30" s="64"/>
    </row>
    <row r="31" spans="3:9" ht="13.5" customHeight="1">
      <c r="C31" s="5" t="s">
        <v>602</v>
      </c>
      <c r="H31" s="70">
        <v>-7.72</v>
      </c>
      <c r="I31" s="30">
        <f>INDEX(vl_2,MATCH($F$8,kunta,0),1,1)</f>
        <v>-129456.68</v>
      </c>
    </row>
    <row r="32" spans="8:9" ht="13.5" customHeight="1">
      <c r="H32" s="71"/>
      <c r="I32" s="64"/>
    </row>
    <row r="33" spans="3:9" ht="13.5" customHeight="1">
      <c r="C33" s="5" t="s">
        <v>634</v>
      </c>
      <c r="H33" s="70">
        <v>-16.7</v>
      </c>
      <c r="I33" s="30">
        <f>INDEX(vl_4,MATCH($F$8,kunta,0),1,1)</f>
        <v>-280042.3</v>
      </c>
    </row>
    <row r="34" spans="8:9" ht="13.5" customHeight="1">
      <c r="H34" s="71"/>
      <c r="I34" s="64"/>
    </row>
    <row r="35" spans="3:9" ht="13.5" customHeight="1">
      <c r="C35" s="5" t="s">
        <v>603</v>
      </c>
      <c r="H35" s="118">
        <v>-17.38</v>
      </c>
      <c r="I35" s="371">
        <f>$F$9*H35</f>
        <v>-288699.18</v>
      </c>
    </row>
    <row r="36" spans="8:9" ht="13.5" customHeight="1">
      <c r="H36" s="70"/>
      <c r="I36" s="64"/>
    </row>
    <row r="37" spans="3:9" ht="13.5" customHeight="1">
      <c r="C37" s="5" t="s">
        <v>585</v>
      </c>
      <c r="H37" s="118">
        <v>-42.56</v>
      </c>
      <c r="I37" s="371">
        <f>$F$9*H37</f>
        <v>-706964.16</v>
      </c>
    </row>
    <row r="38" spans="8:9" ht="13.5" customHeight="1">
      <c r="H38" s="70"/>
      <c r="I38" s="64"/>
    </row>
    <row r="39" spans="3:9" ht="13.5" customHeight="1">
      <c r="C39" s="5" t="s">
        <v>587</v>
      </c>
      <c r="H39" s="118">
        <v>-4.12</v>
      </c>
      <c r="I39" s="371">
        <f>$F$9*H39</f>
        <v>-68437.32</v>
      </c>
    </row>
    <row r="40" spans="8:9" ht="13.5" customHeight="1">
      <c r="H40" s="70"/>
      <c r="I40" s="64"/>
    </row>
    <row r="41" spans="3:9" ht="13.5" customHeight="1">
      <c r="C41" s="5" t="s">
        <v>583</v>
      </c>
      <c r="H41" s="70"/>
      <c r="I41" s="30">
        <f>INDEX(vl_20,MATCH($F$8,kunta,0),1,1)</f>
        <v>-845796.7925418238</v>
      </c>
    </row>
    <row r="42" spans="8:9" ht="13.5" customHeight="1">
      <c r="H42" s="70"/>
      <c r="I42" s="64"/>
    </row>
    <row r="43" spans="2:9" ht="13.5" customHeight="1">
      <c r="B43" s="89" t="s">
        <v>51</v>
      </c>
      <c r="C43" s="90"/>
      <c r="D43" s="90"/>
      <c r="E43" s="90"/>
      <c r="F43" s="90"/>
      <c r="G43" s="90"/>
      <c r="H43" s="119"/>
      <c r="I43" s="91">
        <f>SUM(I19:I42)</f>
        <v>-2645470.682541824</v>
      </c>
    </row>
    <row r="44" spans="8:9" ht="13.5" customHeight="1">
      <c r="H44" s="70"/>
      <c r="I44" s="64"/>
    </row>
    <row r="45" spans="8:9" ht="13.5" customHeight="1">
      <c r="H45" s="70"/>
      <c r="I45" s="64"/>
    </row>
    <row r="46" spans="2:9" ht="13.5" customHeight="1">
      <c r="B46" s="1" t="s">
        <v>48</v>
      </c>
      <c r="H46" s="121" t="s">
        <v>1</v>
      </c>
      <c r="I46" s="122" t="s">
        <v>361</v>
      </c>
    </row>
    <row r="47" spans="2:9" ht="13.5" customHeight="1">
      <c r="B47" s="1"/>
      <c r="H47" s="70"/>
      <c r="I47" s="64"/>
    </row>
    <row r="48" spans="3:9" ht="13.5" customHeight="1">
      <c r="C48" s="5" t="s">
        <v>413</v>
      </c>
      <c r="H48" s="70"/>
      <c r="I48" s="30">
        <f>INDEX(vl_7,MATCH($F$8,kunta,0),1,1)</f>
        <v>140004</v>
      </c>
    </row>
    <row r="49" spans="8:9" ht="13.5" customHeight="1">
      <c r="H49" s="70"/>
      <c r="I49" s="64"/>
    </row>
    <row r="50" spans="3:9" ht="13.5" customHeight="1">
      <c r="C50" s="5" t="s">
        <v>555</v>
      </c>
      <c r="H50" s="70"/>
      <c r="I50" s="30">
        <f>INDEX(vl_8,MATCH($F$8,kunta,0),1,1)</f>
        <v>-115745.45612722076</v>
      </c>
    </row>
    <row r="51" spans="3:8" ht="13.5" customHeight="1">
      <c r="C51" s="5"/>
      <c r="H51" s="70"/>
    </row>
    <row r="52" spans="3:9" ht="13.5" customHeight="1">
      <c r="C52" s="5" t="s">
        <v>416</v>
      </c>
      <c r="H52" s="118">
        <v>0.09</v>
      </c>
      <c r="I52" s="64">
        <f>$F$9*H52</f>
        <v>1494.99</v>
      </c>
    </row>
    <row r="53" spans="3:9" ht="13.5" customHeight="1">
      <c r="C53" s="5"/>
      <c r="I53" s="64"/>
    </row>
    <row r="54" spans="3:9" ht="13.5" customHeight="1">
      <c r="C54" s="5" t="s">
        <v>569</v>
      </c>
      <c r="H54" s="70"/>
      <c r="I54" s="30">
        <f>INDEX(vl_16,MATCH($F$8,kunta,0),1,1)</f>
        <v>149281.52027416526</v>
      </c>
    </row>
    <row r="55" spans="3:8" ht="13.5" customHeight="1">
      <c r="C55" s="5"/>
      <c r="H55" s="70"/>
    </row>
    <row r="56" spans="3:11" s="171" customFormat="1" ht="13.5" customHeight="1">
      <c r="C56" s="171" t="s">
        <v>1130</v>
      </c>
      <c r="H56" s="502"/>
      <c r="I56" s="503">
        <f>INDEX(vl_25,MATCH($F$8,kunta,0),1,1)</f>
        <v>0</v>
      </c>
      <c r="K56" s="171" t="s">
        <v>1149</v>
      </c>
    </row>
    <row r="57" spans="3:8" ht="13.5" customHeight="1">
      <c r="C57" s="5"/>
      <c r="H57" s="70"/>
    </row>
    <row r="58" spans="8:9" ht="13.5" customHeight="1">
      <c r="H58" s="70"/>
      <c r="I58" s="64"/>
    </row>
    <row r="59" spans="2:9" ht="13.5" customHeight="1">
      <c r="B59" s="89" t="s">
        <v>49</v>
      </c>
      <c r="C59" s="90"/>
      <c r="D59" s="90"/>
      <c r="E59" s="90"/>
      <c r="F59" s="90"/>
      <c r="G59" s="90"/>
      <c r="H59" s="119"/>
      <c r="I59" s="206">
        <f>SUM(I47:I58)</f>
        <v>175035.0541469445</v>
      </c>
    </row>
    <row r="60" spans="8:9" ht="13.5" customHeight="1">
      <c r="H60" s="70"/>
      <c r="I60" s="64"/>
    </row>
    <row r="61" spans="1:9" ht="13.5" customHeight="1">
      <c r="A61" s="82" t="s">
        <v>50</v>
      </c>
      <c r="B61" s="83"/>
      <c r="C61" s="83"/>
      <c r="D61" s="83"/>
      <c r="E61" s="83"/>
      <c r="F61" s="83"/>
      <c r="G61" s="83"/>
      <c r="H61" s="120"/>
      <c r="I61" s="84">
        <f>I43+I59</f>
        <v>-2470435.6283948794</v>
      </c>
    </row>
    <row r="62" ht="13.5" customHeight="1">
      <c r="I62" s="135" t="s">
        <v>405</v>
      </c>
    </row>
    <row r="65" ht="13.5" customHeight="1">
      <c r="A65" s="1" t="s">
        <v>1131</v>
      </c>
    </row>
    <row r="66" spans="8:9" ht="13.5" customHeight="1">
      <c r="H66" s="70"/>
      <c r="I66" s="64"/>
    </row>
    <row r="67" spans="3:9" ht="13.5" customHeight="1">
      <c r="C67" s="5" t="s">
        <v>409</v>
      </c>
      <c r="H67" s="70"/>
      <c r="I67" s="30">
        <f>INDEX(vl_9,MATCH($F$8,kunta,0),1,1)</f>
        <v>1334279</v>
      </c>
    </row>
    <row r="68" spans="8:9" ht="13.5" customHeight="1">
      <c r="H68" s="70"/>
      <c r="I68" s="64"/>
    </row>
    <row r="69" spans="3:9" ht="13.5" customHeight="1">
      <c r="C69" s="5" t="s">
        <v>410</v>
      </c>
      <c r="H69" s="70"/>
      <c r="I69" s="30">
        <f>INDEX(vl_10,MATCH($F$8,kunta,0),1,1)</f>
        <v>410543</v>
      </c>
    </row>
    <row r="70" spans="8:9" ht="13.5" customHeight="1">
      <c r="H70" s="70"/>
      <c r="I70" s="64"/>
    </row>
    <row r="71" spans="3:9" ht="13.5" customHeight="1">
      <c r="C71" s="5" t="s">
        <v>411</v>
      </c>
      <c r="H71" s="70"/>
      <c r="I71" s="30">
        <f>INDEX(vl_11,MATCH($F$8,kunta,0),1,1)</f>
        <v>897394.9424826249</v>
      </c>
    </row>
    <row r="72" spans="8:9" ht="13.5" customHeight="1">
      <c r="H72" s="70"/>
      <c r="I72" s="64"/>
    </row>
    <row r="73" spans="3:9" ht="13.5" customHeight="1">
      <c r="C73" s="5" t="s">
        <v>412</v>
      </c>
      <c r="H73" s="70"/>
      <c r="I73" s="30">
        <f>INDEX(vl_12,MATCH($F$8,kunta,0),1,1)</f>
        <v>27428.68789498369</v>
      </c>
    </row>
    <row r="74" spans="8:9" ht="13.5" customHeight="1">
      <c r="H74" s="70"/>
      <c r="I74" s="64"/>
    </row>
    <row r="75" spans="3:9" ht="13.5" customHeight="1">
      <c r="C75" s="5" t="s">
        <v>553</v>
      </c>
      <c r="H75" s="70"/>
      <c r="I75" s="30">
        <f>INDEX(vl_13,MATCH($F$8,kunta,0),1,1)</f>
        <v>125948.33979683967</v>
      </c>
    </row>
    <row r="76" spans="8:9" ht="13.5" customHeight="1">
      <c r="H76" s="70"/>
      <c r="I76" s="64"/>
    </row>
    <row r="77" spans="3:9" ht="13.5" customHeight="1">
      <c r="C77" s="5" t="s">
        <v>554</v>
      </c>
      <c r="H77" s="70"/>
      <c r="I77" s="30">
        <f>INDEX(vl_14,MATCH($F$8,kunta,0),1,1)</f>
        <v>413526.2233831386</v>
      </c>
    </row>
    <row r="78" spans="3:8" ht="13.5" customHeight="1">
      <c r="C78" s="5"/>
      <c r="H78" s="70"/>
    </row>
    <row r="79" spans="3:9" ht="13.5" customHeight="1">
      <c r="C79" s="5" t="s">
        <v>570</v>
      </c>
      <c r="H79" s="70"/>
      <c r="I79" s="30">
        <f>INDEX(vl_19,MATCH($F$8,kunta,0),1,1)</f>
        <v>833777.015607583</v>
      </c>
    </row>
    <row r="80" spans="3:8" ht="13.5" customHeight="1">
      <c r="C80" s="5"/>
      <c r="H80" s="70"/>
    </row>
    <row r="81" spans="3:9" ht="13.5" customHeight="1">
      <c r="C81" s="5" t="s">
        <v>596</v>
      </c>
      <c r="H81" s="70"/>
      <c r="I81" s="30">
        <f>INDEX(vl_22,MATCH($F$8,kunta,0),1,1)</f>
        <v>1346679.5531167898</v>
      </c>
    </row>
    <row r="82" spans="3:8" ht="13.5" customHeight="1">
      <c r="C82" s="5"/>
      <c r="H82" s="70"/>
    </row>
    <row r="83" spans="3:9" ht="13.5" customHeight="1">
      <c r="C83" s="5" t="s">
        <v>597</v>
      </c>
      <c r="H83" s="70"/>
      <c r="I83" s="30">
        <f>INDEX(vl_23,MATCH($F$8,kunta,0),1,1)</f>
        <v>355892.2472376277</v>
      </c>
    </row>
    <row r="84" spans="3:8" ht="13.5" customHeight="1">
      <c r="C84" s="5"/>
      <c r="H84" s="70"/>
    </row>
    <row r="85" spans="3:9" ht="13.5" customHeight="1">
      <c r="C85" s="5" t="s">
        <v>630</v>
      </c>
      <c r="H85" s="70"/>
      <c r="I85" s="30">
        <f>INDEX(vl_24,MATCH($F$8,kunta,0),1,1)</f>
        <v>697081.5574756723</v>
      </c>
    </row>
    <row r="87" spans="3:9" ht="13.5" customHeight="1">
      <c r="C87" s="5" t="s">
        <v>1132</v>
      </c>
      <c r="H87" s="70"/>
      <c r="I87" s="30">
        <f>INDEX(vl_26,MATCH($F$8,kunta,0),1,1)</f>
        <v>881263.9025903177</v>
      </c>
    </row>
    <row r="89" spans="1:9" ht="13.5" customHeight="1">
      <c r="A89" s="82" t="s">
        <v>50</v>
      </c>
      <c r="B89" s="83"/>
      <c r="C89" s="83"/>
      <c r="D89" s="83"/>
      <c r="E89" s="83"/>
      <c r="F89" s="83"/>
      <c r="G89" s="83"/>
      <c r="H89" s="120"/>
      <c r="I89" s="84">
        <f>SUM(I66:I88)</f>
        <v>7323814.469585577</v>
      </c>
    </row>
    <row r="98" spans="5:22" ht="13.5" customHeight="1">
      <c r="E98" s="171"/>
      <c r="F98" s="171"/>
      <c r="G98" s="171"/>
      <c r="H98" s="171"/>
      <c r="I98" s="171"/>
      <c r="J98" s="171"/>
      <c r="K98" s="171"/>
      <c r="L98" s="171"/>
      <c r="M98" s="171"/>
      <c r="N98" s="171"/>
      <c r="O98" s="171"/>
      <c r="P98" s="171"/>
      <c r="Q98" s="171"/>
      <c r="R98" s="171"/>
      <c r="S98" s="171"/>
      <c r="T98" s="171"/>
      <c r="U98" s="171"/>
      <c r="V98" s="171"/>
    </row>
  </sheetData>
  <sheetProtection/>
  <protectedRanges>
    <protectedRange sqref="H13:H16 H30:H35 H39 H41 H37 H23:H24 H27:H28" name="Alue1"/>
    <protectedRange sqref="I59 I66:I85 I48:I51 I87 I54:I57" name="Alue2"/>
    <protectedRange sqref="H52:H53" name="Alue3"/>
    <protectedRange sqref="H17 H25 H21"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2">
      <selection activeCell="C23" sqref="C23"/>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0" t="str">
        <f>'2.Yhteenveto'!A1</f>
        <v>2.1.2020, Kuntaliitto / Sanna Lehtonen</v>
      </c>
      <c r="F1" s="94"/>
      <c r="G1" s="6"/>
      <c r="H1" s="6"/>
      <c r="I1" s="6"/>
      <c r="J1" s="6"/>
    </row>
    <row r="2" spans="6:10" ht="12.75">
      <c r="F2" s="94"/>
      <c r="G2" s="6"/>
      <c r="H2" s="6"/>
      <c r="I2" s="6"/>
      <c r="J2" s="6"/>
    </row>
    <row r="3" spans="1:10" ht="15">
      <c r="A3" s="524" t="s">
        <v>657</v>
      </c>
      <c r="B3" s="525"/>
      <c r="C3" s="525"/>
      <c r="D3" s="525"/>
      <c r="E3" s="525"/>
      <c r="F3" s="525"/>
      <c r="G3" s="525"/>
      <c r="H3" s="525"/>
      <c r="I3" s="525"/>
      <c r="J3" s="526"/>
    </row>
    <row r="4" spans="6:10" ht="12">
      <c r="F4" s="8"/>
      <c r="G4" s="8"/>
      <c r="H4" s="6"/>
      <c r="I4" s="6"/>
      <c r="J4" s="6"/>
    </row>
    <row r="5" spans="3:10" ht="12">
      <c r="C5" s="55" t="s">
        <v>40</v>
      </c>
      <c r="D5" s="28"/>
      <c r="E5" s="40"/>
      <c r="F5" s="56" t="s">
        <v>404</v>
      </c>
      <c r="I5" s="6"/>
      <c r="J5" s="6"/>
    </row>
    <row r="6" spans="6:10" ht="12">
      <c r="F6" s="8"/>
      <c r="G6" s="8"/>
      <c r="H6" s="6"/>
      <c r="I6" s="6"/>
      <c r="J6" s="6"/>
    </row>
    <row r="7" spans="2:10" ht="12.75">
      <c r="B7" s="85" t="s">
        <v>0</v>
      </c>
      <c r="E7" s="9"/>
      <c r="F7" s="150" t="str">
        <f>'2.Yhteenveto'!G11</f>
        <v>Akaa</v>
      </c>
      <c r="H7" s="6"/>
      <c r="I7" s="6"/>
      <c r="J7" s="6"/>
    </row>
    <row r="8" spans="2:10" ht="12.75">
      <c r="B8" s="85" t="str">
        <f>'2.Yhteenveto'!B12</f>
        <v>Asukasluku 31.12.2018:</v>
      </c>
      <c r="E8" s="8"/>
      <c r="F8" s="150">
        <f>'2.Yhteenveto'!$H$12</f>
        <v>16611</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
      <c r="E21" s="8"/>
      <c r="G21" s="8"/>
      <c r="H21" s="6"/>
      <c r="I21" s="6"/>
    </row>
    <row r="22" spans="2:10" ht="12">
      <c r="B22" s="28" t="s">
        <v>658</v>
      </c>
      <c r="H22" s="6"/>
      <c r="I22" s="6"/>
      <c r="J22" s="30">
        <f>INDEX(jm_1,MATCH($F$7,kunta,0),1,1)</f>
        <v>0</v>
      </c>
    </row>
    <row r="23" spans="3:10" ht="12">
      <c r="C23" s="5"/>
      <c r="E23" s="8"/>
      <c r="I23" s="15"/>
      <c r="J23" s="21"/>
    </row>
    <row r="24" spans="7:10" ht="12.75">
      <c r="G24" s="27"/>
      <c r="H24" s="27"/>
      <c r="I24" s="27"/>
      <c r="J24" s="27"/>
    </row>
    <row r="25" spans="1:10" ht="12.75">
      <c r="A25" s="92" t="s">
        <v>556</v>
      </c>
      <c r="B25" s="83"/>
      <c r="C25" s="83"/>
      <c r="D25" s="83"/>
      <c r="E25" s="83"/>
      <c r="F25" s="83"/>
      <c r="G25" s="93"/>
      <c r="H25" s="93"/>
      <c r="I25" s="93"/>
      <c r="J25" s="99">
        <f>J22</f>
        <v>0</v>
      </c>
    </row>
    <row r="26" spans="6:10" ht="12.75">
      <c r="F26" s="12"/>
      <c r="G26" s="27"/>
      <c r="H26" s="27"/>
      <c r="I26" s="27"/>
      <c r="J26" s="135" t="s">
        <v>405</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G1" sqref="G1"/>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
      <c r="A1" s="80" t="str">
        <f>'2.Yhteenveto'!A1</f>
        <v>2.1.2020, Kuntaliitto / Sanna Lehtonen</v>
      </c>
    </row>
    <row r="3" spans="1:11" ht="25.5" customHeight="1">
      <c r="A3" s="527" t="s">
        <v>659</v>
      </c>
      <c r="B3" s="528"/>
      <c r="C3" s="528"/>
      <c r="D3" s="528"/>
      <c r="E3" s="528"/>
      <c r="F3" s="528"/>
      <c r="G3" s="528"/>
      <c r="H3" s="528"/>
      <c r="I3" s="528"/>
      <c r="J3" s="529"/>
      <c r="K3" s="175"/>
    </row>
    <row r="5" spans="2:16" ht="18" customHeight="1">
      <c r="B5" s="55" t="s">
        <v>40</v>
      </c>
      <c r="C5" s="28"/>
      <c r="D5" s="28"/>
      <c r="E5" s="40"/>
      <c r="F5" s="56" t="s">
        <v>404</v>
      </c>
      <c r="P5" s="74"/>
    </row>
    <row r="6" spans="2:16" ht="18">
      <c r="B6" s="28"/>
      <c r="C6" s="28"/>
      <c r="D6" s="28"/>
      <c r="E6" s="102"/>
      <c r="F6" s="56" t="s">
        <v>403</v>
      </c>
      <c r="P6" s="74"/>
    </row>
    <row r="7" spans="15:16" ht="14.25">
      <c r="O7" s="75"/>
      <c r="P7" s="75"/>
    </row>
    <row r="8" spans="1:16" ht="14.25">
      <c r="A8" s="85" t="s">
        <v>0</v>
      </c>
      <c r="G8" s="168" t="str">
        <f>'2.Yhteenveto'!G11</f>
        <v>Akaa</v>
      </c>
      <c r="O8" s="76"/>
      <c r="P8" s="76"/>
    </row>
    <row r="9" spans="1:7" ht="12.75">
      <c r="A9" s="85" t="str">
        <f>'2.Yhteenveto'!B12</f>
        <v>Asukasluku 31.12.2018:</v>
      </c>
      <c r="G9" s="169">
        <f>'2.Yhteenveto'!H12</f>
        <v>16611</v>
      </c>
    </row>
    <row r="10" ht="12.75">
      <c r="E10" s="1"/>
    </row>
    <row r="11" spans="1:5" ht="12.75">
      <c r="A11" s="66"/>
      <c r="E11" s="1"/>
    </row>
    <row r="12" spans="2:7" ht="12.75">
      <c r="B12" s="1" t="s">
        <v>660</v>
      </c>
      <c r="E12" s="1"/>
      <c r="F12" s="30">
        <f>INDEX(kkk_1,MATCH($G$8,kunta,0),1,1)</f>
        <v>-999702.00204</v>
      </c>
      <c r="G12" s="5" t="s">
        <v>361</v>
      </c>
    </row>
    <row r="13" ht="12.75">
      <c r="E13" s="1"/>
    </row>
    <row r="14" ht="12.75">
      <c r="E14" s="1"/>
    </row>
    <row r="15" spans="2:5" ht="12.75">
      <c r="B15" s="1" t="s">
        <v>55</v>
      </c>
      <c r="E15" s="1"/>
    </row>
    <row r="16" spans="2:5" ht="12.75">
      <c r="B16" s="1" t="s">
        <v>598</v>
      </c>
      <c r="E16" s="1"/>
    </row>
    <row r="17" spans="5:6" ht="12.75">
      <c r="E17" s="126"/>
      <c r="F17" s="212" t="s">
        <v>56</v>
      </c>
    </row>
    <row r="18" spans="5:18" ht="12.75">
      <c r="E18" s="127"/>
      <c r="F18" s="213" t="s">
        <v>57</v>
      </c>
      <c r="R18" s="64"/>
    </row>
    <row r="19" spans="5:18" ht="12.75">
      <c r="E19" s="128"/>
      <c r="F19" s="214" t="s">
        <v>58</v>
      </c>
      <c r="O19" s="64"/>
      <c r="P19" s="64"/>
      <c r="R19" s="64"/>
    </row>
    <row r="20" spans="5:18" ht="12.75">
      <c r="E20" s="209" t="s">
        <v>599</v>
      </c>
      <c r="F20" s="210">
        <v>6600.17</v>
      </c>
      <c r="O20" s="64"/>
      <c r="P20" s="64"/>
      <c r="R20" s="64"/>
    </row>
    <row r="21" spans="15:18" ht="12">
      <c r="O21" s="64"/>
      <c r="P21" s="64"/>
      <c r="R21" s="64"/>
    </row>
    <row r="22" spans="15:18" ht="12">
      <c r="O22" s="64"/>
      <c r="P22" s="64"/>
      <c r="R22" s="64"/>
    </row>
    <row r="23" spans="2:18" ht="12.75">
      <c r="B23" s="1" t="s">
        <v>372</v>
      </c>
      <c r="O23" s="64"/>
      <c r="P23" s="64"/>
      <c r="R23" s="64"/>
    </row>
    <row r="24" spans="2:18" ht="12.75">
      <c r="B24" s="1"/>
      <c r="O24" s="64"/>
      <c r="P24" s="64"/>
      <c r="R24" s="64"/>
    </row>
    <row r="25" spans="4:15" ht="12.75">
      <c r="D25" s="215" t="s">
        <v>560</v>
      </c>
      <c r="O25" s="64"/>
    </row>
    <row r="26" spans="6:15" ht="12">
      <c r="F26" s="3" t="s">
        <v>31</v>
      </c>
      <c r="G26" s="3" t="s">
        <v>35</v>
      </c>
      <c r="H26" s="3" t="s">
        <v>36</v>
      </c>
      <c r="O26" s="64"/>
    </row>
    <row r="27" spans="5:15" ht="12">
      <c r="E27" s="49" t="s">
        <v>34</v>
      </c>
      <c r="F27" s="31"/>
      <c r="G27" s="51">
        <f>$F$20*0.61</f>
        <v>4026.1037</v>
      </c>
      <c r="H27" s="44">
        <f>F27*G27</f>
        <v>0</v>
      </c>
      <c r="O27" s="64"/>
    </row>
    <row r="28" spans="5:15" ht="12">
      <c r="E28" s="49" t="s">
        <v>33</v>
      </c>
      <c r="F28" s="31"/>
      <c r="G28" s="51">
        <f>$F$20*1</f>
        <v>6600.17</v>
      </c>
      <c r="H28" s="44">
        <f>F28*G28</f>
        <v>0</v>
      </c>
      <c r="O28" s="64"/>
    </row>
    <row r="29" spans="5:15" ht="12.75" thickBot="1">
      <c r="E29" t="s">
        <v>593</v>
      </c>
      <c r="F29" s="107"/>
      <c r="G29" s="211">
        <f>$F$20*1.6</f>
        <v>10560.272</v>
      </c>
      <c r="H29" s="129">
        <f>F29*G29</f>
        <v>0</v>
      </c>
      <c r="O29" s="64"/>
    </row>
    <row r="30" spans="1:15" s="5" customFormat="1" ht="12.75" thickTop="1">
      <c r="A30" s="192"/>
      <c r="D30" s="192" t="s">
        <v>371</v>
      </c>
      <c r="E30" s="192"/>
      <c r="F30" s="192"/>
      <c r="G30" s="216"/>
      <c r="H30" s="216">
        <f>SUM(H27:H29)</f>
        <v>0</v>
      </c>
      <c r="I30" s="125"/>
      <c r="O30" s="217"/>
    </row>
    <row r="31" spans="1:15" ht="12.75">
      <c r="A31" s="53"/>
      <c r="B31" s="123"/>
      <c r="D31" s="53"/>
      <c r="E31" s="123"/>
      <c r="F31" s="123"/>
      <c r="G31" s="124"/>
      <c r="H31" s="124"/>
      <c r="I31" s="125"/>
      <c r="O31" s="64"/>
    </row>
    <row r="32" spans="1:15" ht="12.75">
      <c r="A32" s="53"/>
      <c r="B32" s="123"/>
      <c r="D32" s="53"/>
      <c r="E32" s="123"/>
      <c r="F32" s="123"/>
      <c r="G32" s="124"/>
      <c r="H32" s="124"/>
      <c r="I32" s="125"/>
      <c r="O32" s="64"/>
    </row>
    <row r="33" spans="1:15" ht="12.75">
      <c r="A33" s="53"/>
      <c r="D33" s="215" t="s">
        <v>559</v>
      </c>
      <c r="E33" s="123"/>
      <c r="F33" s="123"/>
      <c r="G33" s="124"/>
      <c r="H33" s="124"/>
      <c r="I33" s="125"/>
      <c r="O33" s="64"/>
    </row>
    <row r="34" spans="6:15" ht="12">
      <c r="F34" s="3" t="s">
        <v>31</v>
      </c>
      <c r="G34" s="3" t="s">
        <v>35</v>
      </c>
      <c r="H34" s="3" t="s">
        <v>36</v>
      </c>
      <c r="O34" s="64"/>
    </row>
    <row r="35" spans="5:15" ht="12">
      <c r="E35" s="49" t="s">
        <v>34</v>
      </c>
      <c r="F35" s="31"/>
      <c r="G35" s="51">
        <f>$F$20*0.61*0.94</f>
        <v>3784.5374779999997</v>
      </c>
      <c r="H35" s="44">
        <f>F35*G35</f>
        <v>0</v>
      </c>
      <c r="O35" s="64"/>
    </row>
    <row r="36" spans="5:15" ht="12">
      <c r="E36" s="49" t="s">
        <v>33</v>
      </c>
      <c r="F36" s="31"/>
      <c r="G36" s="51">
        <f>$F$20*1*0.94</f>
        <v>6204.159799999999</v>
      </c>
      <c r="H36" s="44">
        <f>F36*G36</f>
        <v>0</v>
      </c>
      <c r="O36" s="64"/>
    </row>
    <row r="37" spans="5:15" ht="12.75" thickBot="1">
      <c r="E37" t="s">
        <v>593</v>
      </c>
      <c r="F37" s="107"/>
      <c r="G37" s="211">
        <f>$F$20*1.6*0.94</f>
        <v>9926.65568</v>
      </c>
      <c r="H37" s="129">
        <f>F37*G37</f>
        <v>0</v>
      </c>
      <c r="O37" s="64"/>
    </row>
    <row r="38" spans="1:15" s="5" customFormat="1" ht="12.75" thickTop="1">
      <c r="A38" s="192"/>
      <c r="D38" s="192" t="s">
        <v>371</v>
      </c>
      <c r="E38" s="192"/>
      <c r="F38" s="192"/>
      <c r="G38" s="216"/>
      <c r="H38" s="216">
        <f>SUM(H35:H37)</f>
        <v>0</v>
      </c>
      <c r="I38" s="125"/>
      <c r="O38" s="217"/>
    </row>
    <row r="39" spans="1:15" ht="13.5" thickBot="1">
      <c r="A39" s="53"/>
      <c r="C39" s="218"/>
      <c r="D39" s="109"/>
      <c r="E39" s="218"/>
      <c r="F39" s="218"/>
      <c r="G39" s="219"/>
      <c r="H39" s="219"/>
      <c r="I39" s="125"/>
      <c r="O39" s="64"/>
    </row>
    <row r="40" spans="1:15" ht="13.5" thickTop="1">
      <c r="A40" s="53"/>
      <c r="C40" s="123" t="s">
        <v>371</v>
      </c>
      <c r="D40" s="53"/>
      <c r="E40" s="123"/>
      <c r="F40" s="123"/>
      <c r="G40" s="124"/>
      <c r="H40" s="224">
        <f>H30+H38</f>
        <v>0</v>
      </c>
      <c r="I40" s="314">
        <f>INDEX(kkk_3,MATCH($G$8,kunta,0),1,1)</f>
        <v>1153377.87614</v>
      </c>
      <c r="O40" s="64"/>
    </row>
    <row r="41" spans="9:15" ht="12">
      <c r="I41" s="314"/>
      <c r="O41" s="64"/>
    </row>
    <row r="42" spans="1:15" ht="12.75">
      <c r="A42" s="53"/>
      <c r="B42" s="123" t="s">
        <v>370</v>
      </c>
      <c r="C42" s="53"/>
      <c r="D42" s="53"/>
      <c r="E42" s="123"/>
      <c r="F42" s="53"/>
      <c r="G42" s="53"/>
      <c r="H42" s="124"/>
      <c r="I42" s="314"/>
      <c r="O42" s="64"/>
    </row>
    <row r="43" spans="6:15" ht="12">
      <c r="F43" s="3" t="s">
        <v>31</v>
      </c>
      <c r="G43" s="3" t="s">
        <v>35</v>
      </c>
      <c r="H43" s="3" t="s">
        <v>36</v>
      </c>
      <c r="I43" s="314"/>
      <c r="O43" s="64"/>
    </row>
    <row r="44" spans="5:15" ht="12">
      <c r="E44" s="49" t="s">
        <v>34</v>
      </c>
      <c r="F44" s="31"/>
      <c r="G44" s="51">
        <f>$F$20*0.61</f>
        <v>4026.1037</v>
      </c>
      <c r="H44" s="44">
        <f>F44*G44</f>
        <v>0</v>
      </c>
      <c r="I44" s="314"/>
      <c r="O44" s="64"/>
    </row>
    <row r="45" spans="5:15" ht="12">
      <c r="E45" s="49" t="s">
        <v>33</v>
      </c>
      <c r="F45" s="31"/>
      <c r="G45" s="51">
        <f>$F$20*1</f>
        <v>6600.17</v>
      </c>
      <c r="H45" s="44">
        <f>F45*G45</f>
        <v>0</v>
      </c>
      <c r="I45" s="314"/>
      <c r="O45" s="64"/>
    </row>
    <row r="46" spans="5:15" ht="12.75" thickBot="1">
      <c r="E46" t="s">
        <v>593</v>
      </c>
      <c r="F46" s="107"/>
      <c r="G46" s="211">
        <f>$F$20*1.6</f>
        <v>10560.272</v>
      </c>
      <c r="H46" s="129">
        <f>F46*G46</f>
        <v>0</v>
      </c>
      <c r="I46" s="314"/>
      <c r="O46" s="64"/>
    </row>
    <row r="47" spans="1:15" ht="13.5" thickTop="1">
      <c r="A47" s="53"/>
      <c r="B47" s="123" t="s">
        <v>561</v>
      </c>
      <c r="C47" s="53"/>
      <c r="D47" s="53"/>
      <c r="E47" s="123"/>
      <c r="F47" s="123"/>
      <c r="G47" s="124"/>
      <c r="H47" s="224">
        <f>SUM(H44:H46)</f>
        <v>0</v>
      </c>
      <c r="I47" s="314">
        <f>INDEX(kkk_2,MATCH($G$8,kunta,0),1,1)</f>
        <v>153675.87410000002</v>
      </c>
      <c r="O47" s="64"/>
    </row>
    <row r="48" spans="1:15" ht="12.75">
      <c r="A48" s="53"/>
      <c r="B48" s="123"/>
      <c r="C48" s="53"/>
      <c r="D48" s="53"/>
      <c r="E48" s="123"/>
      <c r="F48" s="123"/>
      <c r="G48" s="124"/>
      <c r="H48" s="224"/>
      <c r="I48" s="315"/>
      <c r="O48" s="64"/>
    </row>
    <row r="49" spans="1:15" ht="12.75">
      <c r="A49" s="53"/>
      <c r="B49" s="123"/>
      <c r="C49" s="53"/>
      <c r="D49" s="53"/>
      <c r="E49" s="123"/>
      <c r="F49" s="123"/>
      <c r="G49" s="124"/>
      <c r="H49" s="124"/>
      <c r="I49" s="315"/>
      <c r="O49" s="64"/>
    </row>
    <row r="50" spans="1:15" ht="12.75">
      <c r="A50" s="53"/>
      <c r="B50" s="123" t="s">
        <v>558</v>
      </c>
      <c r="C50" s="53"/>
      <c r="D50" s="53"/>
      <c r="E50" s="123"/>
      <c r="F50" s="123"/>
      <c r="G50" s="124"/>
      <c r="H50" s="224">
        <f>IF(H47-H40&lt;&gt;0,H47-H40,F12)</f>
        <v>-999702.00204</v>
      </c>
      <c r="I50" s="316">
        <f>I47-I40</f>
        <v>-999702.00204</v>
      </c>
      <c r="O50" s="64"/>
    </row>
    <row r="51" spans="1:15" ht="12.75">
      <c r="A51" s="53"/>
      <c r="B51" s="123"/>
      <c r="C51" s="53"/>
      <c r="D51" s="53"/>
      <c r="E51" s="123"/>
      <c r="F51" s="123"/>
      <c r="G51" s="124"/>
      <c r="H51" s="135" t="s">
        <v>405</v>
      </c>
      <c r="I51" s="125"/>
      <c r="O51" s="64"/>
    </row>
    <row r="52" ht="12">
      <c r="O52" s="64"/>
    </row>
    <row r="53" ht="12">
      <c r="O53" s="64"/>
    </row>
    <row r="54" ht="12">
      <c r="O54" s="64"/>
    </row>
    <row r="55" ht="12">
      <c r="O55" s="64"/>
    </row>
    <row r="56" ht="12">
      <c r="O56" s="64"/>
    </row>
    <row r="57" ht="12">
      <c r="O57" s="64"/>
    </row>
    <row r="58" ht="12">
      <c r="O58" s="64"/>
    </row>
    <row r="59" ht="12">
      <c r="O59" s="64"/>
    </row>
    <row r="60" ht="12">
      <c r="O60" s="64"/>
    </row>
    <row r="61" ht="12">
      <c r="O61" s="64"/>
    </row>
    <row r="62" ht="12">
      <c r="O62" s="64"/>
    </row>
    <row r="63" ht="12">
      <c r="O63" s="64"/>
    </row>
    <row r="64" ht="12">
      <c r="O64" s="64"/>
    </row>
    <row r="65" ht="12">
      <c r="O65" s="64"/>
    </row>
    <row r="66" ht="12">
      <c r="O66" s="64"/>
    </row>
    <row r="67" ht="12">
      <c r="O67" s="64"/>
    </row>
    <row r="68" ht="12">
      <c r="O68" s="64"/>
    </row>
    <row r="69" ht="12">
      <c r="O69" s="64"/>
    </row>
    <row r="70" ht="12">
      <c r="O70" s="64"/>
    </row>
    <row r="71" ht="12">
      <c r="O71" s="64"/>
    </row>
    <row r="72" ht="12">
      <c r="O72" s="64"/>
    </row>
    <row r="73" ht="12">
      <c r="O73" s="64"/>
    </row>
    <row r="74" ht="12">
      <c r="O74" s="64"/>
    </row>
    <row r="75" ht="12">
      <c r="O75" s="64"/>
    </row>
    <row r="76" ht="12">
      <c r="O76" s="64"/>
    </row>
    <row r="77" ht="12">
      <c r="O77" s="64"/>
    </row>
    <row r="78" ht="12">
      <c r="O78" s="64"/>
    </row>
    <row r="79" ht="12">
      <c r="O79" s="64"/>
    </row>
    <row r="80" ht="12">
      <c r="O80" s="64"/>
    </row>
    <row r="81" ht="12">
      <c r="O81" s="64"/>
    </row>
    <row r="82" ht="12">
      <c r="O82" s="64"/>
    </row>
    <row r="83" ht="12">
      <c r="O83" s="64"/>
    </row>
    <row r="84" ht="12">
      <c r="O84" s="64"/>
    </row>
    <row r="85" ht="12">
      <c r="O85" s="64"/>
    </row>
    <row r="86" ht="12">
      <c r="O86" s="64"/>
    </row>
    <row r="87" ht="12">
      <c r="O87" s="64"/>
    </row>
    <row r="88" ht="12">
      <c r="O88" s="64"/>
    </row>
    <row r="89" ht="12">
      <c r="O89" s="64"/>
    </row>
    <row r="90" ht="12">
      <c r="O90" s="64"/>
    </row>
    <row r="91" ht="12">
      <c r="O91" s="64"/>
    </row>
    <row r="92" ht="12">
      <c r="O92" s="64"/>
    </row>
    <row r="93" ht="12">
      <c r="O93" s="64"/>
    </row>
    <row r="94" ht="12">
      <c r="O94" s="64"/>
    </row>
    <row r="95" ht="12">
      <c r="O95" s="64"/>
    </row>
    <row r="96" ht="12">
      <c r="O96" s="64"/>
    </row>
    <row r="97" ht="12">
      <c r="O97" s="64"/>
    </row>
    <row r="98" ht="12">
      <c r="O98" s="64"/>
    </row>
    <row r="99" ht="12">
      <c r="O99" s="64"/>
    </row>
    <row r="100" ht="12">
      <c r="O100" s="64"/>
    </row>
    <row r="101" ht="12">
      <c r="O101" s="64"/>
    </row>
    <row r="102" ht="12">
      <c r="O102" s="64"/>
    </row>
    <row r="103" ht="12">
      <c r="O103" s="64"/>
    </row>
    <row r="104" ht="12">
      <c r="O104" s="64"/>
    </row>
    <row r="105" ht="12">
      <c r="O105" s="64"/>
    </row>
    <row r="106" ht="12">
      <c r="O106" s="64"/>
    </row>
    <row r="107" ht="12">
      <c r="O107" s="64"/>
    </row>
    <row r="108" ht="12">
      <c r="O108" s="64"/>
    </row>
    <row r="109" ht="12">
      <c r="O109" s="64"/>
    </row>
    <row r="110" ht="12">
      <c r="O110" s="64"/>
    </row>
    <row r="111" ht="12">
      <c r="O111" s="64"/>
    </row>
    <row r="112" ht="12">
      <c r="O112" s="64"/>
    </row>
    <row r="113" ht="12">
      <c r="O113" s="64"/>
    </row>
    <row r="114" ht="12">
      <c r="O114" s="64"/>
    </row>
    <row r="115" ht="12">
      <c r="O115" s="64"/>
    </row>
    <row r="116" ht="12">
      <c r="O116" s="64"/>
    </row>
    <row r="117" ht="12">
      <c r="O117" s="64"/>
    </row>
    <row r="118" ht="12">
      <c r="O118" s="64"/>
    </row>
    <row r="119" ht="12">
      <c r="O119" s="64"/>
    </row>
    <row r="120" ht="12">
      <c r="O120" s="64"/>
    </row>
    <row r="121" ht="12">
      <c r="O121" s="64"/>
    </row>
    <row r="122" ht="12">
      <c r="O122" s="64"/>
    </row>
    <row r="123" ht="12">
      <c r="O123" s="64"/>
    </row>
    <row r="124" ht="12">
      <c r="O124" s="64"/>
    </row>
    <row r="125" ht="12">
      <c r="O125" s="64"/>
    </row>
    <row r="126" ht="12">
      <c r="O126" s="64"/>
    </row>
    <row r="127" ht="12">
      <c r="O127" s="64"/>
    </row>
    <row r="128" ht="12">
      <c r="O128" s="64"/>
    </row>
    <row r="129" ht="12">
      <c r="O129" s="64"/>
    </row>
    <row r="130" ht="12">
      <c r="O130" s="64"/>
    </row>
    <row r="131" ht="12">
      <c r="O131" s="64"/>
    </row>
    <row r="132" ht="12">
      <c r="O132" s="64"/>
    </row>
    <row r="133" ht="12">
      <c r="O133" s="64"/>
    </row>
    <row r="134" ht="12">
      <c r="O134" s="64"/>
    </row>
    <row r="135" ht="12">
      <c r="O135" s="64"/>
    </row>
    <row r="136" ht="12">
      <c r="O136" s="64"/>
    </row>
    <row r="137" ht="12">
      <c r="O137" s="64"/>
    </row>
    <row r="138" ht="12">
      <c r="O138" s="64"/>
    </row>
    <row r="139" ht="12">
      <c r="O139" s="64"/>
    </row>
    <row r="140" ht="12">
      <c r="O140" s="64"/>
    </row>
    <row r="141" ht="12">
      <c r="O141" s="64"/>
    </row>
    <row r="142" ht="12">
      <c r="O142" s="64"/>
    </row>
    <row r="143" ht="12">
      <c r="O143" s="64"/>
    </row>
    <row r="144" ht="12">
      <c r="O144" s="64"/>
    </row>
    <row r="145" ht="12">
      <c r="O145" s="64"/>
    </row>
    <row r="146" ht="12">
      <c r="O146" s="64"/>
    </row>
    <row r="147" ht="12">
      <c r="O147" s="64"/>
    </row>
    <row r="148" ht="12">
      <c r="O148" s="64"/>
    </row>
    <row r="149" ht="12">
      <c r="O149" s="64"/>
    </row>
    <row r="150" ht="12">
      <c r="O150" s="64"/>
    </row>
    <row r="151" ht="12">
      <c r="O151" s="64"/>
    </row>
    <row r="152" ht="12">
      <c r="O152" s="64"/>
    </row>
    <row r="153" ht="12">
      <c r="O153" s="64"/>
    </row>
    <row r="154" ht="12">
      <c r="O154" s="64"/>
    </row>
    <row r="155" ht="12">
      <c r="O155" s="64"/>
    </row>
    <row r="156" ht="12">
      <c r="O156" s="64"/>
    </row>
    <row r="157" ht="12">
      <c r="O157" s="64"/>
    </row>
    <row r="158" ht="12">
      <c r="O158" s="64"/>
    </row>
    <row r="159" ht="12">
      <c r="O159" s="64"/>
    </row>
    <row r="160" ht="12">
      <c r="O160" s="64"/>
    </row>
    <row r="161" ht="12">
      <c r="O161" s="64"/>
    </row>
    <row r="162" ht="12">
      <c r="O162" s="64"/>
    </row>
    <row r="163" ht="12">
      <c r="O163" s="64"/>
    </row>
    <row r="164" ht="12">
      <c r="O164" s="64"/>
    </row>
    <row r="165" ht="12">
      <c r="O165" s="64"/>
    </row>
    <row r="166" ht="12">
      <c r="O166" s="64"/>
    </row>
    <row r="167" ht="12">
      <c r="O167" s="64"/>
    </row>
    <row r="168" ht="12">
      <c r="O168" s="64"/>
    </row>
    <row r="169" ht="12">
      <c r="O169" s="64"/>
    </row>
    <row r="170" ht="12">
      <c r="O170" s="64"/>
    </row>
    <row r="171" ht="12">
      <c r="O171" s="64"/>
    </row>
    <row r="172" ht="12">
      <c r="O172" s="64"/>
    </row>
    <row r="173" ht="12">
      <c r="O173" s="64"/>
    </row>
    <row r="174" ht="12">
      <c r="O174" s="64"/>
    </row>
    <row r="175" ht="12">
      <c r="O175" s="64"/>
    </row>
    <row r="176" ht="12">
      <c r="O176" s="64"/>
    </row>
    <row r="177" ht="12">
      <c r="O177" s="64"/>
    </row>
    <row r="178" ht="12">
      <c r="O178" s="64"/>
    </row>
    <row r="179" ht="12">
      <c r="O179" s="64"/>
    </row>
    <row r="180" ht="12">
      <c r="O180" s="64"/>
    </row>
    <row r="181" ht="12">
      <c r="O181" s="64"/>
    </row>
    <row r="182" ht="12">
      <c r="O182" s="64"/>
    </row>
    <row r="183" ht="12">
      <c r="O183" s="64"/>
    </row>
    <row r="184" ht="12">
      <c r="O184" s="64"/>
    </row>
    <row r="185" ht="12">
      <c r="O185" s="64"/>
    </row>
    <row r="186" ht="12">
      <c r="O186" s="64"/>
    </row>
    <row r="187" ht="12">
      <c r="O187" s="64"/>
    </row>
    <row r="188" ht="12">
      <c r="O188" s="64"/>
    </row>
    <row r="189" ht="12">
      <c r="O189" s="64"/>
    </row>
    <row r="190" ht="12">
      <c r="O190" s="64"/>
    </row>
    <row r="191" ht="12">
      <c r="O191" s="64"/>
    </row>
    <row r="192" ht="12">
      <c r="O192" s="64"/>
    </row>
    <row r="193" ht="12">
      <c r="O193" s="64"/>
    </row>
    <row r="194" ht="12">
      <c r="O194" s="64"/>
    </row>
    <row r="195" ht="12">
      <c r="O195" s="64"/>
    </row>
    <row r="326" ht="12">
      <c r="R326">
        <v>629984.6681482845</v>
      </c>
    </row>
    <row r="327" ht="12">
      <c r="R327">
        <v>533704.5170515766</v>
      </c>
    </row>
    <row r="328" ht="12">
      <c r="R328">
        <v>2948920.1810058244</v>
      </c>
    </row>
    <row r="329" ht="12">
      <c r="R329">
        <v>2609406.3443768644</v>
      </c>
    </row>
    <row r="330" ht="12">
      <c r="R330">
        <v>4229372.364863616</v>
      </c>
    </row>
    <row r="331" ht="12">
      <c r="R331">
        <v>4148131.5539559717</v>
      </c>
    </row>
    <row r="332" ht="12">
      <c r="R332">
        <v>5399482.551816998</v>
      </c>
    </row>
    <row r="333" ht="12">
      <c r="R333">
        <v>2639720.079790164</v>
      </c>
    </row>
    <row r="334" ht="12">
      <c r="R334">
        <v>9700.395332256001</v>
      </c>
    </row>
    <row r="335" ht="12">
      <c r="R335">
        <v>5466172.769726257</v>
      </c>
    </row>
    <row r="336" ht="12">
      <c r="R336">
        <v>264396.40027480264</v>
      </c>
    </row>
    <row r="337" ht="12">
      <c r="R337">
        <v>2473600.809725279</v>
      </c>
    </row>
    <row r="338" ht="12">
      <c r="R338">
        <v>1090445.6902872275</v>
      </c>
    </row>
    <row r="339" ht="12">
      <c r="R339">
        <v>385590.7144571758</v>
      </c>
    </row>
    <row r="340" ht="12">
      <c r="R340">
        <v>4560398.355576853</v>
      </c>
    </row>
    <row r="341" ht="12">
      <c r="R341">
        <v>2579092.6089635636</v>
      </c>
    </row>
    <row r="342" ht="12">
      <c r="R342">
        <v>2007981.8337769923</v>
      </c>
    </row>
    <row r="343" ht="12">
      <c r="R343">
        <v>3484867.023112968</v>
      </c>
    </row>
    <row r="344" ht="12">
      <c r="R344">
        <v>3970393.690028048</v>
      </c>
    </row>
    <row r="345" ht="12">
      <c r="R345">
        <v>200070.65372778007</v>
      </c>
    </row>
    <row r="346" ht="12">
      <c r="R346">
        <v>4848031.050914739</v>
      </c>
    </row>
    <row r="347" ht="12">
      <c r="R347">
        <v>2798564.053355856</v>
      </c>
    </row>
    <row r="348" ht="12">
      <c r="R348">
        <v>1577405.5359664788</v>
      </c>
    </row>
    <row r="349" ht="12">
      <c r="R349">
        <v>3627341.579555479</v>
      </c>
    </row>
    <row r="350" ht="12">
      <c r="R350">
        <v>4396704.184345033</v>
      </c>
    </row>
    <row r="351" ht="12">
      <c r="R351">
        <v>4597987.387489344</v>
      </c>
    </row>
    <row r="352" ht="12">
      <c r="R352">
        <v>9700.395332256001</v>
      </c>
    </row>
    <row r="353" ht="12">
      <c r="R353">
        <v>1666042.8983149678</v>
      </c>
    </row>
    <row r="354" ht="12">
      <c r="R354">
        <v>1551941.9982193066</v>
      </c>
    </row>
    <row r="355" ht="12">
      <c r="R355">
        <v>1603347.93907217</v>
      </c>
    </row>
    <row r="356" ht="12">
      <c r="R356">
        <v>1740729.8152081931</v>
      </c>
    </row>
    <row r="357" ht="12">
      <c r="R357">
        <v>1106330.0876437968</v>
      </c>
    </row>
    <row r="358" ht="12">
      <c r="R358">
        <v>1407875.8399696494</v>
      </c>
    </row>
    <row r="359" ht="12">
      <c r="R359">
        <v>1461061.4194502328</v>
      </c>
    </row>
    <row r="360" ht="12">
      <c r="R360">
        <v>1323861.4529696372</v>
      </c>
    </row>
    <row r="361" ht="12">
      <c r="R361">
        <v>830591.3294776846</v>
      </c>
    </row>
    <row r="362" ht="12">
      <c r="R362">
        <v>1558126.0002436198</v>
      </c>
    </row>
    <row r="363" ht="12">
      <c r="R363">
        <v>1116082.076058425</v>
      </c>
    </row>
    <row r="364" ht="12">
      <c r="R364">
        <v>608786.2706213386</v>
      </c>
    </row>
    <row r="365" ht="12">
      <c r="R365">
        <v>1068256.035964692</v>
      </c>
    </row>
    <row r="366" ht="12">
      <c r="R366">
        <v>1641791.9099843276</v>
      </c>
    </row>
    <row r="367" ht="12">
      <c r="R367">
        <v>1048273.1398771544</v>
      </c>
    </row>
    <row r="368" ht="12">
      <c r="R368">
        <v>414691.900453944</v>
      </c>
    </row>
    <row r="369" ht="12">
      <c r="R369">
        <v>1162410.4981584016</v>
      </c>
    </row>
    <row r="370" ht="12">
      <c r="R370">
        <v>482594.667779736</v>
      </c>
    </row>
    <row r="371" ht="12">
      <c r="R371">
        <v>1659357.4923391074</v>
      </c>
    </row>
    <row r="372" ht="12">
      <c r="R372">
        <v>59414.921410068004</v>
      </c>
    </row>
    <row r="373" ht="12">
      <c r="R373">
        <v>1230313.2654841938</v>
      </c>
    </row>
    <row r="374" ht="12">
      <c r="R374">
        <v>2869388.580070837</v>
      </c>
    </row>
    <row r="375" ht="12">
      <c r="R375">
        <v>575233.4432027808</v>
      </c>
    </row>
    <row r="376" ht="12">
      <c r="R376">
        <v>4674341.624248364</v>
      </c>
    </row>
    <row r="377" ht="12">
      <c r="R377">
        <v>1411407.520843248</v>
      </c>
    </row>
    <row r="378" ht="12">
      <c r="R378">
        <v>572868.9718405433</v>
      </c>
    </row>
    <row r="379" ht="12">
      <c r="R379">
        <v>623007.8902141416</v>
      </c>
    </row>
    <row r="380" ht="12">
      <c r="R380">
        <v>485565.41385023936</v>
      </c>
    </row>
    <row r="381" ht="12">
      <c r="R381">
        <v>1189510.977617892</v>
      </c>
    </row>
    <row r="382" ht="12">
      <c r="R382">
        <v>1247592.0946697746</v>
      </c>
    </row>
    <row r="383" ht="12">
      <c r="R383">
        <v>491082.51369545993</v>
      </c>
    </row>
    <row r="384" ht="12">
      <c r="R384">
        <v>369398.6296558954</v>
      </c>
    </row>
    <row r="385" ht="12">
      <c r="R385">
        <v>574869.6783778212</v>
      </c>
    </row>
    <row r="386" ht="12">
      <c r="R386">
        <v>412266.80162088</v>
      </c>
    </row>
    <row r="387" ht="12">
      <c r="R387">
        <v>77603.16265804801</v>
      </c>
    </row>
    <row r="388" ht="12">
      <c r="R388">
        <v>727105.2576234139</v>
      </c>
    </row>
    <row r="389" ht="12">
      <c r="R389">
        <v>206012.83648000003</v>
      </c>
    </row>
    <row r="390" ht="12">
      <c r="R390">
        <v>142804.35256000003</v>
      </c>
    </row>
    <row r="391" ht="12">
      <c r="R391">
        <v>168555.95712000006</v>
      </c>
    </row>
    <row r="392" ht="12">
      <c r="R392">
        <v>309019.25471999997</v>
      </c>
    </row>
    <row r="393" ht="12">
      <c r="R393">
        <v>112370.63808</v>
      </c>
    </row>
    <row r="394" ht="12">
      <c r="R394">
        <v>4410468.701402</v>
      </c>
    </row>
    <row r="395" ht="12">
      <c r="R395">
        <v>3928791.510475</v>
      </c>
    </row>
    <row r="396" ht="12">
      <c r="R396">
        <v>242474.76748200005</v>
      </c>
    </row>
    <row r="397" ht="12">
      <c r="R397">
        <v>36286.35188</v>
      </c>
    </row>
    <row r="398" ht="12">
      <c r="R398">
        <v>515032.09119999985</v>
      </c>
    </row>
    <row r="399" ht="12">
      <c r="R399">
        <v>255174.99064000006</v>
      </c>
    </row>
    <row r="400" ht="12">
      <c r="R400">
        <v>635713.4743880002</v>
      </c>
    </row>
    <row r="401" ht="12">
      <c r="R401">
        <v>959071.6907380007</v>
      </c>
    </row>
    <row r="402" ht="12">
      <c r="R402">
        <v>324236.11196</v>
      </c>
    </row>
    <row r="403" ht="12">
      <c r="R403">
        <v>1244621.8694839994</v>
      </c>
    </row>
    <row r="404" ht="12">
      <c r="R404">
        <v>2866466.8206816483</v>
      </c>
    </row>
    <row r="405" ht="12">
      <c r="R405">
        <v>5292171.928453915</v>
      </c>
    </row>
    <row r="406" ht="12">
      <c r="R406">
        <v>4225916.599026499</v>
      </c>
    </row>
    <row r="407" ht="12">
      <c r="R407">
        <v>2639783.5897832643</v>
      </c>
    </row>
    <row r="408" ht="12">
      <c r="R408">
        <v>5473508.693696276</v>
      </c>
    </row>
    <row r="409" ht="12">
      <c r="R409">
        <v>2488317.019898427</v>
      </c>
    </row>
    <row r="410" ht="12">
      <c r="R410">
        <v>5564510.527407001</v>
      </c>
    </row>
    <row r="411" ht="12">
      <c r="R411">
        <v>4865960.808542917</v>
      </c>
    </row>
    <row r="412" ht="12">
      <c r="R412">
        <v>4791995.294134463</v>
      </c>
    </row>
    <row r="413" ht="12">
      <c r="R413">
        <v>2512402.3910543043</v>
      </c>
    </row>
    <row r="414" ht="12">
      <c r="R414">
        <v>3317369.4268152765</v>
      </c>
    </row>
    <row r="415" ht="12">
      <c r="R415">
        <v>222458.74757400004</v>
      </c>
    </row>
    <row r="416" ht="12">
      <c r="R416">
        <v>18728.439680000003</v>
      </c>
    </row>
    <row r="417" ht="12">
      <c r="R417">
        <v>268167.845668</v>
      </c>
    </row>
    <row r="418" ht="12">
      <c r="R418">
        <v>103006.41824000001</v>
      </c>
    </row>
    <row r="419" ht="12">
      <c r="R419">
        <v>145835.72510500005</v>
      </c>
    </row>
    <row r="420" ht="12">
      <c r="R420">
        <v>195478.08916000003</v>
      </c>
    </row>
    <row r="421" ht="12">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Lehtonen Sanna</cp:lastModifiedBy>
  <cp:lastPrinted>2018-09-18T19:23:17Z</cp:lastPrinted>
  <dcterms:created xsi:type="dcterms:W3CDTF">2009-11-13T07:40:31Z</dcterms:created>
  <dcterms:modified xsi:type="dcterms:W3CDTF">2020-01-02T11:01:51Z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